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queryTables/queryTable9.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11.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queryTables/queryTable12.xml" ContentType="application/vnd.openxmlformats-officedocument.spreadsheetml.queryTable+xml"/>
  <Override PartName="/xl/tables/table16.xml" ContentType="application/vnd.openxmlformats-officedocument.spreadsheetml.table+xml"/>
  <Override PartName="/xl/queryTables/queryTable13.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queryTables/queryTable14.xml" ContentType="application/vnd.openxmlformats-officedocument.spreadsheetml.queryTable+xml"/>
  <Override PartName="/xl/tables/table19.xml" ContentType="application/vnd.openxmlformats-officedocument.spreadsheetml.table+xml"/>
  <Override PartName="/xl/queryTables/queryTable15.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queryTables/queryTable16.xml" ContentType="application/vnd.openxmlformats-officedocument.spreadsheetml.queryTable+xml"/>
  <Override PartName="/xl/tables/table22.xml" ContentType="application/vnd.openxmlformats-officedocument.spreadsheetml.table+xml"/>
  <Override PartName="/xl/queryTables/queryTable17.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tables/table23.xml" ContentType="application/vnd.openxmlformats-officedocument.spreadsheetml.table+xml"/>
  <Override PartName="/xl/queryTables/queryTable18.xml" ContentType="application/vnd.openxmlformats-officedocument.spreadsheetml.queryTable+xml"/>
  <Override PartName="/xl/tables/table24.xml" ContentType="application/vnd.openxmlformats-officedocument.spreadsheetml.table+xml"/>
  <Override PartName="/xl/queryTables/queryTable19.xml" ContentType="application/vnd.openxmlformats-officedocument.spreadsheetml.queryTable+xml"/>
  <Override PartName="/xl/tables/table25.xml" ContentType="application/vnd.openxmlformats-officedocument.spreadsheetml.table+xml"/>
  <Override PartName="/xl/queryTables/queryTable20.xml" ContentType="application/vnd.openxmlformats-officedocument.spreadsheetml.queryTable+xml"/>
  <Override PartName="/xl/tables/table26.xml" ContentType="application/vnd.openxmlformats-officedocument.spreadsheetml.table+xml"/>
  <Override PartName="/xl/queryTables/queryTable21.xml" ContentType="application/vnd.openxmlformats-officedocument.spreadsheetml.queryTable+xml"/>
  <Override PartName="/xl/tables/table27.xml" ContentType="application/vnd.openxmlformats-officedocument.spreadsheetml.table+xml"/>
  <Override PartName="/xl/queryTables/queryTable22.xml" ContentType="application/vnd.openxmlformats-officedocument.spreadsheetml.queryTable+xml"/>
  <Override PartName="/xl/tables/table28.xml" ContentType="application/vnd.openxmlformats-officedocument.spreadsheetml.table+xml"/>
  <Override PartName="/xl/queryTables/queryTable23.xml" ContentType="application/vnd.openxmlformats-officedocument.spreadsheetml.queryTable+xml"/>
  <Override PartName="/xl/tables/table29.xml" ContentType="application/vnd.openxmlformats-officedocument.spreadsheetml.table+xml"/>
  <Override PartName="/xl/queryTables/queryTable24.xml" ContentType="application/vnd.openxmlformats-officedocument.spreadsheetml.queryTable+xml"/>
  <Override PartName="/xl/tables/table30.xml" ContentType="application/vnd.openxmlformats-officedocument.spreadsheetml.table+xml"/>
  <Override PartName="/xl/queryTables/queryTable25.xml" ContentType="application/vnd.openxmlformats-officedocument.spreadsheetml.queryTable+xml"/>
  <Override PartName="/xl/tables/table31.xml" ContentType="application/vnd.openxmlformats-officedocument.spreadsheetml.table+xml"/>
  <Override PartName="/xl/queryTables/queryTable26.xml" ContentType="application/vnd.openxmlformats-officedocument.spreadsheetml.queryTable+xml"/>
  <Override PartName="/xl/drawings/drawing10.xml" ContentType="application/vnd.openxmlformats-officedocument.drawing+xml"/>
  <Override PartName="/xl/tables/table32.xml" ContentType="application/vnd.openxmlformats-officedocument.spreadsheetml.table+xml"/>
  <Override PartName="/xl/queryTables/queryTable27.xml" ContentType="application/vnd.openxmlformats-officedocument.spreadsheetml.query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tables/table33.xml" ContentType="application/vnd.openxmlformats-officedocument.spreadsheetml.table+xml"/>
  <Override PartName="/xl/queryTables/queryTable28.xml" ContentType="application/vnd.openxmlformats-officedocument.spreadsheetml.queryTab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13.xml" ContentType="application/vnd.openxmlformats-officedocument.drawingml.chartshapes+xml"/>
  <Override PartName="/xl/pivotTables/pivotTable1.xml" ContentType="application/vnd.openxmlformats-officedocument.spreadsheetml.pivotTable+xml"/>
  <Override PartName="/xl/tables/table34.xml" ContentType="application/vnd.openxmlformats-officedocument.spreadsheetml.table+xml"/>
  <Override PartName="/xl/queryTables/queryTable29.xml" ContentType="application/vnd.openxmlformats-officedocument.spreadsheetml.queryTable+xml"/>
  <Override PartName="/xl/tables/table35.xml" ContentType="application/vnd.openxmlformats-officedocument.spreadsheetml.table+xml"/>
  <Override PartName="/xl/queryTables/queryTable3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47587843-DCC7-430F-9433-FB837AF2A5D9}" xr6:coauthVersionLast="47" xr6:coauthVersionMax="47" xr10:uidLastSave="{00000000-0000-0000-0000-000000000000}"/>
  <bookViews>
    <workbookView xWindow="-120" yWindow="-120" windowWidth="38640" windowHeight="21840" activeTab="9"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externo" sheetId="7" r:id="rId8"/>
    <sheet name="res_mes" sheetId="12" r:id="rId9"/>
    <sheet name="acum_porc" sheetId="32" r:id="rId10"/>
    <sheet name="acum_abs" sheetId="33" r:id="rId11"/>
    <sheet name="estadisticas" sheetId="35" r:id="rId12"/>
    <sheet name="Hoja1" sheetId="36" r:id="rId13"/>
  </sheets>
  <externalReferences>
    <externalReference r:id="rId14"/>
  </externalReferences>
  <definedNames>
    <definedName name="DatosExternos_1" localSheetId="5" hidden="1">abr!$A$6:$E$35</definedName>
    <definedName name="DatosExternos_1" localSheetId="10" hidden="1">acum_abs!$A$1:$F$64</definedName>
    <definedName name="DatosExternos_1" localSheetId="9" hidden="1">acum_porc!$A$1:$F$64</definedName>
    <definedName name="DatosExternos_1" localSheetId="2" hidden="1">ene!$A$6:$E$42</definedName>
    <definedName name="DatosExternos_1" localSheetId="11" hidden="1">estadisticas!$A$1:$E$64</definedName>
    <definedName name="DatosExternos_1" localSheetId="7" hidden="1">externo!$A$3:$E$27</definedName>
    <definedName name="DatosExternos_1" localSheetId="3" hidden="1">feb!$A$6:$E$41</definedName>
    <definedName name="DatosExternos_1" localSheetId="12" hidden="1">Hoja1!$A$1:$C$67</definedName>
    <definedName name="DatosExternos_1" localSheetId="0" hidden="1">in!$A$1:$H$187</definedName>
    <definedName name="DatosExternos_1" localSheetId="4" hidden="1">mar!$A$6:$E$31</definedName>
    <definedName name="DatosExternos_1" localSheetId="6" hidden="1">may!$A$6:$E$49</definedName>
    <definedName name="DatosExternos_1" localSheetId="1" hidden="1">omie!$A$4:$B$152</definedName>
    <definedName name="DatosExternos_1" localSheetId="8" hidden="1">res_mes!$A$1:$F$36</definedName>
    <definedName name="DatosExternos_2" localSheetId="5" hidden="1">abr!$P$6:$Q$36</definedName>
    <definedName name="DatosExternos_2" localSheetId="2" hidden="1">ene!$P$6:$Q$37</definedName>
    <definedName name="DatosExternos_2" localSheetId="7" hidden="1">externo!$G$3:$I$34</definedName>
    <definedName name="DatosExternos_2" localSheetId="3" hidden="1">feb!$P$6:$Q$35</definedName>
    <definedName name="DatosExternos_2" localSheetId="4" hidden="1">mar!$P$6:$Q$37</definedName>
    <definedName name="DatosExternos_2" localSheetId="6" hidden="1">may!$P$6:$Q$33</definedName>
    <definedName name="DatosExternos_2" localSheetId="1" hidden="1">omie!$D$4:$E$35</definedName>
    <definedName name="DatosExternos_2" localSheetId="8" hidden="1">res_mes!$H$1:$M$36</definedName>
    <definedName name="DatosExternos_3" localSheetId="7" hidden="1">externo!$K$3:$M$34</definedName>
    <definedName name="DatosExternos_3" localSheetId="1" hidden="1">omie!$G$4:$H$33</definedName>
    <definedName name="DatosExternos_3" localSheetId="8" hidden="1">res_mes!$O$1:$T$26</definedName>
    <definedName name="DatosExternos_4" localSheetId="7" hidden="1">externo!$O$3:$AD$34</definedName>
    <definedName name="DatosExternos_4" localSheetId="1" hidden="1">omie!$J$4:$K$35</definedName>
    <definedName name="DatosExternos_4" localSheetId="8" hidden="1">res_mes!$V$1:$AA$30</definedName>
    <definedName name="DatosExternos_5" localSheetId="1" hidden="1">omie!$M$4:$N$34</definedName>
    <definedName name="DatosExternos_5" localSheetId="8" hidden="1">res_mes!$A$39:$F$82</definedName>
    <definedName name="DatosExternos_6" localSheetId="1" hidden="1">omie!$P$4:$Q$31</definedName>
  </definedNames>
  <calcPr calcId="181029"/>
  <pivotCaches>
    <pivotCache cacheId="0" r:id="rId15"/>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2" i="33" l="1"/>
  <c r="G9" i="33"/>
  <c r="G34" i="33"/>
  <c r="G12" i="33"/>
  <c r="G16" i="33"/>
  <c r="G35" i="33"/>
  <c r="G36" i="33"/>
  <c r="G37" i="33"/>
  <c r="G38" i="33"/>
  <c r="G20" i="33"/>
  <c r="H20" i="33" s="1"/>
  <c r="I20" i="33" s="1"/>
  <c r="G39" i="33"/>
  <c r="H39" i="33" s="1"/>
  <c r="I39" i="33" s="1"/>
  <c r="G13" i="33"/>
  <c r="H13" i="33" s="1"/>
  <c r="I13" i="33" s="1"/>
  <c r="G40" i="33"/>
  <c r="G41" i="33"/>
  <c r="G42" i="33"/>
  <c r="G43" i="33"/>
  <c r="G44" i="33"/>
  <c r="G28" i="33"/>
  <c r="G24" i="33"/>
  <c r="G30" i="33"/>
  <c r="G45" i="33"/>
  <c r="G15" i="33"/>
  <c r="H15" i="33" s="1"/>
  <c r="I15" i="33" s="1"/>
  <c r="G3" i="33"/>
  <c r="H3" i="33" s="1"/>
  <c r="I3" i="33" s="1"/>
  <c r="G46" i="33"/>
  <c r="H46" i="33" s="1"/>
  <c r="I46" i="33" s="1"/>
  <c r="G23" i="33"/>
  <c r="G47" i="33"/>
  <c r="G4" i="33"/>
  <c r="G29" i="33"/>
  <c r="G11" i="33"/>
  <c r="G5" i="33"/>
  <c r="G48" i="33"/>
  <c r="H48" i="33" s="1"/>
  <c r="I48" i="33" s="1"/>
  <c r="G27" i="33"/>
  <c r="G25" i="33"/>
  <c r="G49" i="33"/>
  <c r="H49" i="33" s="1"/>
  <c r="I49" i="33" s="1"/>
  <c r="G8" i="33"/>
  <c r="H8" i="33" s="1"/>
  <c r="I8" i="33" s="1"/>
  <c r="G31" i="33"/>
  <c r="H31" i="33" s="1"/>
  <c r="I31" i="33" s="1"/>
  <c r="G2" i="33"/>
  <c r="G33" i="33"/>
  <c r="G50" i="33"/>
  <c r="G7" i="33"/>
  <c r="G19" i="33"/>
  <c r="G21" i="33"/>
  <c r="G51" i="33"/>
  <c r="H51" i="33" s="1"/>
  <c r="I51" i="33" s="1"/>
  <c r="G52" i="33"/>
  <c r="H52" i="33" s="1"/>
  <c r="I52" i="33" s="1"/>
  <c r="G53" i="33"/>
  <c r="G17" i="33"/>
  <c r="H17" i="33" s="1"/>
  <c r="I17" i="33" s="1"/>
  <c r="G54" i="33"/>
  <c r="H54" i="33" s="1"/>
  <c r="I54" i="33" s="1"/>
  <c r="G55" i="33"/>
  <c r="H55" i="33" s="1"/>
  <c r="I55" i="33" s="1"/>
  <c r="G56" i="33"/>
  <c r="G26" i="33"/>
  <c r="G57" i="33"/>
  <c r="G10" i="33"/>
  <c r="G58" i="33"/>
  <c r="G14" i="33"/>
  <c r="G18" i="33"/>
  <c r="G59" i="33"/>
  <c r="G60" i="33"/>
  <c r="G6" i="33"/>
  <c r="H6" i="33" s="1"/>
  <c r="I6" i="33" s="1"/>
  <c r="G61" i="33"/>
  <c r="H61" i="33" s="1"/>
  <c r="I61" i="33" s="1"/>
  <c r="G62" i="33"/>
  <c r="H62" i="33" s="1"/>
  <c r="I62" i="33" s="1"/>
  <c r="G32" i="33"/>
  <c r="G63" i="33"/>
  <c r="G64" i="33"/>
  <c r="H22" i="33"/>
  <c r="H9" i="33"/>
  <c r="H34" i="33"/>
  <c r="H12" i="33"/>
  <c r="I12" i="33" s="1"/>
  <c r="H16" i="33"/>
  <c r="H35" i="33"/>
  <c r="H36" i="33"/>
  <c r="I36" i="33" s="1"/>
  <c r="H37" i="33"/>
  <c r="I37" i="33" s="1"/>
  <c r="H38" i="33"/>
  <c r="I38" i="33" s="1"/>
  <c r="H40" i="33"/>
  <c r="H41" i="33"/>
  <c r="H42" i="33"/>
  <c r="H43" i="33"/>
  <c r="H44" i="33"/>
  <c r="H28" i="33"/>
  <c r="H24" i="33"/>
  <c r="I24" i="33" s="1"/>
  <c r="H30" i="33"/>
  <c r="I30" i="33" s="1"/>
  <c r="H45" i="33"/>
  <c r="I45" i="33" s="1"/>
  <c r="H23" i="33"/>
  <c r="I23" i="33" s="1"/>
  <c r="H47" i="33"/>
  <c r="I47" i="33" s="1"/>
  <c r="H4" i="33"/>
  <c r="I4" i="33" s="1"/>
  <c r="H29" i="33"/>
  <c r="H11" i="33"/>
  <c r="H5" i="33"/>
  <c r="H27" i="33"/>
  <c r="I27" i="33" s="1"/>
  <c r="H25" i="33"/>
  <c r="I25" i="33" s="1"/>
  <c r="H2" i="33"/>
  <c r="H33" i="33"/>
  <c r="H50" i="33"/>
  <c r="H7" i="33"/>
  <c r="I7" i="33" s="1"/>
  <c r="H19" i="33"/>
  <c r="I19" i="33" s="1"/>
  <c r="H21" i="33"/>
  <c r="I21" i="33" s="1"/>
  <c r="H53" i="33"/>
  <c r="I53" i="33" s="1"/>
  <c r="H56" i="33"/>
  <c r="H26" i="33"/>
  <c r="H57" i="33"/>
  <c r="H10" i="33"/>
  <c r="I10" i="33" s="1"/>
  <c r="H58" i="33"/>
  <c r="I58" i="33" s="1"/>
  <c r="H14" i="33"/>
  <c r="I14" i="33" s="1"/>
  <c r="H18" i="33"/>
  <c r="I18" i="33" s="1"/>
  <c r="H59" i="33"/>
  <c r="I59" i="33" s="1"/>
  <c r="H60" i="33"/>
  <c r="I60" i="33" s="1"/>
  <c r="H32" i="33"/>
  <c r="H63" i="33"/>
  <c r="H64" i="33"/>
  <c r="I22" i="33"/>
  <c r="I9" i="33"/>
  <c r="I34" i="33"/>
  <c r="I16" i="33"/>
  <c r="I35" i="33"/>
  <c r="I40" i="33"/>
  <c r="I41" i="33"/>
  <c r="I42" i="33"/>
  <c r="I43" i="33"/>
  <c r="I44" i="33"/>
  <c r="I28" i="33"/>
  <c r="I29" i="33"/>
  <c r="I11" i="33"/>
  <c r="I5" i="33"/>
  <c r="I2" i="33"/>
  <c r="I33" i="33"/>
  <c r="I50" i="33"/>
  <c r="I56" i="33"/>
  <c r="I26" i="33"/>
  <c r="I57" i="33"/>
  <c r="I32" i="33"/>
  <c r="I63" i="33"/>
  <c r="I64" i="33"/>
  <c r="AE4" i="7"/>
  <c r="AE5" i="7"/>
  <c r="AE6" i="7"/>
  <c r="AE7" i="7"/>
  <c r="AE8" i="7"/>
  <c r="AE9" i="7"/>
  <c r="AE10" i="7"/>
  <c r="AE11" i="7"/>
  <c r="AE12" i="7"/>
  <c r="AE13" i="7"/>
  <c r="AE14" i="7"/>
  <c r="AE15" i="7"/>
  <c r="AE16" i="7"/>
  <c r="AE17" i="7"/>
  <c r="AE18" i="7"/>
  <c r="AE19" i="7"/>
  <c r="AE20" i="7"/>
  <c r="AE21" i="7"/>
  <c r="AE22" i="7"/>
  <c r="AE23" i="7"/>
  <c r="AE24" i="7"/>
  <c r="AE25" i="7"/>
  <c r="AE26" i="7"/>
  <c r="AE27" i="7"/>
  <c r="AE28" i="7"/>
  <c r="AE29" i="7"/>
  <c r="AE30" i="7"/>
  <c r="G28" i="32" l="1"/>
  <c r="H28" i="32" s="1"/>
  <c r="G5" i="32"/>
  <c r="H5" i="32" s="1"/>
  <c r="G34" i="32"/>
  <c r="G4" i="32"/>
  <c r="H4" i="32" s="1"/>
  <c r="G16" i="32"/>
  <c r="H16" i="32" s="1"/>
  <c r="G35" i="32"/>
  <c r="H35" i="32" s="1"/>
  <c r="G36" i="32"/>
  <c r="G37" i="32"/>
  <c r="I37" i="32" s="1"/>
  <c r="G38" i="32"/>
  <c r="I38" i="32" s="1"/>
  <c r="G21" i="32"/>
  <c r="H21" i="32" s="1"/>
  <c r="G39" i="32"/>
  <c r="H39" i="32" s="1"/>
  <c r="G15" i="32"/>
  <c r="H15" i="32" s="1"/>
  <c r="G40" i="32"/>
  <c r="H40" i="32" s="1"/>
  <c r="G41" i="32"/>
  <c r="G42" i="32"/>
  <c r="G43" i="32"/>
  <c r="G44" i="32"/>
  <c r="G24" i="32"/>
  <c r="H24" i="32" s="1"/>
  <c r="G20" i="32"/>
  <c r="H20" i="32" s="1"/>
  <c r="G31" i="32"/>
  <c r="H31" i="32" s="1"/>
  <c r="G45" i="32"/>
  <c r="I45" i="32" s="1"/>
  <c r="G17" i="32"/>
  <c r="H17" i="32" s="1"/>
  <c r="G14" i="32"/>
  <c r="H14" i="32" s="1"/>
  <c r="G46" i="32"/>
  <c r="H46" i="32" s="1"/>
  <c r="G19" i="32"/>
  <c r="H19" i="32" s="1"/>
  <c r="G47" i="32"/>
  <c r="G9" i="32"/>
  <c r="G25" i="32"/>
  <c r="G11" i="32"/>
  <c r="I11" i="32" s="1"/>
  <c r="G2" i="32"/>
  <c r="G48" i="32"/>
  <c r="G22" i="32"/>
  <c r="I22" i="32" s="1"/>
  <c r="G18" i="32"/>
  <c r="I18" i="32" s="1"/>
  <c r="G49" i="32"/>
  <c r="H49" i="32" s="1"/>
  <c r="G6" i="32"/>
  <c r="H6" i="32" s="1"/>
  <c r="G27" i="32"/>
  <c r="H27" i="32" s="1"/>
  <c r="G3" i="32"/>
  <c r="H3" i="32" s="1"/>
  <c r="G30" i="32"/>
  <c r="H30" i="32" s="1"/>
  <c r="G50" i="32"/>
  <c r="G8" i="32"/>
  <c r="G23" i="32"/>
  <c r="I23" i="32" s="1"/>
  <c r="G33" i="32"/>
  <c r="H33" i="32" s="1"/>
  <c r="G51" i="32"/>
  <c r="H51" i="32" s="1"/>
  <c r="G52" i="32"/>
  <c r="H52" i="32" s="1"/>
  <c r="G53" i="32"/>
  <c r="I53" i="32" s="1"/>
  <c r="G26" i="32"/>
  <c r="I26" i="32" s="1"/>
  <c r="G54" i="32"/>
  <c r="H54" i="32" s="1"/>
  <c r="G55" i="32"/>
  <c r="H55" i="32" s="1"/>
  <c r="G56" i="32"/>
  <c r="H56" i="32" s="1"/>
  <c r="G29" i="32"/>
  <c r="H29" i="32" s="1"/>
  <c r="G57" i="32"/>
  <c r="G7" i="32"/>
  <c r="I7" i="32" s="1"/>
  <c r="G58" i="32"/>
  <c r="G13" i="32"/>
  <c r="H13" i="32" s="1"/>
  <c r="G12" i="32"/>
  <c r="H12" i="32" s="1"/>
  <c r="G59" i="32"/>
  <c r="H59" i="32" s="1"/>
  <c r="G60" i="32"/>
  <c r="I60" i="32" s="1"/>
  <c r="G10" i="32"/>
  <c r="I10" i="32" s="1"/>
  <c r="G61" i="32"/>
  <c r="H61" i="32" s="1"/>
  <c r="G62" i="32"/>
  <c r="H62" i="32" s="1"/>
  <c r="G32" i="32"/>
  <c r="H32" i="32" s="1"/>
  <c r="G63" i="32"/>
  <c r="G64" i="32"/>
  <c r="H34" i="32"/>
  <c r="H36" i="32"/>
  <c r="H38" i="32"/>
  <c r="H41" i="32"/>
  <c r="H42" i="32"/>
  <c r="H43" i="32"/>
  <c r="H44" i="32"/>
  <c r="H47" i="32"/>
  <c r="H9" i="32"/>
  <c r="H25" i="32"/>
  <c r="H11" i="32"/>
  <c r="H2" i="32"/>
  <c r="H48" i="32"/>
  <c r="H50" i="32"/>
  <c r="H8" i="32"/>
  <c r="H23" i="32"/>
  <c r="H53" i="32"/>
  <c r="H57" i="32"/>
  <c r="H58" i="32"/>
  <c r="H63" i="32"/>
  <c r="H64" i="32"/>
  <c r="I28" i="32"/>
  <c r="I34" i="32"/>
  <c r="I35" i="32"/>
  <c r="I36" i="32"/>
  <c r="I40" i="32"/>
  <c r="I41" i="32"/>
  <c r="I42" i="32"/>
  <c r="I43" i="32"/>
  <c r="I44" i="32"/>
  <c r="I19" i="32"/>
  <c r="I47" i="32"/>
  <c r="I9" i="32"/>
  <c r="I25" i="32"/>
  <c r="I2" i="32"/>
  <c r="I48" i="32"/>
  <c r="I3" i="32"/>
  <c r="I30" i="32"/>
  <c r="I50" i="32"/>
  <c r="I8" i="32"/>
  <c r="I51" i="32"/>
  <c r="I52" i="32"/>
  <c r="I29" i="32"/>
  <c r="I57" i="32"/>
  <c r="I58" i="32"/>
  <c r="I63" i="32"/>
  <c r="I64" i="32"/>
  <c r="I16" i="32" l="1"/>
  <c r="I4" i="32"/>
  <c r="I33" i="32"/>
  <c r="I5" i="32"/>
  <c r="I20" i="32"/>
  <c r="I12" i="32"/>
  <c r="I13" i="32"/>
  <c r="H7" i="32"/>
  <c r="H22" i="32"/>
  <c r="H37" i="32"/>
  <c r="I31" i="32"/>
  <c r="I24" i="32"/>
  <c r="H45" i="32"/>
  <c r="I59" i="32"/>
  <c r="H26" i="32"/>
  <c r="H10" i="32"/>
  <c r="I56" i="32"/>
  <c r="H60" i="32"/>
  <c r="I32" i="32"/>
  <c r="H18" i="32"/>
  <c r="I62" i="32"/>
  <c r="I55" i="32"/>
  <c r="I27" i="32"/>
  <c r="I46" i="32"/>
  <c r="I15" i="32"/>
  <c r="I39" i="32"/>
  <c r="I54" i="32"/>
  <c r="I49" i="32"/>
  <c r="I17" i="32"/>
  <c r="I21" i="32"/>
  <c r="I6" i="32"/>
  <c r="I61" i="32"/>
  <c r="I14" i="32"/>
  <c r="H2" i="37" l="1"/>
  <c r="L49" i="37" l="1"/>
  <c r="M49" i="37"/>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2" i="32"/>
  <c r="C78" i="32"/>
  <c r="C80" i="32" s="1"/>
  <c r="C81" i="32" s="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A97" i="32"/>
  <c r="L27" i="32" l="1"/>
  <c r="L26" i="32"/>
  <c r="L24" i="32"/>
  <c r="L25" i="32"/>
  <c r="L23" i="32"/>
  <c r="L30" i="32"/>
  <c r="L33" i="32"/>
  <c r="L32" i="32"/>
  <c r="L22" i="32"/>
  <c r="L31" i="32"/>
  <c r="L29" i="32"/>
  <c r="L28" i="32"/>
  <c r="L14" i="32"/>
  <c r="L11" i="32"/>
  <c r="L3" i="32"/>
  <c r="L15" i="32"/>
  <c r="L2" i="32"/>
  <c r="L16" i="32"/>
  <c r="L4" i="32"/>
  <c r="L5" i="32"/>
  <c r="L17" i="32"/>
  <c r="L6" i="32"/>
  <c r="L18" i="32"/>
  <c r="L7" i="32"/>
  <c r="L19" i="32"/>
  <c r="L8" i="32"/>
  <c r="L20" i="32"/>
  <c r="L9" i="32"/>
  <c r="L10" i="32"/>
  <c r="L12" i="32"/>
  <c r="L13" i="32"/>
  <c r="C79" i="32"/>
  <c r="L21" i="32"/>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N12" i="32"/>
  <c r="N16" i="32"/>
  <c r="M30" i="32"/>
  <c r="N33" i="32"/>
  <c r="N23" i="32"/>
  <c r="M28" i="32"/>
  <c r="N20" i="32"/>
  <c r="N5" i="32"/>
  <c r="M23" i="32"/>
  <c r="M3" i="32"/>
  <c r="N31" i="32"/>
  <c r="N17" i="32"/>
  <c r="N2" i="32"/>
  <c r="N10" i="32"/>
  <c r="M4" i="32"/>
  <c r="N18" i="32"/>
  <c r="M10" i="32"/>
  <c r="M33" i="32"/>
  <c r="M2" i="32"/>
  <c r="N3" i="32"/>
  <c r="M15" i="32"/>
  <c r="N14" i="32"/>
  <c r="N32" i="32"/>
  <c r="M8" i="32"/>
  <c r="M27" i="32"/>
  <c r="M20" i="32"/>
  <c r="N4" i="32"/>
  <c r="N24" i="32"/>
  <c r="M6" i="32"/>
  <c r="N29" i="32"/>
  <c r="N9" i="32"/>
  <c r="M25" i="32"/>
  <c r="M26" i="32"/>
  <c r="M24" i="32"/>
  <c r="M13" i="32"/>
  <c r="N25" i="32"/>
  <c r="M9" i="32"/>
  <c r="M11" i="32"/>
  <c r="N13" i="32"/>
  <c r="M19" i="32"/>
  <c r="M22" i="32"/>
  <c r="N7" i="32"/>
  <c r="M21" i="32"/>
  <c r="F31" i="37" l="1"/>
  <c r="G31" i="37" s="1"/>
  <c r="F33" i="37"/>
  <c r="G33" i="37" s="1"/>
  <c r="F44" i="37"/>
  <c r="G44" i="37" s="1"/>
  <c r="F18" i="37"/>
  <c r="G18" i="37" s="1"/>
  <c r="F25" i="37"/>
  <c r="G25" i="37" s="1"/>
  <c r="F35" i="37"/>
  <c r="G35" i="37" s="1"/>
  <c r="F26" i="37"/>
  <c r="G26" i="37" s="1"/>
  <c r="F39" i="37"/>
  <c r="G39" i="37" s="1"/>
  <c r="F20" i="37"/>
  <c r="G20" i="37" s="1"/>
  <c r="F43" i="37"/>
  <c r="G43" i="37" s="1"/>
  <c r="F16" i="37"/>
  <c r="G16" i="37" s="1"/>
  <c r="F34" i="37"/>
  <c r="G34" i="37" s="1"/>
  <c r="F17" i="37"/>
  <c r="G17" i="37" s="1"/>
  <c r="F38" i="37"/>
  <c r="G38" i="37" s="1"/>
  <c r="F42" i="37"/>
  <c r="G42" i="37" s="1"/>
  <c r="F21" i="37"/>
  <c r="G21" i="37" s="1"/>
  <c r="F37" i="37"/>
  <c r="G37" i="37" s="1"/>
  <c r="F49" i="37"/>
  <c r="F23" i="37"/>
  <c r="G23" i="37" s="1"/>
  <c r="F19" i="37"/>
  <c r="G19" i="37" s="1"/>
  <c r="F32" i="37"/>
  <c r="G32" i="37" s="1"/>
  <c r="F15" i="37"/>
  <c r="G15" i="37" s="1"/>
  <c r="F14" i="37"/>
  <c r="G14" i="37" s="1"/>
  <c r="F40" i="37"/>
  <c r="G40" i="37" s="1"/>
  <c r="F22" i="37"/>
  <c r="G22" i="37" s="1"/>
  <c r="F11" i="37"/>
  <c r="G11" i="37" s="1"/>
  <c r="F29" i="37"/>
  <c r="G29" i="37" s="1"/>
  <c r="F13" i="37"/>
  <c r="G13" i="37" s="1"/>
  <c r="F9" i="37"/>
  <c r="G9" i="37" s="1"/>
  <c r="F27" i="37"/>
  <c r="G27" i="37" s="1"/>
  <c r="F30" i="37"/>
  <c r="G30" i="37" s="1"/>
  <c r="F12" i="37"/>
  <c r="G12" i="37" s="1"/>
  <c r="F41" i="37"/>
  <c r="G41" i="37" s="1"/>
  <c r="F46" i="37"/>
  <c r="G46" i="37" s="1"/>
  <c r="F36" i="37"/>
  <c r="G36" i="37" s="1"/>
  <c r="F28" i="37"/>
  <c r="G28" i="37" s="1"/>
  <c r="F47" i="37"/>
  <c r="G47" i="37" s="1"/>
  <c r="F10" i="37"/>
  <c r="G10" i="37" s="1"/>
  <c r="F48" i="37"/>
  <c r="G48" i="37" s="1"/>
  <c r="F24" i="37"/>
  <c r="G24" i="37" s="1"/>
  <c r="F45" i="37"/>
  <c r="G45" i="37" s="1"/>
  <c r="F8" i="37"/>
  <c r="G8" i="37" s="1"/>
  <c r="F7" i="37"/>
  <c r="G7" i="37" s="1"/>
  <c r="P3" i="37"/>
  <c r="N22" i="32"/>
  <c r="M32" i="32"/>
  <c r="M31" i="32"/>
  <c r="M7" i="32"/>
  <c r="O20" i="32"/>
  <c r="N30" i="32"/>
  <c r="N15" i="32"/>
  <c r="O25" i="32"/>
  <c r="M14" i="32"/>
  <c r="O4" i="32"/>
  <c r="M12" i="32"/>
  <c r="M18" i="32"/>
  <c r="O9" i="32"/>
  <c r="N6" i="32"/>
  <c r="O33" i="32"/>
  <c r="O3" i="32"/>
  <c r="N28" i="32"/>
  <c r="N19" i="32"/>
  <c r="O13" i="32"/>
  <c r="N8" i="32"/>
  <c r="N26" i="32"/>
  <c r="N11" i="32"/>
  <c r="M16" i="32"/>
  <c r="O2" i="32"/>
  <c r="N21" i="32"/>
  <c r="N27" i="32"/>
  <c r="M29" i="32"/>
  <c r="O24" i="32"/>
  <c r="O10" i="32"/>
  <c r="O23" i="32"/>
  <c r="M17" i="32"/>
  <c r="M5" i="32"/>
  <c r="G49" i="37" l="1"/>
  <c r="O49" i="37" s="1"/>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O22" i="32"/>
  <c r="O7" i="32"/>
  <c r="O11" i="32"/>
  <c r="O15" i="32"/>
  <c r="O30" i="32"/>
  <c r="O6" i="32"/>
  <c r="O27" i="32"/>
  <c r="O31" i="32"/>
  <c r="O12" i="32"/>
  <c r="O19" i="32"/>
  <c r="O8" i="32"/>
  <c r="O21" i="32"/>
  <c r="O16" i="32"/>
  <c r="O26" i="32"/>
  <c r="O28" i="32"/>
  <c r="O14" i="32"/>
  <c r="O5" i="32"/>
  <c r="O18" i="32"/>
  <c r="O32" i="32"/>
  <c r="O29" i="32"/>
  <c r="O17" i="32"/>
  <c r="H32" i="37" l="1"/>
  <c r="K32" i="37" s="1"/>
  <c r="H13" i="37"/>
  <c r="H47" i="37"/>
  <c r="K47" i="37" s="1"/>
  <c r="H43" i="37"/>
  <c r="K43" i="37" s="1"/>
  <c r="H45" i="37"/>
  <c r="K45" i="37" s="1"/>
  <c r="H41" i="37"/>
  <c r="K41" i="37" s="1"/>
  <c r="H17" i="37"/>
  <c r="K17" i="37" s="1"/>
  <c r="H34" i="37"/>
  <c r="K34" i="37" s="1"/>
  <c r="H9" i="37"/>
  <c r="H23" i="37"/>
  <c r="H11" i="37"/>
  <c r="H28" i="37"/>
  <c r="H35" i="37"/>
  <c r="K35" i="37" s="1"/>
  <c r="H25" i="37"/>
  <c r="K25" i="37" s="1"/>
  <c r="H26" i="37"/>
  <c r="H33" i="37"/>
  <c r="K33" i="37" s="1"/>
  <c r="H15" i="37"/>
  <c r="H14" i="37"/>
  <c r="K14" i="37" s="1"/>
  <c r="H24" i="37"/>
  <c r="K24" i="37" s="1"/>
  <c r="H20" i="37"/>
  <c r="H12" i="37"/>
  <c r="H40" i="37"/>
  <c r="K40" i="37" s="1"/>
  <c r="H42" i="37"/>
  <c r="K42" i="37" s="1"/>
  <c r="H37" i="37"/>
  <c r="K37" i="37" s="1"/>
  <c r="H18" i="37"/>
  <c r="K18" i="37" s="1"/>
  <c r="H21" i="37"/>
  <c r="K21" i="37" s="1"/>
  <c r="H16" i="37"/>
  <c r="H10" i="37"/>
  <c r="K10" i="37" s="1"/>
  <c r="H7" i="37"/>
  <c r="K7" i="37" s="1"/>
  <c r="H19" i="37"/>
  <c r="H49" i="37"/>
  <c r="K49" i="37" s="1"/>
  <c r="H38" i="37"/>
  <c r="K38" i="37" s="1"/>
  <c r="H27" i="37"/>
  <c r="K27" i="37" s="1"/>
  <c r="H8" i="37"/>
  <c r="K8" i="37" s="1"/>
  <c r="H39" i="37"/>
  <c r="K39" i="37" s="1"/>
  <c r="H31" i="37"/>
  <c r="K31" i="37" s="1"/>
  <c r="H46" i="37"/>
  <c r="K46" i="37" s="1"/>
  <c r="H44" i="37"/>
  <c r="K44" i="37" s="1"/>
  <c r="H36" i="37"/>
  <c r="K36" i="37" s="1"/>
  <c r="H48" i="37"/>
  <c r="K48" i="37" s="1"/>
  <c r="H29" i="37"/>
  <c r="H30" i="37"/>
  <c r="H22" i="37"/>
  <c r="K22" i="37" s="1"/>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34" i="24" l="1"/>
  <c r="G34" i="24" s="1"/>
  <c r="F8" i="24"/>
  <c r="G8" i="24" s="1"/>
  <c r="F17" i="24"/>
  <c r="G17" i="24" s="1"/>
  <c r="F27" i="24"/>
  <c r="G27" i="24" s="1"/>
  <c r="F30" i="24"/>
  <c r="G30" i="24" s="1"/>
  <c r="F25" i="24"/>
  <c r="G25" i="24" s="1"/>
  <c r="F22" i="24"/>
  <c r="G22" i="24" s="1"/>
  <c r="F31" i="24"/>
  <c r="G31" i="24" s="1"/>
  <c r="F20" i="24"/>
  <c r="G20" i="24" s="1"/>
  <c r="F12" i="24"/>
  <c r="G12" i="24" s="1"/>
  <c r="F9" i="24"/>
  <c r="G9" i="24" s="1"/>
  <c r="F26" i="24"/>
  <c r="G26" i="24" s="1"/>
  <c r="F28" i="24"/>
  <c r="G28" i="24" s="1"/>
  <c r="F18" i="24"/>
  <c r="G18" i="24" s="1"/>
  <c r="F15" i="24"/>
  <c r="G15" i="24" s="1"/>
  <c r="F32" i="24"/>
  <c r="G32" i="24" s="1"/>
  <c r="F23" i="24"/>
  <c r="G23" i="24" s="1"/>
  <c r="F29" i="24"/>
  <c r="G29" i="24" s="1"/>
  <c r="F24" i="24"/>
  <c r="G24" i="24" s="1"/>
  <c r="F21" i="24"/>
  <c r="G21" i="24" s="1"/>
  <c r="F14" i="24"/>
  <c r="G14" i="24" s="1"/>
  <c r="F10" i="24"/>
  <c r="G10" i="24" s="1"/>
  <c r="F33" i="24"/>
  <c r="G33" i="24" s="1"/>
  <c r="F19" i="24"/>
  <c r="G19" i="24" s="1"/>
  <c r="F16" i="24"/>
  <c r="G16" i="24" s="1"/>
  <c r="F13" i="24"/>
  <c r="G13" i="24" s="1"/>
  <c r="F35" i="24"/>
  <c r="G35" i="24" s="1"/>
  <c r="F11" i="24"/>
  <c r="G11" i="24" s="1"/>
  <c r="F7" i="24"/>
  <c r="G7" i="24" s="1"/>
  <c r="P3" i="24"/>
  <c r="H32" i="24" l="1"/>
  <c r="H33" i="24"/>
  <c r="H26" i="24"/>
  <c r="H19" i="24"/>
  <c r="H22" i="24"/>
  <c r="H11" i="24"/>
  <c r="H10" i="24"/>
  <c r="H18" i="24"/>
  <c r="H7" i="24"/>
  <c r="H29" i="24"/>
  <c r="H23" i="24"/>
  <c r="H25" i="24"/>
  <c r="H16" i="24"/>
  <c r="H9" i="24"/>
  <c r="H12" i="24"/>
  <c r="H30" i="24"/>
  <c r="H20" i="24"/>
  <c r="H35" i="24"/>
  <c r="H27" i="24"/>
  <c r="H15" i="24"/>
  <c r="H24" i="24"/>
  <c r="H14" i="24"/>
  <c r="H28" i="24"/>
  <c r="H8" i="24"/>
  <c r="H13" i="24"/>
  <c r="H31" i="24"/>
  <c r="H21" i="24"/>
  <c r="H17" i="24"/>
  <c r="H34"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31" i="7" l="1"/>
  <c r="AE32" i="7"/>
  <c r="AE33" i="7"/>
  <c r="AE34" i="7"/>
  <c r="M3" i="15"/>
  <c r="B4" i="15"/>
  <c r="B5" i="15"/>
  <c r="K3" i="1"/>
  <c r="H4" i="15" l="1"/>
  <c r="B3" i="15"/>
  <c r="H2" i="15"/>
  <c r="W1" i="1"/>
  <c r="X1" i="1" s="1"/>
  <c r="F30" i="15" l="1"/>
  <c r="G30" i="15" s="1"/>
  <c r="F10" i="15"/>
  <c r="G10" i="15" s="1"/>
  <c r="F22" i="15"/>
  <c r="G22" i="15" s="1"/>
  <c r="F17" i="15"/>
  <c r="G17" i="15" s="1"/>
  <c r="F11" i="15"/>
  <c r="G11" i="15" s="1"/>
  <c r="F28" i="15"/>
  <c r="G28" i="15" s="1"/>
  <c r="F18" i="15"/>
  <c r="G18" i="15" s="1"/>
  <c r="F23" i="15"/>
  <c r="G23" i="15" s="1"/>
  <c r="F16" i="15"/>
  <c r="G16" i="15" s="1"/>
  <c r="F21" i="15"/>
  <c r="G21" i="15" s="1"/>
  <c r="F12" i="15"/>
  <c r="G12" i="15" s="1"/>
  <c r="F15" i="15"/>
  <c r="G15" i="15" s="1"/>
  <c r="F25" i="15"/>
  <c r="G25" i="15" s="1"/>
  <c r="F20" i="15"/>
  <c r="G20" i="15" s="1"/>
  <c r="F26" i="15"/>
  <c r="G26" i="15" s="1"/>
  <c r="F9" i="15"/>
  <c r="G9" i="15" s="1"/>
  <c r="F24" i="15"/>
  <c r="G24" i="15" s="1"/>
  <c r="F14" i="15"/>
  <c r="G14" i="15" s="1"/>
  <c r="F13" i="15"/>
  <c r="G13" i="15" s="1"/>
  <c r="F7" i="15"/>
  <c r="G7" i="15" s="1"/>
  <c r="F27" i="15"/>
  <c r="G27"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9" i="15" l="1"/>
  <c r="H31" i="15"/>
  <c r="H21" i="15"/>
  <c r="H19" i="15"/>
  <c r="H11" i="15"/>
  <c r="H12" i="15"/>
  <c r="H17" i="15"/>
  <c r="H20" i="15"/>
  <c r="H16" i="15"/>
  <c r="H29" i="15"/>
  <c r="H8" i="15"/>
  <c r="H24" i="15"/>
  <c r="H23" i="15"/>
  <c r="H14" i="15"/>
  <c r="H10" i="15"/>
  <c r="H30" i="15"/>
  <c r="H28" i="15"/>
  <c r="H22" i="15"/>
  <c r="H18" i="15"/>
  <c r="H13" i="15"/>
  <c r="H26" i="15"/>
  <c r="H25" i="15"/>
  <c r="H27" i="15"/>
  <c r="H15" i="15"/>
  <c r="H7" i="15"/>
  <c r="F14" i="11"/>
  <c r="G14" i="11" s="1"/>
  <c r="F15" i="11"/>
  <c r="G15" i="11" s="1"/>
  <c r="F27" i="11"/>
  <c r="G27" i="11" s="1"/>
  <c r="F7" i="11"/>
  <c r="G7" i="11" s="1"/>
  <c r="F20" i="11"/>
  <c r="G20" i="11" s="1"/>
  <c r="F35" i="11"/>
  <c r="G35" i="11" s="1"/>
  <c r="F41" i="11"/>
  <c r="G41" i="11" s="1"/>
  <c r="F25" i="11"/>
  <c r="G25" i="11" s="1"/>
  <c r="F38" i="11"/>
  <c r="G38" i="11" s="1"/>
  <c r="F22" i="11"/>
  <c r="G22" i="11" s="1"/>
  <c r="F17" i="11"/>
  <c r="G17" i="11" s="1"/>
  <c r="F26" i="11"/>
  <c r="G26" i="11" s="1"/>
  <c r="F28" i="11"/>
  <c r="G28" i="11" s="1"/>
  <c r="F16" i="11"/>
  <c r="G16" i="11" s="1"/>
  <c r="F33" i="11"/>
  <c r="G33" i="11" s="1"/>
  <c r="F9" i="11"/>
  <c r="G9" i="11" s="1"/>
  <c r="F30" i="11"/>
  <c r="G30" i="11" s="1"/>
  <c r="F34" i="11"/>
  <c r="G34" i="11" s="1"/>
  <c r="F23" i="11"/>
  <c r="G23" i="11" s="1"/>
  <c r="F36" i="11"/>
  <c r="G36" i="11" s="1"/>
  <c r="F40" i="11"/>
  <c r="G40" i="11" s="1"/>
  <c r="F10" i="11"/>
  <c r="G10" i="11" s="1"/>
  <c r="F18" i="11"/>
  <c r="G18" i="11" s="1"/>
  <c r="F29" i="11"/>
  <c r="G29" i="11" s="1"/>
  <c r="F11" i="11"/>
  <c r="G11" i="11" s="1"/>
  <c r="F32" i="11"/>
  <c r="G32" i="11" s="1"/>
  <c r="F13" i="11"/>
  <c r="G13" i="11" s="1"/>
  <c r="F37" i="11"/>
  <c r="G37" i="11" s="1"/>
  <c r="F39" i="11"/>
  <c r="G39" i="11" s="1"/>
  <c r="F31" i="11"/>
  <c r="G31" i="11" s="1"/>
  <c r="F19" i="11"/>
  <c r="G19" i="11" s="1"/>
  <c r="F21" i="11"/>
  <c r="G21" i="11" s="1"/>
  <c r="F24" i="11"/>
  <c r="G24" i="11" s="1"/>
  <c r="F8" i="11"/>
  <c r="G8" i="11" s="1"/>
  <c r="F12" i="11"/>
  <c r="G12"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H21" i="11" l="1"/>
  <c r="H29" i="11"/>
  <c r="H35" i="11"/>
  <c r="H39" i="11"/>
  <c r="H31" i="11"/>
  <c r="H36" i="11"/>
  <c r="H16" i="11"/>
  <c r="H13" i="11"/>
  <c r="H18" i="11"/>
  <c r="H7" i="11"/>
  <c r="H10" i="11"/>
  <c r="H12" i="11"/>
  <c r="H30" i="11"/>
  <c r="H20" i="11"/>
  <c r="H32" i="11"/>
  <c r="H24" i="11"/>
  <c r="H17" i="11"/>
  <c r="H34" i="11"/>
  <c r="H23" i="11"/>
  <c r="H19" i="11"/>
  <c r="H22" i="11"/>
  <c r="H15" i="11"/>
  <c r="H38" i="11"/>
  <c r="H26" i="11"/>
  <c r="H14" i="11"/>
  <c r="H11" i="11"/>
  <c r="H25" i="11"/>
  <c r="H9" i="11"/>
  <c r="H40" i="11"/>
  <c r="H33" i="11"/>
  <c r="H41" i="11"/>
  <c r="H27" i="11"/>
  <c r="H37" i="11"/>
  <c r="H28" i="11"/>
  <c r="H8" i="11"/>
  <c r="F42" i="6"/>
  <c r="G42" i="6" s="1"/>
  <c r="F14" i="6"/>
  <c r="G14" i="6" s="1"/>
  <c r="F37" i="6"/>
  <c r="G37" i="6" s="1"/>
  <c r="F35" i="6"/>
  <c r="G35" i="6" s="1"/>
  <c r="F31" i="6"/>
  <c r="G31" i="6" s="1"/>
  <c r="F40" i="6"/>
  <c r="G40" i="6" s="1"/>
  <c r="F25" i="6"/>
  <c r="G25" i="6" s="1"/>
  <c r="F12" i="6"/>
  <c r="G12" i="6" s="1"/>
  <c r="F15" i="6"/>
  <c r="G15" i="6" s="1"/>
  <c r="F11" i="6"/>
  <c r="G11" i="6" s="1"/>
  <c r="F9" i="6"/>
  <c r="G9" i="6" s="1"/>
  <c r="F33" i="6"/>
  <c r="G33" i="6" s="1"/>
  <c r="F36" i="6"/>
  <c r="G36" i="6" s="1"/>
  <c r="F18" i="6"/>
  <c r="G18" i="6" s="1"/>
  <c r="F30" i="6"/>
  <c r="G30" i="6" s="1"/>
  <c r="F13" i="6"/>
  <c r="G13" i="6" s="1"/>
  <c r="F22" i="6"/>
  <c r="G22" i="6" s="1"/>
  <c r="F20" i="6"/>
  <c r="G20" i="6" s="1"/>
  <c r="F23" i="6"/>
  <c r="G23" i="6" s="1"/>
  <c r="F24" i="6"/>
  <c r="G24" i="6" s="1"/>
  <c r="F32" i="6"/>
  <c r="G32" i="6" s="1"/>
  <c r="F41" i="6"/>
  <c r="G41" i="6" s="1"/>
  <c r="F29" i="6"/>
  <c r="G29" i="6" s="1"/>
  <c r="F27" i="6"/>
  <c r="G27" i="6" s="1"/>
  <c r="F21" i="6"/>
  <c r="G21" i="6" s="1"/>
  <c r="F8" i="6"/>
  <c r="G8" i="6" s="1"/>
  <c r="F28" i="6"/>
  <c r="G28" i="6" s="1"/>
  <c r="F17" i="6"/>
  <c r="G17" i="6" s="1"/>
  <c r="F16" i="6"/>
  <c r="G16" i="6" s="1"/>
  <c r="F39" i="6"/>
  <c r="G39" i="6" s="1"/>
  <c r="F7" i="6"/>
  <c r="G7" i="6" s="1"/>
  <c r="F38" i="6"/>
  <c r="G38" i="6" s="1"/>
  <c r="F10" i="6"/>
  <c r="G10" i="6" s="1"/>
  <c r="F34" i="6"/>
  <c r="G34" i="6" s="1"/>
  <c r="F26" i="6"/>
  <c r="G26" i="6" s="1"/>
  <c r="F19" i="6"/>
  <c r="G19" i="6" s="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7" i="6" l="1"/>
  <c r="H29" i="6"/>
  <c r="H30" i="6"/>
  <c r="H39" i="6"/>
  <c r="H9" i="6"/>
  <c r="H25" i="6"/>
  <c r="H32" i="6"/>
  <c r="H40" i="6"/>
  <c r="H36" i="6"/>
  <c r="H15" i="6"/>
  <c r="H33" i="6"/>
  <c r="H21" i="6"/>
  <c r="H18" i="6"/>
  <c r="H10" i="6"/>
  <c r="H27" i="6"/>
  <c r="H19" i="6"/>
  <c r="H16" i="6"/>
  <c r="H20" i="6"/>
  <c r="H34" i="6"/>
  <c r="H38" i="6"/>
  <c r="H13" i="6"/>
  <c r="H31" i="6"/>
  <c r="H22" i="6"/>
  <c r="H23" i="6"/>
  <c r="H41" i="6"/>
  <c r="H11" i="6"/>
  <c r="H35" i="6"/>
  <c r="H28" i="6"/>
  <c r="H24" i="6"/>
  <c r="H37" i="6"/>
  <c r="H17" i="6"/>
  <c r="H14" i="6"/>
  <c r="H8" i="6"/>
  <c r="H12" i="6"/>
  <c r="H42" i="6"/>
  <c r="H26"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7"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8"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9"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0"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1"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2"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3"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4"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5"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16"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17"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18"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19"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0"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1"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22"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23"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24"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25" xr16:uid="{D471F51F-E313-46C3-9D4A-4A5B0D7CF9B3}"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26"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27"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28"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29"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30"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31"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32"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33"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<sst xmlns="http://schemas.openxmlformats.org/spreadsheetml/2006/main" count="3166" uniqueCount="673">
  <si>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</si>
  <si>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</si>
  <si>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</si>
  <si>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</si>
  <si>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</si>
  <si>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</si>
  <si>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</si>
  <si>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</si>
  <si>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</si>
  <si>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</si>
  <si>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</si>
  <si>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</si>
  <si>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</si>
  <si>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</si>
  <si>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</si>
  <si>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</si>
  <si>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</si>
  <si>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</si>
  <si>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</si>
  <si>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</si>
  <si>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</si>
  <si>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</si>
  <si>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</si>
  <si>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</si>
  <si>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</si>
  <si>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</si>
  <si>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</si>
  <si>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</si>
  <si>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</si>
  <si>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</si>
  <si>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</si>
  <si>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</si>
  <si>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</si>
  <si>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</si>
  <si>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</si>
  <si>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</si>
  <si>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</si>
  <si>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</si>
  <si>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</si>
  <si>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</si>
  <si>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</si>
  <si>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</si>
  <si>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</si>
  <si>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</si>
  <si>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</si>
  <si>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</si>
  <si>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</si>
  <si>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</si>
  <si>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</si>
  <si>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</si>
  <si>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</si>
  <si>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</si>
  <si>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</si>
  <si>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</si>
  <si>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</si>
  <si>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</si>
  <si>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</si>
  <si>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</si>
  <si>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</si>
  <si>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</si>
  <si>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</si>
  <si>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</si>
  <si>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</si>
  <si>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</si>
  <si>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</si>
  <si>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</si>
  <si>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</si>
  <si>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</si>
  <si>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</si>
  <si>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</si>
  <si>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</si>
  <si>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</si>
  <si>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</si>
  <si>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</si>
  <si>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</si>
  <si>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</si>
  <si>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</si>
  <si>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</si>
  <si>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</si>
  <si>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</si>
  <si>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</si>
  <si>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</si>
  <si>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</si>
  <si>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</si>
  <si>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</si>
  <si>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</si>
  <si>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</si>
  <si>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</si>
  <si>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</si>
  <si>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</si>
  <si>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</si>
  <si>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</si>
  <si>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</si>
  <si>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</si>
  <si>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</si>
  <si>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</si>
  <si>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</si>
  <si>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</si>
  <si>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</si>
  <si>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</si>
  <si>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</si>
  <si>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</si>
  <si>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</si>
  <si>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</si>
  <si>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</si>
  <si>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</si>
  <si>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</si>
  <si>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</si>
  <si>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</si>
  <si>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</si>
  <si>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</si>
  <si>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</si>
  <si>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</si>
  <si>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</si>
  <si>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</si>
  <si>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</si>
  <si>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</si>
  <si>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</si>
  <si>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</si>
  <si>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</si>
  <si>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</si>
  <si>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</si>
  <si>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</si>
  <si>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</si>
  <si>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</si>
  <si>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</si>
  <si>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</si>
  <si>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</si>
  <si>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</si>
  <si>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</si>
  <si>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</si>
  <si>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</si>
  <si>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</si>
  <si>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</si>
  <si>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</si>
  <si>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</si>
  <si>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</si>
  <si>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</si>
  <si>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</si>
  <si>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</si>
  <si>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</si>
  <si>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</si>
  <si>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</si>
  <si>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</si>
  <si>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</si>
  <si>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</si>
  <si>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</si>
  <si>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</si>
  <si>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</si>
  <si>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</si>
  <si>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</si>
  <si>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</si>
  <si>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</si>
  <si>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</si>
  <si>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</si>
  <si>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</si>
  <si>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</si>
  <si>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</si>
  <si>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</si>
  <si>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</si>
  <si>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</si>
  <si>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</si>
  <si>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</si>
  <si>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</si>
  <si>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</si>
  <si>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</si>
  <si>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</si>
  <si>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</si>
  <si>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</si>
  <si>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</si>
  <si>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</si>
  <si>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</si>
  <si>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</si>
  <si>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</si>
  <si>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</si>
  <si>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</si>
  <si>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</si>
  <si>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</si>
  <si>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</si>
  <si>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</si>
  <si>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</si>
  <si>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</si>
  <si>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</si>
  <si>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</si>
  <si>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</si>
  <si>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</si>
  <si>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</si>
  <si>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</si>
  <si>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</si>
  <si>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</si>
  <si>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</si>
  <si>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</si>
  <si>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</si>
  <si>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</si>
  <si>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</si>
  <si>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</si>
  <si>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</si>
  <si>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</si>
  <si>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</si>
  <si>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</si>
  <si>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</si>
  <si>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</si>
  <si>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</si>
  <si>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</si>
  <si>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</si>
  <si>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</si>
  <si>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</si>
  <si>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</si>
  <si>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</si>
  <si>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</si>
  <si>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</si>
  <si>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</si>
  <si>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</si>
  <si>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</si>
  <si>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</si>
  <si>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</si>
  <si>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</si>
  <si>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</si>
  <si>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</si>
  <si>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</si>
  <si>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</si>
  <si>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</si>
  <si>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</si>
  <si>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</si>
  <si>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</si>
  <si>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</si>
  <si>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</si>
  <si>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</si>
  <si>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</si>
  <si>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</si>
  <si>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</si>
  <si>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</si>
  <si>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</si>
  <si>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</si>
  <si>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</si>
  <si>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</si>
  <si>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</si>
  <si>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</si>
  <si>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</si>
  <si>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</si>
  <si>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</si>
  <si>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</si>
  <si>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</si>
  <si>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</si>
  <si>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</si>
  <si>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</si>
  <si>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</si>
  <si>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</si>
  <si>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</si>
  <si>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</si>
  <si>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</si>
  <si>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</si>
  <si>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</si>
  <si>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</si>
  <si>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</si>
  <si>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</si>
  <si>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</si>
  <si>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</si>
  <si>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</si>
  <si>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</si>
  <si>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</si>
  <si>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</si>
  <si>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</si>
  <si>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</si>
  <si>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</si>
  <si>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</si>
  <si>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</si>
  <si>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</si>
  <si>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</si>
  <si>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</si>
  <si>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</si>
  <si>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</si>
  <si>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</si>
  <si>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</si>
  <si>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</si>
  <si>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</si>
  <si>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</si>
  <si>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</si>
  <si>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</si>
  <si>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</si>
  <si>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</si>
  <si>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</si>
  <si>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</si>
  <si>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</si>
  <si>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</si>
  <si>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</si>
  <si>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</si>
  <si>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</si>
  <si>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</si>
  <si>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</si>
  <si>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</si>
  <si>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</si>
  <si>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</si>
  <si>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</si>
  <si>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</si>
  <si>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</si>
  <si>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</si>
  <si>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</si>
  <si>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</si>
  <si>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</si>
  <si>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</si>
  <si>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</si>
  <si>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</si>
  <si>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</si>
  <si>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</si>
  <si>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</si>
  <si>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</si>
  <si>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</si>
  <si>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</si>
  <si>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</si>
  <si>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</si>
  <si>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</si>
  <si>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</si>
  <si>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</si>
  <si>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</si>
  <si>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</si>
  <si>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</si>
  <si>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</si>
  <si>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</si>
  <si>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</si>
  <si>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</si>
  <si>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</si>
  <si>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</si>
  <si>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</si>
  <si>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</si>
  <si>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</si>
  <si>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</si>
  <si>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</si>
  <si>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</si>
  <si>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</si>
  <si>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</si>
  <si>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</si>
  <si>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</si>
  <si>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</si>
  <si>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</si>
  <si>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</si>
  <si>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</si>
  <si>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</si>
  <si>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</si>
  <si>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</si>
  <si>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</si>
  <si>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</si>
  <si>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</si>
  <si>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</si>
  <si>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</si>
  <si>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</si>
  <si>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</si>
  <si>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</si>
  <si>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</si>
  <si>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</si>
  <si>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</si>
  <si>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</si>
  <si>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</si>
  <si>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</si>
  <si>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</si>
  <si>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</si>
  <si>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</si>
  <si>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</si>
  <si>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</si>
  <si>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</si>
  <si>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</si>
  <si>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</si>
  <si>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</si>
  <si>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</si>
  <si>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</si>
  <si>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</si>
  <si>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</si>
  <si>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</si>
  <si>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</si>
  <si>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</si>
  <si>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</si>
  <si>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</si>
  <si>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</si>
  <si>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</si>
  <si>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</si>
  <si>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</si>
  <si>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</si>
  <si>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</si>
  <si>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</si>
  <si>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</si>
  <si>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</si>
  <si>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</si>
  <si>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</si>
  <si>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</si>
  <si>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</si>
  <si>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</si>
  <si>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</si>
  <si>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</si>
  <si>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</si>
  <si>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</si>
  <si>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</si>
  <si>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</si>
  <si>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</si>
  <si>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</si>
  <si>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</si>
  <si>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</si>
  <si>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</si>
  <si>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</si>
  <si>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</si>
  <si>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</si>
  <si>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</si>
  <si>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</si>
  <si>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</si>
  <si>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</si>
  <si>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</si>
  <si>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</si>
  <si>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</si>
  <si>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</si>
  <si>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</si>
  <si>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</si>
  <si>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</si>
  <si>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</si>
  <si>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</si>
  <si>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</si>
  <si>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</si>
  <si>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</si>
  <si>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</si>
  <si>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</si>
  <si>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</si>
  <si>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</si>
  <si>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</si>
  <si>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</si>
  <si>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</si>
  <si>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</si>
  <si>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</si>
  <si>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</si>
  <si>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</si>
  <si>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</si>
  <si>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</si>
  <si>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</si>
  <si>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</si>
  <si>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</si>
  <si>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</si>
  <si>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</si>
  <si>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</si>
  <si>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</si>
  <si>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</si>
  <si>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</si>
  <si>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</si>
  <si>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</si>
  <si>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</si>
  <si>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</si>
  <si>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</si>
  <si>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</si>
  <si>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</si>
  <si>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</si>
  <si>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</si>
  <si>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</si>
  <si>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</si>
  <si>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</si>
  <si>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</si>
  <si>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</si>
  <si>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</si>
  <si>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</si>
  <si>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</si>
  <si>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</si>
  <si>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</si>
  <si>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</si>
  <si>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</si>
  <si>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</si>
  <si>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</si>
  <si>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</si>
  <si>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</si>
  <si>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</si>
  <si>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</si>
  <si>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</si>
  <si>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</si>
  <si>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</si>
  <si>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</si>
  <si>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</si>
  <si>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</si>
  <si>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</si>
  <si>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</si>
  <si>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</si>
  <si>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</si>
  <si>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</si>
  <si>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</si>
  <si>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</si>
  <si>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</si>
  <si>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</si>
  <si>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</si>
  <si>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</si>
  <si>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</si>
  <si>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</si>
  <si>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</si>
  <si>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</si>
  <si>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</si>
  <si>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</si>
  <si>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</si>
  <si>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</si>
  <si>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</si>
  <si>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</si>
  <si>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</si>
  <si>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</si>
  <si>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</si>
  <si>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</si>
  <si>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</si>
  <si>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</si>
  <si>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</si>
  <si>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</si>
  <si>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</si>
  <si>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</si>
  <si>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</si>
  <si>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</si>
  <si>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</si>
  <si>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</si>
  <si>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</si>
  <si>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</si>
  <si>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</si>
  <si>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</si>
  <si>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</si>
  <si>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</si>
  <si>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</si>
  <si>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</si>
  <si>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</si>
  <si>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</si>
  <si>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</si>
  <si>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</si>
  <si>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</si>
  <si>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</si>
  <si>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</si>
  <si>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</si>
  <si>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</si>
  <si>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</si>
  <si>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</si>
  <si>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</si>
  <si>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</si>
  <si>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</si>
  <si>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</si>
  <si>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</si>
  <si>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</si>
  <si>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</si>
  <si>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</si>
  <si>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</si>
  <si>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</si>
  <si>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</si>
  <si>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</si>
  <si>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</si>
  <si>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</si>
  <si>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</si>
  <si>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</si>
  <si>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</si>
  <si>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</si>
  <si>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</si>
  <si>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</si>
  <si>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</si>
  <si>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</si>
  <si>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</si>
  <si>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</si>
  <si>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</si>
  <si>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</si>
  <si>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</si>
  <si>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#N/A</t>
  </si>
  <si>
    <t>Lopez Oliver</t>
  </si>
  <si>
    <t>min</t>
  </si>
  <si>
    <t>min2</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</si>
  <si>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</si>
  <si>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</si>
  <si>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</si>
  <si>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</si>
  <si>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</si>
  <si>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</si>
  <si>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</si>
  <si>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</si>
  <si>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</si>
  <si>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</si>
  <si>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</si>
  <si>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</si>
  <si>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</si>
  <si>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</si>
  <si>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</si>
  <si>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</si>
  <si>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</si>
  <si>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</si>
  <si>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</si>
  <si>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</si>
  <si>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</si>
  <si>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</si>
  <si>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</si>
  <si>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</si>
  <si>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</si>
  <si>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</si>
  <si>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</si>
  <si>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</si>
  <si>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</si>
  <si>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</si>
  <si>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</si>
  <si>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</si>
  <si>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</si>
  <si>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</si>
  <si>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</si>
  <si>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</si>
  <si>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</si>
  <si>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</si>
  <si>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</si>
  <si>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</si>
  <si>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</si>
  <si>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</si>
  <si>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SERGIO</t>
  </si>
  <si>
    <t>LOPEZ OLIVER</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</si>
  <si>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</si>
  <si>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</si>
  <si>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</si>
  <si>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</si>
  <si>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</si>
  <si>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</si>
  <si>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</si>
  <si>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</si>
  <si>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</si>
  <si>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</si>
  <si>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</si>
  <si>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</si>
  <si>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</si>
  <si>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</si>
  <si>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</si>
  <si>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</si>
  <si>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</si>
  <si>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</si>
  <si>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</si>
  <si>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</si>
  <si>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</si>
  <si>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</si>
  <si>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</si>
  <si>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</si>
  <si>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</si>
  <si>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</si>
  <si>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Gabini</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</si>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</sst>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18"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s>
  <fills count="12">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s>
  <borders count="24">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s>
  <cellStyleXfs count="2">
    <xf numFmtId="0" fontId="0" fillId="0" borderId="0"/>
    <xf numFmtId="9" fontId="2" fillId="0" borderId="0" applyFont="0" applyFill="0" applyBorder="0" applyAlignment="0" applyProtection="0"/>
  </cellStyleXfs>
  <cellXfs count="116">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6" fontId="0" fillId="0" borderId="0" xfId="0" applyNumberFormat="1" applyAlignment="1">
      <alignment horizontal="right"/>
    </xf>
    <xf numFmtId="167" fontId="0" fillId="0" borderId="0" xfId="0" applyNumberFormat="1" applyAlignment="1">
      <alignment horizontal="right"/>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0" fontId="0" fillId="0" borderId="0" xfId="0" applyAlignment="1">
      <alignment horizontal="center" wrapText="1"/>
    </xf>
    <xf numFmtId="0" fontId="0" fillId="0" borderId="0" xfId="0" applyNumberFormat="1" applyAlignment="1">
      <alignment horizontal="center"/>
    </xf>
  </cellXfs>
  <cellStyles count="2">
    <cellStyle name="Normal" xfId="0" builtinId="0"/>
    <cellStyle name="Porcentaje" xfId="1" builtinId="5"/>
  </cellStyles>
  <dxfs count="125">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rgb="FFFF0000"/>
        <name val="Arial"/>
        <family val="2"/>
        <scheme val="none"/>
      </font>
    </dxf>
    <dxf>
      <font>
        <b val="0"/>
        <i val="0"/>
        <strike val="0"/>
        <condense val="0"/>
        <extend val="0"/>
        <outline val="0"/>
        <shadow val="0"/>
        <u val="none"/>
        <vertAlign val="baseline"/>
        <sz val="9"/>
        <color rgb="FFFF0000"/>
        <name val="Arial"/>
        <family val="2"/>
        <scheme val="none"/>
      </font>
    </dxf>
    <dxf>
      <font>
        <color rgb="FFFF0000"/>
      </font>
      <numFmt numFmtId="0" formatCode="General"/>
    </dxf>
    <dxf>
      <font>
        <color rgb="FFFF0000"/>
      </font>
      <numFmt numFmtId="0" formatCode="General"/>
    </dxf>
    <dxf>
      <font>
        <color rgb="FFFF0000"/>
      </font>
      <numFmt numFmtId="0" formatCode="General"/>
    </dxf>
    <dxf>
      <font>
        <color rgb="FFFF0000"/>
      </font>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31.39</c:v>
                </c:pt>
                <c:pt idx="1">
                  <c:v>31.39</c:v>
                </c:pt>
                <c:pt idx="2">
                  <c:v>31.39</c:v>
                </c:pt>
                <c:pt idx="3">
                  <c:v>31.39</c:v>
                </c:pt>
                <c:pt idx="4">
                  <c:v>31.39</c:v>
                </c:pt>
                <c:pt idx="5">
                  <c:v>31.39</c:v>
                </c:pt>
                <c:pt idx="6">
                  <c:v>31.39</c:v>
                </c:pt>
                <c:pt idx="7">
                  <c:v>31.39</c:v>
                </c:pt>
                <c:pt idx="8">
                  <c:v>31.39</c:v>
                </c:pt>
                <c:pt idx="9">
                  <c:v>31.39</c:v>
                </c:pt>
                <c:pt idx="10">
                  <c:v>31.39</c:v>
                </c:pt>
                <c:pt idx="11">
                  <c:v>31.39</c:v>
                </c:pt>
                <c:pt idx="12">
                  <c:v>31.39</c:v>
                </c:pt>
                <c:pt idx="13">
                  <c:v>31.39</c:v>
                </c:pt>
                <c:pt idx="14">
                  <c:v>31.39</c:v>
                </c:pt>
                <c:pt idx="15">
                  <c:v>31.39</c:v>
                </c:pt>
                <c:pt idx="16">
                  <c:v>31.39</c:v>
                </c:pt>
                <c:pt idx="17">
                  <c:v>31.39</c:v>
                </c:pt>
                <c:pt idx="18">
                  <c:v>31.39</c:v>
                </c:pt>
                <c:pt idx="19">
                  <c:v>31.39</c:v>
                </c:pt>
                <c:pt idx="20">
                  <c:v>31.39</c:v>
                </c:pt>
                <c:pt idx="21">
                  <c:v>31.39</c:v>
                </c:pt>
                <c:pt idx="22">
                  <c:v>31.39</c:v>
                </c:pt>
                <c:pt idx="23">
                  <c:v>31.39</c:v>
                </c:pt>
                <c:pt idx="24">
                  <c:v>31.39</c:v>
                </c:pt>
                <c:pt idx="25">
                  <c:v>31.39</c:v>
                </c:pt>
                <c:pt idx="26">
                  <c:v>31.39</c:v>
                </c:pt>
                <c:pt idx="27">
                  <c:v>31.39</c:v>
                </c:pt>
                <c:pt idx="28">
                  <c:v>31.39</c:v>
                </c:pt>
                <c:pt idx="29">
                  <c:v>31.39</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50.02</c:v>
                </c:pt>
                <c:pt idx="1">
                  <c:v>45.84</c:v>
                </c:pt>
                <c:pt idx="2">
                  <c:v>41.67</c:v>
                </c:pt>
                <c:pt idx="3">
                  <c:v>40.74</c:v>
                </c:pt>
                <c:pt idx="4">
                  <c:v>40</c:v>
                </c:pt>
                <c:pt idx="5">
                  <c:v>41.64</c:v>
                </c:pt>
                <c:pt idx="6">
                  <c:v>45.25</c:v>
                </c:pt>
                <c:pt idx="7">
                  <c:v>52.92</c:v>
                </c:pt>
                <c:pt idx="8">
                  <c:v>42.21</c:v>
                </c:pt>
                <c:pt idx="9">
                  <c:v>25.83</c:v>
                </c:pt>
                <c:pt idx="10">
                  <c:v>15.08</c:v>
                </c:pt>
                <c:pt idx="11">
                  <c:v>10.119999999999999</c:v>
                </c:pt>
                <c:pt idx="12">
                  <c:v>8.58</c:v>
                </c:pt>
                <c:pt idx="13">
                  <c:v>6.33</c:v>
                </c:pt>
                <c:pt idx="14">
                  <c:v>5.18</c:v>
                </c:pt>
                <c:pt idx="15">
                  <c:v>4.0199999999999996</c:v>
                </c:pt>
                <c:pt idx="16">
                  <c:v>3.94</c:v>
                </c:pt>
                <c:pt idx="17">
                  <c:v>6.42</c:v>
                </c:pt>
                <c:pt idx="18">
                  <c:v>12.43</c:v>
                </c:pt>
                <c:pt idx="19">
                  <c:v>27.13</c:v>
                </c:pt>
                <c:pt idx="20">
                  <c:v>46.23</c:v>
                </c:pt>
                <c:pt idx="21">
                  <c:v>66.7</c:v>
                </c:pt>
                <c:pt idx="22">
                  <c:v>62.48</c:v>
                </c:pt>
                <c:pt idx="23">
                  <c:v>53.9</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14.76</c:v>
                </c:pt>
                <c:pt idx="11">
                  <c:v>10.56</c:v>
                </c:pt>
                <c:pt idx="12">
                  <c:v>7.72</c:v>
                </c:pt>
                <c:pt idx="13">
                  <c:v>9.57</c:v>
                </c:pt>
                <c:pt idx="14">
                  <c:v>7.31</c:v>
                </c:pt>
                <c:pt idx="15">
                  <c:v>4.42</c:v>
                </c:pt>
                <c:pt idx="16">
                  <c:v>6.32</c:v>
                </c:pt>
                <c:pt idx="17">
                  <c:v>8.89</c:v>
                </c:pt>
                <c:pt idx="18">
                  <c:v>13.18</c:v>
                </c:pt>
                <c:pt idx="19">
                  <c:v>11.03</c:v>
                </c:pt>
                <c:pt idx="20">
                  <c:v>32.56</c:v>
                </c:pt>
                <c:pt idx="21">
                  <c:v>54.74</c:v>
                </c:pt>
                <c:pt idx="22">
                  <c:v>72.239999999999995</c:v>
                </c:pt>
                <c:pt idx="23">
                  <c:v>50.88</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61.17</c:v>
                </c:pt>
                <c:pt idx="1">
                  <c:v>41.23</c:v>
                </c:pt>
                <c:pt idx="2">
                  <c:v>48.49</c:v>
                </c:pt>
                <c:pt idx="3">
                  <c:v>53.82</c:v>
                </c:pt>
                <c:pt idx="4">
                  <c:v>48.47</c:v>
                </c:pt>
                <c:pt idx="5">
                  <c:v>44.3</c:v>
                </c:pt>
                <c:pt idx="6">
                  <c:v>46.06</c:v>
                </c:pt>
                <c:pt idx="7">
                  <c:v>55.06</c:v>
                </c:pt>
                <c:pt idx="8">
                  <c:v>54.97</c:v>
                </c:pt>
                <c:pt idx="9">
                  <c:v>32.090000000000003</c:v>
                </c:pt>
                <c:pt idx="10">
                  <c:v>8.74</c:v>
                </c:pt>
                <c:pt idx="11">
                  <c:v>8.0299999999999994</c:v>
                </c:pt>
                <c:pt idx="12">
                  <c:v>6.27</c:v>
                </c:pt>
                <c:pt idx="13">
                  <c:v>0.33</c:v>
                </c:pt>
                <c:pt idx="14">
                  <c:v>2.5299999999999998</c:v>
                </c:pt>
                <c:pt idx="15">
                  <c:v>-0.21</c:v>
                </c:pt>
                <c:pt idx="16">
                  <c:v>-0.12</c:v>
                </c:pt>
                <c:pt idx="17">
                  <c:v>0.45</c:v>
                </c:pt>
                <c:pt idx="18">
                  <c:v>10.92</c:v>
                </c:pt>
                <c:pt idx="19">
                  <c:v>39.369999999999997</c:v>
                </c:pt>
                <c:pt idx="20">
                  <c:v>49.96</c:v>
                </c:pt>
                <c:pt idx="21">
                  <c:v>72.17</c:v>
                </c:pt>
                <c:pt idx="22">
                  <c:v>66.14</c:v>
                </c:pt>
                <c:pt idx="23">
                  <c:v>62.36</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73.720000000000013</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70.75</c:v>
                </c:pt>
                <c:pt idx="1">
                  <c:v>70.75</c:v>
                </c:pt>
                <c:pt idx="2">
                  <c:v>70.75</c:v>
                </c:pt>
                <c:pt idx="3">
                  <c:v>70.75</c:v>
                </c:pt>
                <c:pt idx="4">
                  <c:v>70.75</c:v>
                </c:pt>
                <c:pt idx="5">
                  <c:v>70.75</c:v>
                </c:pt>
                <c:pt idx="6">
                  <c:v>70.75</c:v>
                </c:pt>
                <c:pt idx="7">
                  <c:v>70.75</c:v>
                </c:pt>
                <c:pt idx="8">
                  <c:v>70.75</c:v>
                </c:pt>
                <c:pt idx="9">
                  <c:v>70.75</c:v>
                </c:pt>
                <c:pt idx="10">
                  <c:v>70.75</c:v>
                </c:pt>
                <c:pt idx="11">
                  <c:v>70.75</c:v>
                </c:pt>
                <c:pt idx="12">
                  <c:v>70.75</c:v>
                </c:pt>
                <c:pt idx="13">
                  <c:v>70.75</c:v>
                </c:pt>
                <c:pt idx="14">
                  <c:v>70.75</c:v>
                </c:pt>
                <c:pt idx="15">
                  <c:v>70.75</c:v>
                </c:pt>
                <c:pt idx="16">
                  <c:v>70.75</c:v>
                </c:pt>
                <c:pt idx="17">
                  <c:v>70.75</c:v>
                </c:pt>
                <c:pt idx="18">
                  <c:v>70.75</c:v>
                </c:pt>
                <c:pt idx="19">
                  <c:v>70.75</c:v>
                </c:pt>
                <c:pt idx="20">
                  <c:v>70.75</c:v>
                </c:pt>
                <c:pt idx="21">
                  <c:v>70.75</c:v>
                </c:pt>
                <c:pt idx="22">
                  <c:v>70.75</c:v>
                </c:pt>
                <c:pt idx="23">
                  <c:v>70.75</c:v>
                </c:pt>
                <c:pt idx="24">
                  <c:v>70.75</c:v>
                </c:pt>
                <c:pt idx="25">
                  <c:v>70.75</c:v>
                </c:pt>
                <c:pt idx="26">
                  <c:v>70.75</c:v>
                </c:pt>
                <c:pt idx="27">
                  <c:v>70.75</c:v>
                </c:pt>
                <c:pt idx="28">
                  <c:v>70.75</c:v>
                </c:pt>
                <c:pt idx="29">
                  <c:v>70.75</c:v>
                </c:pt>
                <c:pt idx="30">
                  <c:v>70.75</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31.39</c:v>
                </c:pt>
                <c:pt idx="1">
                  <c:v>31.39</c:v>
                </c:pt>
                <c:pt idx="2">
                  <c:v>31.39</c:v>
                </c:pt>
                <c:pt idx="3">
                  <c:v>31.39</c:v>
                </c:pt>
                <c:pt idx="4">
                  <c:v>31.39</c:v>
                </c:pt>
                <c:pt idx="5">
                  <c:v>31.39</c:v>
                </c:pt>
                <c:pt idx="6">
                  <c:v>31.39</c:v>
                </c:pt>
                <c:pt idx="7">
                  <c:v>31.39</c:v>
                </c:pt>
                <c:pt idx="8">
                  <c:v>31.39</c:v>
                </c:pt>
                <c:pt idx="9">
                  <c:v>31.39</c:v>
                </c:pt>
                <c:pt idx="10">
                  <c:v>31.39</c:v>
                </c:pt>
                <c:pt idx="11">
                  <c:v>31.39</c:v>
                </c:pt>
                <c:pt idx="12">
                  <c:v>31.39</c:v>
                </c:pt>
                <c:pt idx="13">
                  <c:v>31.39</c:v>
                </c:pt>
                <c:pt idx="14">
                  <c:v>31.39</c:v>
                </c:pt>
                <c:pt idx="15">
                  <c:v>31.39</c:v>
                </c:pt>
                <c:pt idx="16">
                  <c:v>31.39</c:v>
                </c:pt>
                <c:pt idx="17">
                  <c:v>31.39</c:v>
                </c:pt>
                <c:pt idx="18">
                  <c:v>31.39</c:v>
                </c:pt>
                <c:pt idx="19">
                  <c:v>31.39</c:v>
                </c:pt>
                <c:pt idx="20">
                  <c:v>31.39</c:v>
                </c:pt>
                <c:pt idx="21">
                  <c:v>31.39</c:v>
                </c:pt>
                <c:pt idx="22">
                  <c:v>31.39</c:v>
                </c:pt>
                <c:pt idx="23">
                  <c:v>31.39</c:v>
                </c:pt>
                <c:pt idx="24">
                  <c:v>31.39</c:v>
                </c:pt>
                <c:pt idx="25">
                  <c:v>31.39</c:v>
                </c:pt>
                <c:pt idx="26">
                  <c:v>31.39</c:v>
                </c:pt>
                <c:pt idx="27">
                  <c:v>31.39</c:v>
                </c:pt>
                <c:pt idx="28">
                  <c:v>31.39</c:v>
                </c:pt>
                <c:pt idx="29">
                  <c:v>31.39</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50.02</c:v>
                </c:pt>
                <c:pt idx="1">
                  <c:v>45.84</c:v>
                </c:pt>
                <c:pt idx="2">
                  <c:v>41.67</c:v>
                </c:pt>
                <c:pt idx="3">
                  <c:v>40.74</c:v>
                </c:pt>
                <c:pt idx="4">
                  <c:v>40</c:v>
                </c:pt>
                <c:pt idx="5">
                  <c:v>41.64</c:v>
                </c:pt>
                <c:pt idx="6">
                  <c:v>45.25</c:v>
                </c:pt>
                <c:pt idx="7">
                  <c:v>52.92</c:v>
                </c:pt>
                <c:pt idx="8">
                  <c:v>42.21</c:v>
                </c:pt>
                <c:pt idx="9">
                  <c:v>25.83</c:v>
                </c:pt>
                <c:pt idx="10">
                  <c:v>15.08</c:v>
                </c:pt>
                <c:pt idx="11">
                  <c:v>10.119999999999999</c:v>
                </c:pt>
                <c:pt idx="12">
                  <c:v>8.58</c:v>
                </c:pt>
                <c:pt idx="13">
                  <c:v>6.33</c:v>
                </c:pt>
                <c:pt idx="14">
                  <c:v>5.18</c:v>
                </c:pt>
                <c:pt idx="15">
                  <c:v>4.0199999999999996</c:v>
                </c:pt>
                <c:pt idx="16">
                  <c:v>3.94</c:v>
                </c:pt>
                <c:pt idx="17">
                  <c:v>6.42</c:v>
                </c:pt>
                <c:pt idx="18">
                  <c:v>12.43</c:v>
                </c:pt>
                <c:pt idx="19">
                  <c:v>27.13</c:v>
                </c:pt>
                <c:pt idx="20">
                  <c:v>46.23</c:v>
                </c:pt>
                <c:pt idx="21">
                  <c:v>66.7</c:v>
                </c:pt>
                <c:pt idx="22">
                  <c:v>62.48</c:v>
                </c:pt>
                <c:pt idx="23">
                  <c:v>53.9</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14.76</c:v>
                </c:pt>
                <c:pt idx="11">
                  <c:v>10.56</c:v>
                </c:pt>
                <c:pt idx="12">
                  <c:v>7.72</c:v>
                </c:pt>
                <c:pt idx="13">
                  <c:v>9.57</c:v>
                </c:pt>
                <c:pt idx="14">
                  <c:v>7.31</c:v>
                </c:pt>
                <c:pt idx="15">
                  <c:v>4.42</c:v>
                </c:pt>
                <c:pt idx="16">
                  <c:v>6.32</c:v>
                </c:pt>
                <c:pt idx="17">
                  <c:v>8.89</c:v>
                </c:pt>
                <c:pt idx="18">
                  <c:v>13.18</c:v>
                </c:pt>
                <c:pt idx="19">
                  <c:v>11.03</c:v>
                </c:pt>
                <c:pt idx="20">
                  <c:v>32.56</c:v>
                </c:pt>
                <c:pt idx="21">
                  <c:v>54.74</c:v>
                </c:pt>
                <c:pt idx="22">
                  <c:v>72.239999999999995</c:v>
                </c:pt>
                <c:pt idx="23">
                  <c:v>50.88</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61.17</c:v>
                </c:pt>
                <c:pt idx="1">
                  <c:v>41.23</c:v>
                </c:pt>
                <c:pt idx="2">
                  <c:v>48.49</c:v>
                </c:pt>
                <c:pt idx="3">
                  <c:v>53.82</c:v>
                </c:pt>
                <c:pt idx="4">
                  <c:v>48.47</c:v>
                </c:pt>
                <c:pt idx="5">
                  <c:v>44.3</c:v>
                </c:pt>
                <c:pt idx="6">
                  <c:v>46.06</c:v>
                </c:pt>
                <c:pt idx="7">
                  <c:v>55.06</c:v>
                </c:pt>
                <c:pt idx="8">
                  <c:v>54.97</c:v>
                </c:pt>
                <c:pt idx="9">
                  <c:v>32.090000000000003</c:v>
                </c:pt>
                <c:pt idx="10">
                  <c:v>8.74</c:v>
                </c:pt>
                <c:pt idx="11">
                  <c:v>8.0299999999999994</c:v>
                </c:pt>
                <c:pt idx="12">
                  <c:v>6.27</c:v>
                </c:pt>
                <c:pt idx="13">
                  <c:v>0.33</c:v>
                </c:pt>
                <c:pt idx="14">
                  <c:v>2.5299999999999998</c:v>
                </c:pt>
                <c:pt idx="15">
                  <c:v>-0.21</c:v>
                </c:pt>
                <c:pt idx="16">
                  <c:v>-0.12</c:v>
                </c:pt>
                <c:pt idx="17">
                  <c:v>0.45</c:v>
                </c:pt>
                <c:pt idx="18">
                  <c:v>10.92</c:v>
                </c:pt>
                <c:pt idx="19">
                  <c:v>39.369999999999997</c:v>
                </c:pt>
                <c:pt idx="20">
                  <c:v>49.96</c:v>
                </c:pt>
                <c:pt idx="21">
                  <c:v>72.17</c:v>
                </c:pt>
                <c:pt idx="22">
                  <c:v>66.14</c:v>
                </c:pt>
                <c:pt idx="23">
                  <c:v>62.36</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73.720000000000013</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70.75</c:v>
                </c:pt>
                <c:pt idx="1">
                  <c:v>70.75</c:v>
                </c:pt>
                <c:pt idx="2">
                  <c:v>70.75</c:v>
                </c:pt>
                <c:pt idx="3">
                  <c:v>70.75</c:v>
                </c:pt>
                <c:pt idx="4">
                  <c:v>70.75</c:v>
                </c:pt>
                <c:pt idx="5">
                  <c:v>70.75</c:v>
                </c:pt>
                <c:pt idx="6">
                  <c:v>70.75</c:v>
                </c:pt>
                <c:pt idx="7">
                  <c:v>70.75</c:v>
                </c:pt>
                <c:pt idx="8">
                  <c:v>70.75</c:v>
                </c:pt>
                <c:pt idx="9">
                  <c:v>70.75</c:v>
                </c:pt>
                <c:pt idx="10">
                  <c:v>70.75</c:v>
                </c:pt>
                <c:pt idx="11">
                  <c:v>70.75</c:v>
                </c:pt>
                <c:pt idx="12">
                  <c:v>70.75</c:v>
                </c:pt>
                <c:pt idx="13">
                  <c:v>70.75</c:v>
                </c:pt>
                <c:pt idx="14">
                  <c:v>70.75</c:v>
                </c:pt>
                <c:pt idx="15">
                  <c:v>70.75</c:v>
                </c:pt>
                <c:pt idx="16">
                  <c:v>70.75</c:v>
                </c:pt>
                <c:pt idx="17">
                  <c:v>70.75</c:v>
                </c:pt>
                <c:pt idx="18">
                  <c:v>70.75</c:v>
                </c:pt>
                <c:pt idx="19">
                  <c:v>70.75</c:v>
                </c:pt>
                <c:pt idx="20">
                  <c:v>70.75</c:v>
                </c:pt>
                <c:pt idx="21">
                  <c:v>70.75</c:v>
                </c:pt>
                <c:pt idx="22">
                  <c:v>70.75</c:v>
                </c:pt>
                <c:pt idx="23">
                  <c:v>70.75</c:v>
                </c:pt>
                <c:pt idx="24">
                  <c:v>70.75</c:v>
                </c:pt>
                <c:pt idx="25">
                  <c:v>70.75</c:v>
                </c:pt>
                <c:pt idx="26">
                  <c:v>70.75</c:v>
                </c:pt>
                <c:pt idx="27">
                  <c:v>70.75</c:v>
                </c:pt>
                <c:pt idx="28">
                  <c:v>70.75</c:v>
                </c:pt>
                <c:pt idx="29">
                  <c:v>70.75</c:v>
                </c:pt>
                <c:pt idx="30">
                  <c:v>70.75</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0.33500000000000002</c:v>
                      </c:pt>
                      <c:pt idx="1">
                        <c:v>0.33500000000000002</c:v>
                      </c:pt>
                      <c:pt idx="2">
                        <c:v>0.33500000000000002</c:v>
                      </c:pt>
                      <c:pt idx="3">
                        <c:v>0.33500000000000002</c:v>
                      </c:pt>
                      <c:pt idx="4">
                        <c:v>0.33500000000000002</c:v>
                      </c:pt>
                      <c:pt idx="5">
                        <c:v>0.33500000000000002</c:v>
                      </c:pt>
                      <c:pt idx="6">
                        <c:v>0.33500000000000002</c:v>
                      </c:pt>
                      <c:pt idx="7">
                        <c:v>0.33500000000000002</c:v>
                      </c:pt>
                      <c:pt idx="8">
                        <c:v>0.33500000000000002</c:v>
                      </c:pt>
                      <c:pt idx="9">
                        <c:v>0.33500000000000002</c:v>
                      </c:pt>
                      <c:pt idx="10">
                        <c:v>0.33500000000000002</c:v>
                      </c:pt>
                      <c:pt idx="11">
                        <c:v>0.33500000000000002</c:v>
                      </c:pt>
                      <c:pt idx="12">
                        <c:v>0.33500000000000002</c:v>
                      </c:pt>
                      <c:pt idx="13">
                        <c:v>0.33500000000000002</c:v>
                      </c:pt>
                      <c:pt idx="14">
                        <c:v>0.33500000000000002</c:v>
                      </c:pt>
                      <c:pt idx="15">
                        <c:v>0.33500000000000002</c:v>
                      </c:pt>
                      <c:pt idx="16">
                        <c:v>0.33500000000000002</c:v>
                      </c:pt>
                      <c:pt idx="17">
                        <c:v>0.33500000000000002</c:v>
                      </c:pt>
                      <c:pt idx="18">
                        <c:v>0.33500000000000002</c:v>
                      </c:pt>
                      <c:pt idx="19">
                        <c:v>0.33500000000000002</c:v>
                      </c:pt>
                      <c:pt idx="20">
                        <c:v>0.33500000000000002</c:v>
                      </c:pt>
                      <c:pt idx="21">
                        <c:v>0.33500000000000002</c:v>
                      </c:pt>
                      <c:pt idx="22">
                        <c:v>0.33500000000000002</c:v>
                      </c:pt>
                      <c:pt idx="23">
                        <c:v>0.33500000000000002</c:v>
                      </c:pt>
                      <c:pt idx="24">
                        <c:v>0.33500000000000002</c:v>
                      </c:pt>
                      <c:pt idx="25">
                        <c:v>0.33500000000000002</c:v>
                      </c:pt>
                      <c:pt idx="26">
                        <c:v>0.33500000000000002</c:v>
                      </c:pt>
                      <c:pt idx="27">
                        <c:v>0.33500000000000002</c:v>
                      </c:pt>
                      <c:pt idx="28">
                        <c:v>0.33500000000000002</c:v>
                      </c:pt>
                      <c:pt idx="29">
                        <c:v>0.33500000000000002</c:v>
                      </c:pt>
                      <c:pt idx="30">
                        <c:v>0.33500000000000002</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31.443999999999999</c:v>
                </c:pt>
                <c:pt idx="1">
                  <c:v>31.443999999999999</c:v>
                </c:pt>
                <c:pt idx="2">
                  <c:v>31.443999999999999</c:v>
                </c:pt>
                <c:pt idx="3">
                  <c:v>31.443999999999999</c:v>
                </c:pt>
                <c:pt idx="4">
                  <c:v>31.443999999999999</c:v>
                </c:pt>
                <c:pt idx="5">
                  <c:v>31.443999999999999</c:v>
                </c:pt>
                <c:pt idx="6">
                  <c:v>31.443999999999999</c:v>
                </c:pt>
                <c:pt idx="7">
                  <c:v>31.443999999999999</c:v>
                </c:pt>
                <c:pt idx="8">
                  <c:v>31.443999999999999</c:v>
                </c:pt>
                <c:pt idx="9">
                  <c:v>31.443999999999999</c:v>
                </c:pt>
                <c:pt idx="10">
                  <c:v>31.443999999999999</c:v>
                </c:pt>
                <c:pt idx="11">
                  <c:v>31.443999999999999</c:v>
                </c:pt>
                <c:pt idx="12">
                  <c:v>31.443999999999999</c:v>
                </c:pt>
                <c:pt idx="13">
                  <c:v>31.443999999999999</c:v>
                </c:pt>
                <c:pt idx="14">
                  <c:v>31.443999999999999</c:v>
                </c:pt>
                <c:pt idx="15">
                  <c:v>31.443999999999999</c:v>
                </c:pt>
                <c:pt idx="16">
                  <c:v>31.443999999999999</c:v>
                </c:pt>
                <c:pt idx="17">
                  <c:v>31.443999999999999</c:v>
                </c:pt>
                <c:pt idx="18">
                  <c:v>31.443999999999999</c:v>
                </c:pt>
                <c:pt idx="19">
                  <c:v>31.443999999999999</c:v>
                </c:pt>
                <c:pt idx="20">
                  <c:v>31.443999999999999</c:v>
                </c:pt>
                <c:pt idx="21">
                  <c:v>31.443999999999999</c:v>
                </c:pt>
                <c:pt idx="22">
                  <c:v>31.443999999999999</c:v>
                </c:pt>
                <c:pt idx="23">
                  <c:v>31.443999999999999</c:v>
                </c:pt>
                <c:pt idx="24">
                  <c:v>31.443999999999999</c:v>
                </c:pt>
                <c:pt idx="25">
                  <c:v>31.443999999999999</c:v>
                </c:pt>
                <c:pt idx="26">
                  <c:v>31.443999999999999</c:v>
                </c:pt>
                <c:pt idx="27">
                  <c:v>31.443999999999999</c:v>
                </c:pt>
                <c:pt idx="28">
                  <c:v>31.443999999999999</c:v>
                </c:pt>
                <c:pt idx="29">
                  <c:v>31.443999999999999</c:v>
                </c:pt>
                <c:pt idx="30">
                  <c:v>31.443999999999999</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6.0000000000000001E-3</c:v>
                      </c:pt>
                      <c:pt idx="1">
                        <c:v>6.0000000000000001E-3</c:v>
                      </c:pt>
                      <c:pt idx="2">
                        <c:v>7.0000000000000001E-3</c:v>
                      </c:pt>
                      <c:pt idx="3">
                        <c:v>7.0000000000000001E-3</c:v>
                      </c:pt>
                      <c:pt idx="4">
                        <c:v>7.0000000000000001E-3</c:v>
                      </c:pt>
                      <c:pt idx="5">
                        <c:v>8.0000000000000002E-3</c:v>
                      </c:pt>
                      <c:pt idx="6">
                        <c:v>8.0000000000000002E-3</c:v>
                      </c:pt>
                      <c:pt idx="7">
                        <c:v>8.0000000000000002E-3</c:v>
                      </c:pt>
                      <c:pt idx="8">
                        <c:v>8.9999999999999993E-3</c:v>
                      </c:pt>
                      <c:pt idx="9">
                        <c:v>7.0000000000000001E-3</c:v>
                      </c:pt>
                      <c:pt idx="10">
                        <c:v>7.0000000000000001E-3</c:v>
                      </c:pt>
                      <c:pt idx="11">
                        <c:v>8.0000000000000002E-3</c:v>
                      </c:pt>
                      <c:pt idx="12">
                        <c:v>8.0000000000000002E-3</c:v>
                      </c:pt>
                      <c:pt idx="13">
                        <c:v>8.9999999999999993E-3</c:v>
                      </c:pt>
                      <c:pt idx="14">
                        <c:v>0.01</c:v>
                      </c:pt>
                      <c:pt idx="15">
                        <c:v>0.01</c:v>
                      </c:pt>
                      <c:pt idx="16">
                        <c:v>8.0000000000000002E-3</c:v>
                      </c:pt>
                      <c:pt idx="17">
                        <c:v>4.0000000000000001E-3</c:v>
                      </c:pt>
                      <c:pt idx="18">
                        <c:v>5.0000000000000001E-3</c:v>
                      </c:pt>
                      <c:pt idx="19">
                        <c:v>5.0000000000000001E-3</c:v>
                      </c:pt>
                      <c:pt idx="20">
                        <c:v>6.0000000000000001E-3</c:v>
                      </c:pt>
                      <c:pt idx="21">
                        <c:v>7.0000000000000001E-3</c:v>
                      </c:pt>
                      <c:pt idx="22">
                        <c:v>8.0000000000000002E-3</c:v>
                      </c:pt>
                      <c:pt idx="23">
                        <c:v>0.01</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0.42599999999999999</c:v>
                      </c:pt>
                      <c:pt idx="1">
                        <c:v>0.42499999999999999</c:v>
                      </c:pt>
                      <c:pt idx="2">
                        <c:v>0.432</c:v>
                      </c:pt>
                      <c:pt idx="3">
                        <c:v>0.441</c:v>
                      </c:pt>
                      <c:pt idx="4">
                        <c:v>0.435</c:v>
                      </c:pt>
                      <c:pt idx="5">
                        <c:v>0.434</c:v>
                      </c:pt>
                      <c:pt idx="6">
                        <c:v>0.43099999999999999</c:v>
                      </c:pt>
                      <c:pt idx="7">
                        <c:v>0.42099999999999999</c:v>
                      </c:pt>
                      <c:pt idx="8">
                        <c:v>0.43</c:v>
                      </c:pt>
                      <c:pt idx="9">
                        <c:v>0.44</c:v>
                      </c:pt>
                      <c:pt idx="10">
                        <c:v>0.441</c:v>
                      </c:pt>
                      <c:pt idx="11">
                        <c:v>0.45800000000000002</c:v>
                      </c:pt>
                      <c:pt idx="12">
                        <c:v>0.46899999999999997</c:v>
                      </c:pt>
                      <c:pt idx="13">
                        <c:v>0.46700000000000003</c:v>
                      </c:pt>
                      <c:pt idx="14">
                        <c:v>0.47099999999999997</c:v>
                      </c:pt>
                      <c:pt idx="15">
                        <c:v>0.46500000000000002</c:v>
                      </c:pt>
                      <c:pt idx="16">
                        <c:v>0.47699999999999998</c:v>
                      </c:pt>
                      <c:pt idx="17">
                        <c:v>0.48299999999999998</c:v>
                      </c:pt>
                      <c:pt idx="18">
                        <c:v>0.47699999999999998</c:v>
                      </c:pt>
                      <c:pt idx="19">
                        <c:v>0.47399999999999998</c:v>
                      </c:pt>
                      <c:pt idx="20">
                        <c:v>0.47599999999999998</c:v>
                      </c:pt>
                      <c:pt idx="21">
                        <c:v>0.5</c:v>
                      </c:pt>
                      <c:pt idx="22">
                        <c:v>0.52500000000000002</c:v>
                      </c:pt>
                      <c:pt idx="23">
                        <c:v>0.54200000000000004</c:v>
                      </c:pt>
                      <c:pt idx="24">
                        <c:v>0.47199999999999998</c:v>
                      </c:pt>
                      <c:pt idx="25">
                        <c:v>0.41699999999999998</c:v>
                      </c:pt>
                      <c:pt idx="26">
                        <c:v>0.33300000000000002</c:v>
                      </c:pt>
                      <c:pt idx="27">
                        <c:v>0.33300000000000002</c:v>
                      </c:pt>
                      <c:pt idx="28">
                        <c:v>0.33300000000000002</c:v>
                      </c:pt>
                      <c:pt idx="29">
                        <c:v>0.33300000000000002</c:v>
                      </c:pt>
                      <c:pt idx="30">
                        <c:v>0.33300000000000002</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-0.9992894726405892</c:v>
                </c:pt>
              </c:numCache>
            </c:numRef>
          </c:xVal>
          <c:yVal>
            <c:numRef>
              <c:f>[1]omie_dinamic_dia!$AC$20:$AC$21</c:f>
              <c:numCache>
                <c:formatCode>General</c:formatCode>
                <c:ptCount val="2"/>
                <c:pt idx="0">
                  <c:v>0</c:v>
                </c:pt>
                <c:pt idx="1">
                  <c:v>3.7690182669934541E-2</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0.89384142415126377</c:v>
                </c:pt>
              </c:numCache>
            </c:numRef>
          </c:xVal>
          <c:yVal>
            <c:numRef>
              <c:f>[1]omie_dinamic_dia!$Y$37:$Y$38</c:f>
              <c:numCache>
                <c:formatCode>General</c:formatCode>
                <c:ptCount val="2"/>
                <c:pt idx="0">
                  <c:v>0</c:v>
                </c:pt>
                <c:pt idx="1">
                  <c:v>0.44838321609003229</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31.39</c:v>
                </c:pt>
                <c:pt idx="1">
                  <c:v>31.39</c:v>
                </c:pt>
                <c:pt idx="2">
                  <c:v>31.39</c:v>
                </c:pt>
                <c:pt idx="3">
                  <c:v>31.39</c:v>
                </c:pt>
                <c:pt idx="4">
                  <c:v>31.39</c:v>
                </c:pt>
                <c:pt idx="5">
                  <c:v>31.39</c:v>
                </c:pt>
                <c:pt idx="6">
                  <c:v>31.39</c:v>
                </c:pt>
                <c:pt idx="7">
                  <c:v>31.39</c:v>
                </c:pt>
                <c:pt idx="8">
                  <c:v>31.39</c:v>
                </c:pt>
                <c:pt idx="9">
                  <c:v>31.39</c:v>
                </c:pt>
                <c:pt idx="10">
                  <c:v>31.39</c:v>
                </c:pt>
                <c:pt idx="11">
                  <c:v>31.39</c:v>
                </c:pt>
                <c:pt idx="12">
                  <c:v>31.39</c:v>
                </c:pt>
                <c:pt idx="13">
                  <c:v>31.39</c:v>
                </c:pt>
                <c:pt idx="14">
                  <c:v>31.39</c:v>
                </c:pt>
                <c:pt idx="15">
                  <c:v>31.39</c:v>
                </c:pt>
                <c:pt idx="16">
                  <c:v>31.39</c:v>
                </c:pt>
                <c:pt idx="17">
                  <c:v>31.39</c:v>
                </c:pt>
                <c:pt idx="18">
                  <c:v>31.39</c:v>
                </c:pt>
                <c:pt idx="19">
                  <c:v>31.39</c:v>
                </c:pt>
                <c:pt idx="20">
                  <c:v>31.39</c:v>
                </c:pt>
                <c:pt idx="21">
                  <c:v>31.39</c:v>
                </c:pt>
                <c:pt idx="22">
                  <c:v>31.39</c:v>
                </c:pt>
                <c:pt idx="23">
                  <c:v>31.39</c:v>
                </c:pt>
                <c:pt idx="24">
                  <c:v>31.39</c:v>
                </c:pt>
                <c:pt idx="25">
                  <c:v>31.39</c:v>
                </c:pt>
                <c:pt idx="26">
                  <c:v>31.39</c:v>
                </c:pt>
                <c:pt idx="27">
                  <c:v>31.39</c:v>
                </c:pt>
                <c:pt idx="28">
                  <c:v>31.39</c:v>
                </c:pt>
                <c:pt idx="29">
                  <c:v>31.39</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50.02</c:v>
                </c:pt>
                <c:pt idx="1">
                  <c:v>45.84</c:v>
                </c:pt>
                <c:pt idx="2">
                  <c:v>41.67</c:v>
                </c:pt>
                <c:pt idx="3">
                  <c:v>40.74</c:v>
                </c:pt>
                <c:pt idx="4">
                  <c:v>40</c:v>
                </c:pt>
                <c:pt idx="5">
                  <c:v>41.64</c:v>
                </c:pt>
                <c:pt idx="6">
                  <c:v>45.25</c:v>
                </c:pt>
                <c:pt idx="7">
                  <c:v>52.92</c:v>
                </c:pt>
                <c:pt idx="8">
                  <c:v>42.21</c:v>
                </c:pt>
                <c:pt idx="9">
                  <c:v>25.83</c:v>
                </c:pt>
                <c:pt idx="10">
                  <c:v>15.08</c:v>
                </c:pt>
                <c:pt idx="11">
                  <c:v>10.119999999999999</c:v>
                </c:pt>
                <c:pt idx="12">
                  <c:v>8.58</c:v>
                </c:pt>
                <c:pt idx="13">
                  <c:v>6.33</c:v>
                </c:pt>
                <c:pt idx="14">
                  <c:v>5.18</c:v>
                </c:pt>
                <c:pt idx="15">
                  <c:v>4.0199999999999996</c:v>
                </c:pt>
                <c:pt idx="16">
                  <c:v>3.94</c:v>
                </c:pt>
                <c:pt idx="17">
                  <c:v>6.42</c:v>
                </c:pt>
                <c:pt idx="18">
                  <c:v>12.43</c:v>
                </c:pt>
                <c:pt idx="19">
                  <c:v>27.13</c:v>
                </c:pt>
                <c:pt idx="20">
                  <c:v>46.23</c:v>
                </c:pt>
                <c:pt idx="21">
                  <c:v>66.7</c:v>
                </c:pt>
                <c:pt idx="22">
                  <c:v>62.48</c:v>
                </c:pt>
                <c:pt idx="23">
                  <c:v>53.9</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14.76</c:v>
                </c:pt>
                <c:pt idx="11">
                  <c:v>10.56</c:v>
                </c:pt>
                <c:pt idx="12">
                  <c:v>7.72</c:v>
                </c:pt>
                <c:pt idx="13">
                  <c:v>9.57</c:v>
                </c:pt>
                <c:pt idx="14">
                  <c:v>7.31</c:v>
                </c:pt>
                <c:pt idx="15">
                  <c:v>4.42</c:v>
                </c:pt>
                <c:pt idx="16">
                  <c:v>6.32</c:v>
                </c:pt>
                <c:pt idx="17">
                  <c:v>8.89</c:v>
                </c:pt>
                <c:pt idx="18">
                  <c:v>13.18</c:v>
                </c:pt>
                <c:pt idx="19">
                  <c:v>11.03</c:v>
                </c:pt>
                <c:pt idx="20">
                  <c:v>32.56</c:v>
                </c:pt>
                <c:pt idx="21">
                  <c:v>54.74</c:v>
                </c:pt>
                <c:pt idx="22">
                  <c:v>72.239999999999995</c:v>
                </c:pt>
                <c:pt idx="23">
                  <c:v>50.88</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61.17</c:v>
                </c:pt>
                <c:pt idx="1">
                  <c:v>41.23</c:v>
                </c:pt>
                <c:pt idx="2">
                  <c:v>48.49</c:v>
                </c:pt>
                <c:pt idx="3">
                  <c:v>53.82</c:v>
                </c:pt>
                <c:pt idx="4">
                  <c:v>48.47</c:v>
                </c:pt>
                <c:pt idx="5">
                  <c:v>44.3</c:v>
                </c:pt>
                <c:pt idx="6">
                  <c:v>46.06</c:v>
                </c:pt>
                <c:pt idx="7">
                  <c:v>55.06</c:v>
                </c:pt>
                <c:pt idx="8">
                  <c:v>54.97</c:v>
                </c:pt>
                <c:pt idx="9">
                  <c:v>32.090000000000003</c:v>
                </c:pt>
                <c:pt idx="10">
                  <c:v>8.74</c:v>
                </c:pt>
                <c:pt idx="11">
                  <c:v>8.0299999999999994</c:v>
                </c:pt>
                <c:pt idx="12">
                  <c:v>6.27</c:v>
                </c:pt>
                <c:pt idx="13">
                  <c:v>0.33</c:v>
                </c:pt>
                <c:pt idx="14">
                  <c:v>2.5299999999999998</c:v>
                </c:pt>
                <c:pt idx="15">
                  <c:v>-0.21</c:v>
                </c:pt>
                <c:pt idx="16">
                  <c:v>-0.12</c:v>
                </c:pt>
                <c:pt idx="17">
                  <c:v>0.45</c:v>
                </c:pt>
                <c:pt idx="18">
                  <c:v>10.92</c:v>
                </c:pt>
                <c:pt idx="19">
                  <c:v>39.369999999999997</c:v>
                </c:pt>
                <c:pt idx="20">
                  <c:v>49.96</c:v>
                </c:pt>
                <c:pt idx="21">
                  <c:v>72.17</c:v>
                </c:pt>
                <c:pt idx="22">
                  <c:v>66.14</c:v>
                </c:pt>
                <c:pt idx="23">
                  <c:v>62.36</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73.720000000000013</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70.75</c:v>
                </c:pt>
                <c:pt idx="1">
                  <c:v>70.75</c:v>
                </c:pt>
                <c:pt idx="2">
                  <c:v>70.75</c:v>
                </c:pt>
                <c:pt idx="3">
                  <c:v>70.75</c:v>
                </c:pt>
                <c:pt idx="4">
                  <c:v>70.75</c:v>
                </c:pt>
                <c:pt idx="5">
                  <c:v>70.75</c:v>
                </c:pt>
                <c:pt idx="6">
                  <c:v>70.75</c:v>
                </c:pt>
                <c:pt idx="7">
                  <c:v>70.75</c:v>
                </c:pt>
                <c:pt idx="8">
                  <c:v>70.75</c:v>
                </c:pt>
                <c:pt idx="9">
                  <c:v>70.75</c:v>
                </c:pt>
                <c:pt idx="10">
                  <c:v>70.75</c:v>
                </c:pt>
                <c:pt idx="11">
                  <c:v>70.75</c:v>
                </c:pt>
                <c:pt idx="12">
                  <c:v>70.75</c:v>
                </c:pt>
                <c:pt idx="13">
                  <c:v>70.75</c:v>
                </c:pt>
                <c:pt idx="14">
                  <c:v>70.75</c:v>
                </c:pt>
                <c:pt idx="15">
                  <c:v>70.75</c:v>
                </c:pt>
                <c:pt idx="16">
                  <c:v>70.75</c:v>
                </c:pt>
                <c:pt idx="17">
                  <c:v>70.75</c:v>
                </c:pt>
                <c:pt idx="18">
                  <c:v>70.75</c:v>
                </c:pt>
                <c:pt idx="19">
                  <c:v>70.75</c:v>
                </c:pt>
                <c:pt idx="20">
                  <c:v>70.75</c:v>
                </c:pt>
                <c:pt idx="21">
                  <c:v>70.75</c:v>
                </c:pt>
                <c:pt idx="22">
                  <c:v>70.75</c:v>
                </c:pt>
                <c:pt idx="23">
                  <c:v>70.75</c:v>
                </c:pt>
                <c:pt idx="24">
                  <c:v>70.75</c:v>
                </c:pt>
                <c:pt idx="25">
                  <c:v>70.75</c:v>
                </c:pt>
                <c:pt idx="26">
                  <c:v>70.75</c:v>
                </c:pt>
                <c:pt idx="27">
                  <c:v>70.75</c:v>
                </c:pt>
                <c:pt idx="28">
                  <c:v>70.75</c:v>
                </c:pt>
                <c:pt idx="29">
                  <c:v>70.75</c:v>
                </c:pt>
                <c:pt idx="30">
                  <c:v>70.75</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0.33500000000000002</c:v>
                      </c:pt>
                      <c:pt idx="1">
                        <c:v>0.33500000000000002</c:v>
                      </c:pt>
                      <c:pt idx="2">
                        <c:v>0.33500000000000002</c:v>
                      </c:pt>
                      <c:pt idx="3">
                        <c:v>0.33500000000000002</c:v>
                      </c:pt>
                      <c:pt idx="4">
                        <c:v>0.33500000000000002</c:v>
                      </c:pt>
                      <c:pt idx="5">
                        <c:v>0.33500000000000002</c:v>
                      </c:pt>
                      <c:pt idx="6">
                        <c:v>0.33500000000000002</c:v>
                      </c:pt>
                      <c:pt idx="7">
                        <c:v>0.33500000000000002</c:v>
                      </c:pt>
                      <c:pt idx="8">
                        <c:v>0.33500000000000002</c:v>
                      </c:pt>
                      <c:pt idx="9">
                        <c:v>0.33500000000000002</c:v>
                      </c:pt>
                      <c:pt idx="10">
                        <c:v>0.33500000000000002</c:v>
                      </c:pt>
                      <c:pt idx="11">
                        <c:v>0.33500000000000002</c:v>
                      </c:pt>
                      <c:pt idx="12">
                        <c:v>0.33500000000000002</c:v>
                      </c:pt>
                      <c:pt idx="13">
                        <c:v>0.33500000000000002</c:v>
                      </c:pt>
                      <c:pt idx="14">
                        <c:v>0.33500000000000002</c:v>
                      </c:pt>
                      <c:pt idx="15">
                        <c:v>0.33500000000000002</c:v>
                      </c:pt>
                      <c:pt idx="16">
                        <c:v>0.33500000000000002</c:v>
                      </c:pt>
                      <c:pt idx="17">
                        <c:v>0.33500000000000002</c:v>
                      </c:pt>
                      <c:pt idx="18">
                        <c:v>0.33500000000000002</c:v>
                      </c:pt>
                      <c:pt idx="19">
                        <c:v>0.33500000000000002</c:v>
                      </c:pt>
                      <c:pt idx="20">
                        <c:v>0.33500000000000002</c:v>
                      </c:pt>
                      <c:pt idx="21">
                        <c:v>0.33500000000000002</c:v>
                      </c:pt>
                      <c:pt idx="22">
                        <c:v>0.33500000000000002</c:v>
                      </c:pt>
                      <c:pt idx="23">
                        <c:v>0.33500000000000002</c:v>
                      </c:pt>
                      <c:pt idx="24">
                        <c:v>0.33500000000000002</c:v>
                      </c:pt>
                      <c:pt idx="25">
                        <c:v>0.33500000000000002</c:v>
                      </c:pt>
                      <c:pt idx="26">
                        <c:v>0.33500000000000002</c:v>
                      </c:pt>
                      <c:pt idx="27">
                        <c:v>0.33500000000000002</c:v>
                      </c:pt>
                      <c:pt idx="28">
                        <c:v>0.33500000000000002</c:v>
                      </c:pt>
                      <c:pt idx="29">
                        <c:v>0.33500000000000002</c:v>
                      </c:pt>
                      <c:pt idx="30">
                        <c:v>0.33500000000000002</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31.443999999999999</c:v>
                </c:pt>
                <c:pt idx="1">
                  <c:v>31.443999999999999</c:v>
                </c:pt>
                <c:pt idx="2">
                  <c:v>31.443999999999999</c:v>
                </c:pt>
                <c:pt idx="3">
                  <c:v>31.443999999999999</c:v>
                </c:pt>
                <c:pt idx="4">
                  <c:v>31.443999999999999</c:v>
                </c:pt>
                <c:pt idx="5">
                  <c:v>31.443999999999999</c:v>
                </c:pt>
                <c:pt idx="6">
                  <c:v>31.443999999999999</c:v>
                </c:pt>
                <c:pt idx="7">
                  <c:v>31.443999999999999</c:v>
                </c:pt>
                <c:pt idx="8">
                  <c:v>31.443999999999999</c:v>
                </c:pt>
                <c:pt idx="9">
                  <c:v>31.443999999999999</c:v>
                </c:pt>
                <c:pt idx="10">
                  <c:v>31.443999999999999</c:v>
                </c:pt>
                <c:pt idx="11">
                  <c:v>31.443999999999999</c:v>
                </c:pt>
                <c:pt idx="12">
                  <c:v>31.443999999999999</c:v>
                </c:pt>
                <c:pt idx="13">
                  <c:v>31.443999999999999</c:v>
                </c:pt>
                <c:pt idx="14">
                  <c:v>31.443999999999999</c:v>
                </c:pt>
                <c:pt idx="15">
                  <c:v>31.443999999999999</c:v>
                </c:pt>
                <c:pt idx="16">
                  <c:v>31.443999999999999</c:v>
                </c:pt>
                <c:pt idx="17">
                  <c:v>31.443999999999999</c:v>
                </c:pt>
                <c:pt idx="18">
                  <c:v>31.443999999999999</c:v>
                </c:pt>
                <c:pt idx="19">
                  <c:v>31.443999999999999</c:v>
                </c:pt>
                <c:pt idx="20">
                  <c:v>31.443999999999999</c:v>
                </c:pt>
                <c:pt idx="21">
                  <c:v>31.443999999999999</c:v>
                </c:pt>
                <c:pt idx="22">
                  <c:v>31.443999999999999</c:v>
                </c:pt>
                <c:pt idx="23">
                  <c:v>31.443999999999999</c:v>
                </c:pt>
                <c:pt idx="24">
                  <c:v>31.443999999999999</c:v>
                </c:pt>
                <c:pt idx="25">
                  <c:v>31.443999999999999</c:v>
                </c:pt>
                <c:pt idx="26">
                  <c:v>31.443999999999999</c:v>
                </c:pt>
                <c:pt idx="27">
                  <c:v>31.443999999999999</c:v>
                </c:pt>
                <c:pt idx="28">
                  <c:v>31.443999999999999</c:v>
                </c:pt>
                <c:pt idx="29">
                  <c:v>31.443999999999999</c:v>
                </c:pt>
                <c:pt idx="30">
                  <c:v>31.443999999999999</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6.0000000000000001E-3</c:v>
                      </c:pt>
                      <c:pt idx="1">
                        <c:v>6.0000000000000001E-3</c:v>
                      </c:pt>
                      <c:pt idx="2">
                        <c:v>7.0000000000000001E-3</c:v>
                      </c:pt>
                      <c:pt idx="3">
                        <c:v>7.0000000000000001E-3</c:v>
                      </c:pt>
                      <c:pt idx="4">
                        <c:v>7.0000000000000001E-3</c:v>
                      </c:pt>
                      <c:pt idx="5">
                        <c:v>8.0000000000000002E-3</c:v>
                      </c:pt>
                      <c:pt idx="6">
                        <c:v>8.0000000000000002E-3</c:v>
                      </c:pt>
                      <c:pt idx="7">
                        <c:v>8.0000000000000002E-3</c:v>
                      </c:pt>
                      <c:pt idx="8">
                        <c:v>8.9999999999999993E-3</c:v>
                      </c:pt>
                      <c:pt idx="9">
                        <c:v>7.0000000000000001E-3</c:v>
                      </c:pt>
                      <c:pt idx="10">
                        <c:v>7.0000000000000001E-3</c:v>
                      </c:pt>
                      <c:pt idx="11">
                        <c:v>8.0000000000000002E-3</c:v>
                      </c:pt>
                      <c:pt idx="12">
                        <c:v>8.0000000000000002E-3</c:v>
                      </c:pt>
                      <c:pt idx="13">
                        <c:v>8.9999999999999993E-3</c:v>
                      </c:pt>
                      <c:pt idx="14">
                        <c:v>0.01</c:v>
                      </c:pt>
                      <c:pt idx="15">
                        <c:v>0.01</c:v>
                      </c:pt>
                      <c:pt idx="16">
                        <c:v>8.0000000000000002E-3</c:v>
                      </c:pt>
                      <c:pt idx="17">
                        <c:v>4.0000000000000001E-3</c:v>
                      </c:pt>
                      <c:pt idx="18">
                        <c:v>5.0000000000000001E-3</c:v>
                      </c:pt>
                      <c:pt idx="19">
                        <c:v>5.0000000000000001E-3</c:v>
                      </c:pt>
                      <c:pt idx="20">
                        <c:v>6.0000000000000001E-3</c:v>
                      </c:pt>
                      <c:pt idx="21">
                        <c:v>7.0000000000000001E-3</c:v>
                      </c:pt>
                      <c:pt idx="22">
                        <c:v>8.0000000000000002E-3</c:v>
                      </c:pt>
                      <c:pt idx="23">
                        <c:v>0.01</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0.42599999999999999</c:v>
                      </c:pt>
                      <c:pt idx="1">
                        <c:v>0.42499999999999999</c:v>
                      </c:pt>
                      <c:pt idx="2">
                        <c:v>0.432</c:v>
                      </c:pt>
                      <c:pt idx="3">
                        <c:v>0.441</c:v>
                      </c:pt>
                      <c:pt idx="4">
                        <c:v>0.435</c:v>
                      </c:pt>
                      <c:pt idx="5">
                        <c:v>0.434</c:v>
                      </c:pt>
                      <c:pt idx="6">
                        <c:v>0.43099999999999999</c:v>
                      </c:pt>
                      <c:pt idx="7">
                        <c:v>0.42099999999999999</c:v>
                      </c:pt>
                      <c:pt idx="8">
                        <c:v>0.43</c:v>
                      </c:pt>
                      <c:pt idx="9">
                        <c:v>0.44</c:v>
                      </c:pt>
                      <c:pt idx="10">
                        <c:v>0.441</c:v>
                      </c:pt>
                      <c:pt idx="11">
                        <c:v>0.45800000000000002</c:v>
                      </c:pt>
                      <c:pt idx="12">
                        <c:v>0.46899999999999997</c:v>
                      </c:pt>
                      <c:pt idx="13">
                        <c:v>0.46700000000000003</c:v>
                      </c:pt>
                      <c:pt idx="14">
                        <c:v>0.47099999999999997</c:v>
                      </c:pt>
                      <c:pt idx="15">
                        <c:v>0.46500000000000002</c:v>
                      </c:pt>
                      <c:pt idx="16">
                        <c:v>0.47699999999999998</c:v>
                      </c:pt>
                      <c:pt idx="17">
                        <c:v>0.48299999999999998</c:v>
                      </c:pt>
                      <c:pt idx="18">
                        <c:v>0.47699999999999998</c:v>
                      </c:pt>
                      <c:pt idx="19">
                        <c:v>0.47399999999999998</c:v>
                      </c:pt>
                      <c:pt idx="20">
                        <c:v>0.47599999999999998</c:v>
                      </c:pt>
                      <c:pt idx="21">
                        <c:v>0.5</c:v>
                      </c:pt>
                      <c:pt idx="22">
                        <c:v>0.52500000000000002</c:v>
                      </c:pt>
                      <c:pt idx="23">
                        <c:v>0.54200000000000004</c:v>
                      </c:pt>
                      <c:pt idx="24">
                        <c:v>0.47199999999999998</c:v>
                      </c:pt>
                      <c:pt idx="25">
                        <c:v>0.41699999999999998</c:v>
                      </c:pt>
                      <c:pt idx="26">
                        <c:v>0.33300000000000002</c:v>
                      </c:pt>
                      <c:pt idx="27">
                        <c:v>0.33300000000000002</c:v>
                      </c:pt>
                      <c:pt idx="28">
                        <c:v>0.33300000000000002</c:v>
                      </c:pt>
                      <c:pt idx="29">
                        <c:v>0.33300000000000002</c:v>
                      </c:pt>
                      <c:pt idx="30">
                        <c:v>0.33300000000000002</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399</c:v>
                      </c:pt>
                      <c:pt idx="25">
                        <c:v>0</c:v>
                      </c:pt>
                      <c:pt idx="26">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6.2170000000000005</c:v>
                      </c:pt>
                      <c:pt idx="1">
                        <c:v>10.600909090909092</c:v>
                      </c:pt>
                      <c:pt idx="2">
                        <c:v>5.6466666666666674</c:v>
                      </c:pt>
                      <c:pt idx="3">
                        <c:v>7.5519999999999996</c:v>
                      </c:pt>
                      <c:pt idx="4">
                        <c:v>10.947777777777777</c:v>
                      </c:pt>
                      <c:pt idx="5">
                        <c:v>25.802857142857142</c:v>
                      </c:pt>
                      <c:pt idx="6">
                        <c:v>6.8</c:v>
                      </c:pt>
                      <c:pt idx="7">
                        <c:v>13.202941176470588</c:v>
                      </c:pt>
                      <c:pt idx="8">
                        <c:v>7.0866666666666669</c:v>
                      </c:pt>
                      <c:pt idx="9">
                        <c:v>7.5410000000000004</c:v>
                      </c:pt>
                      <c:pt idx="10">
                        <c:v>10.681666666666668</c:v>
                      </c:pt>
                      <c:pt idx="11">
                        <c:v>10.78</c:v>
                      </c:pt>
                      <c:pt idx="12">
                        <c:v>5.4849999999999994</c:v>
                      </c:pt>
                      <c:pt idx="13">
                        <c:v>5.3359999999999994</c:v>
                      </c:pt>
                      <c:pt idx="14">
                        <c:v>13.570000000000002</c:v>
                      </c:pt>
                      <c:pt idx="15">
                        <c:v>7.1237500000000002</c:v>
                      </c:pt>
                      <c:pt idx="16">
                        <c:v>26.006250000000001</c:v>
                      </c:pt>
                      <c:pt idx="17">
                        <c:v>22.431999999999999</c:v>
                      </c:pt>
                      <c:pt idx="18">
                        <c:v>6.25</c:v>
                      </c:pt>
                      <c:pt idx="19">
                        <c:v>8.4719999999999995</c:v>
                      </c:pt>
                      <c:pt idx="20">
                        <c:v>30.12307692307693</c:v>
                      </c:pt>
                      <c:pt idx="21">
                        <c:v>19.285</c:v>
                      </c:pt>
                      <c:pt idx="22">
                        <c:v>46.055714285714281</c:v>
                      </c:pt>
                      <c:pt idx="23">
                        <c:v>39.289999999999992</c:v>
                      </c:pt>
                      <c:pt idx="24">
                        <c:v>20.916666666666668</c:v>
                      </c:pt>
                      <c:pt idx="25">
                        <c:v>24.02</c:v>
                      </c:pt>
                      <c:pt idx="26">
                        <c:v>23.26</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15.57</c:v>
                      </c:pt>
                      <c:pt idx="1">
                        <c:v>15.57</c:v>
                      </c:pt>
                      <c:pt idx="2">
                        <c:v>15.57</c:v>
                      </c:pt>
                      <c:pt idx="3">
                        <c:v>15.57</c:v>
                      </c:pt>
                      <c:pt idx="4">
                        <c:v>15.57</c:v>
                      </c:pt>
                      <c:pt idx="5">
                        <c:v>15.57</c:v>
                      </c:pt>
                      <c:pt idx="6">
                        <c:v>15.57</c:v>
                      </c:pt>
                      <c:pt idx="7">
                        <c:v>15.57</c:v>
                      </c:pt>
                      <c:pt idx="8">
                        <c:v>15.57</c:v>
                      </c:pt>
                      <c:pt idx="9">
                        <c:v>15.57</c:v>
                      </c:pt>
                      <c:pt idx="10">
                        <c:v>15.57</c:v>
                      </c:pt>
                      <c:pt idx="11">
                        <c:v>15.57</c:v>
                      </c:pt>
                      <c:pt idx="12">
                        <c:v>15.57</c:v>
                      </c:pt>
                      <c:pt idx="13">
                        <c:v>15.57</c:v>
                      </c:pt>
                      <c:pt idx="14">
                        <c:v>15.57</c:v>
                      </c:pt>
                      <c:pt idx="15">
                        <c:v>15.57</c:v>
                      </c:pt>
                      <c:pt idx="16">
                        <c:v>15.57</c:v>
                      </c:pt>
                      <c:pt idx="17">
                        <c:v>15.57</c:v>
                      </c:pt>
                      <c:pt idx="18">
                        <c:v>15.57</c:v>
                      </c:pt>
                      <c:pt idx="19">
                        <c:v>15.57</c:v>
                      </c:pt>
                      <c:pt idx="20">
                        <c:v>15.57</c:v>
                      </c:pt>
                      <c:pt idx="21">
                        <c:v>15.57</c:v>
                      </c:pt>
                      <c:pt idx="22">
                        <c:v>15.57</c:v>
                      </c:pt>
                      <c:pt idx="23">
                        <c:v>15.57</c:v>
                      </c:pt>
                      <c:pt idx="24">
                        <c:v>15.57</c:v>
                      </c:pt>
                      <c:pt idx="25">
                        <c:v>15.57</c:v>
                      </c:pt>
                      <c:pt idx="26">
                        <c:v>15.57</c:v>
                      </c:pt>
                      <c:pt idx="27">
                        <c:v>15.57</c:v>
                      </c:pt>
                      <c:pt idx="28">
                        <c:v>15.57</c:v>
                      </c:pt>
                      <c:pt idx="29">
                        <c:v>15.57</c:v>
                      </c:pt>
                      <c:pt idx="30">
                        <c:v>15.57</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0</c:v>
                      </c:pt>
                      <c:pt idx="8">
                        <c:v>104.62</c:v>
                      </c:pt>
                      <c:pt idx="9">
                        <c:v>0</c:v>
                      </c:pt>
                      <c:pt idx="10">
                        <c:v>0</c:v>
                      </c:pt>
                      <c:pt idx="11">
                        <c:v>0</c:v>
                      </c:pt>
                      <c:pt idx="12">
                        <c:v>0</c:v>
                      </c:pt>
                      <c:pt idx="13">
                        <c:v>0</c:v>
                      </c:pt>
                      <c:pt idx="14">
                        <c:v>0</c:v>
                      </c:pt>
                      <c:pt idx="15">
                        <c:v>106.39</c:v>
                      </c:pt>
                      <c:pt idx="16">
                        <c:v>102.66</c:v>
                      </c:pt>
                      <c:pt idx="17">
                        <c:v>0</c:v>
                      </c:pt>
                      <c:pt idx="18">
                        <c:v>0</c:v>
                      </c:pt>
                      <c:pt idx="19">
                        <c:v>0</c:v>
                      </c:pt>
                      <c:pt idx="20">
                        <c:v>0</c:v>
                      </c:pt>
                      <c:pt idx="21">
                        <c:v>0</c:v>
                      </c:pt>
                      <c:pt idx="22">
                        <c:v>0</c:v>
                      </c:pt>
                      <c:pt idx="23">
                        <c:v>117.19</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15.958</c:v>
                      </c:pt>
                      <c:pt idx="1">
                        <c:v>15.958</c:v>
                      </c:pt>
                      <c:pt idx="2">
                        <c:v>15.958</c:v>
                      </c:pt>
                      <c:pt idx="3">
                        <c:v>15.958</c:v>
                      </c:pt>
                      <c:pt idx="4">
                        <c:v>15.958</c:v>
                      </c:pt>
                      <c:pt idx="5">
                        <c:v>15.958</c:v>
                      </c:pt>
                      <c:pt idx="6">
                        <c:v>15.958</c:v>
                      </c:pt>
                      <c:pt idx="7">
                        <c:v>15.958</c:v>
                      </c:pt>
                      <c:pt idx="8">
                        <c:v>15.958</c:v>
                      </c:pt>
                      <c:pt idx="9">
                        <c:v>15.958</c:v>
                      </c:pt>
                      <c:pt idx="10">
                        <c:v>15.958</c:v>
                      </c:pt>
                      <c:pt idx="11">
                        <c:v>15.958</c:v>
                      </c:pt>
                      <c:pt idx="12">
                        <c:v>15.958</c:v>
                      </c:pt>
                      <c:pt idx="13">
                        <c:v>15.958</c:v>
                      </c:pt>
                      <c:pt idx="14">
                        <c:v>15.958</c:v>
                      </c:pt>
                      <c:pt idx="15">
                        <c:v>15.958</c:v>
                      </c:pt>
                      <c:pt idx="16">
                        <c:v>15.958</c:v>
                      </c:pt>
                      <c:pt idx="17">
                        <c:v>15.958</c:v>
                      </c:pt>
                      <c:pt idx="18">
                        <c:v>15.958</c:v>
                      </c:pt>
                      <c:pt idx="19">
                        <c:v>15.958</c:v>
                      </c:pt>
                      <c:pt idx="20">
                        <c:v>15.958</c:v>
                      </c:pt>
                      <c:pt idx="21">
                        <c:v>15.958</c:v>
                      </c:pt>
                      <c:pt idx="22">
                        <c:v>15.958</c:v>
                      </c:pt>
                      <c:pt idx="23">
                        <c:v>15.958</c:v>
                      </c:pt>
                      <c:pt idx="24">
                        <c:v>15.958</c:v>
                      </c:pt>
                      <c:pt idx="25">
                        <c:v>15.958</c:v>
                      </c:pt>
                      <c:pt idx="26">
                        <c:v>15.958</c:v>
                      </c:pt>
                      <c:pt idx="27">
                        <c:v>15.958</c:v>
                      </c:pt>
                      <c:pt idx="28">
                        <c:v>15.958</c:v>
                      </c:pt>
                      <c:pt idx="29">
                        <c:v>15.958</c:v>
                      </c:pt>
                      <c:pt idx="30">
                        <c:v>15.958</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15.414545454545454</c:v>
                      </c:pt>
                      <c:pt idx="1">
                        <c:v>6.6666666666666652</c:v>
                      </c:pt>
                      <c:pt idx="2">
                        <c:v>43.491999999999997</c:v>
                      </c:pt>
                      <c:pt idx="3">
                        <c:v>10.521428571428572</c:v>
                      </c:pt>
                      <c:pt idx="4">
                        <c:v>20.63</c:v>
                      </c:pt>
                      <c:pt idx="5">
                        <c:v>60.230833333333329</c:v>
                      </c:pt>
                      <c:pt idx="6">
                        <c:v>43.076000000000008</c:v>
                      </c:pt>
                      <c:pt idx="7">
                        <c:v>41.736666666666672</c:v>
                      </c:pt>
                      <c:pt idx="8">
                        <c:v>53.784999999999997</c:v>
                      </c:pt>
                      <c:pt idx="9">
                        <c:v>45.185000000000002</c:v>
                      </c:pt>
                      <c:pt idx="10">
                        <c:v>7.0149999999999997</c:v>
                      </c:pt>
                      <c:pt idx="11">
                        <c:v>11.721428571428572</c:v>
                      </c:pt>
                      <c:pt idx="12">
                        <c:v>28.451666666666664</c:v>
                      </c:pt>
                      <c:pt idx="13">
                        <c:v>7.2020000000000008</c:v>
                      </c:pt>
                      <c:pt idx="14">
                        <c:v>10.51923076923077</c:v>
                      </c:pt>
                      <c:pt idx="15">
                        <c:v>43.621250000000003</c:v>
                      </c:pt>
                      <c:pt idx="16">
                        <c:v>71.536000000000016</c:v>
                      </c:pt>
                      <c:pt idx="17">
                        <c:v>35.632307692307691</c:v>
                      </c:pt>
                      <c:pt idx="18">
                        <c:v>24.300833333333333</c:v>
                      </c:pt>
                      <c:pt idx="19">
                        <c:v>50.848181818181821</c:v>
                      </c:pt>
                      <c:pt idx="20">
                        <c:v>63.742499999999993</c:v>
                      </c:pt>
                      <c:pt idx="21">
                        <c:v>64.63333333333334</c:v>
                      </c:pt>
                      <c:pt idx="22">
                        <c:v>73.763636363636365</c:v>
                      </c:pt>
                      <c:pt idx="23">
                        <c:v>78.367777777777775</c:v>
                      </c:pt>
                      <c:pt idx="24">
                        <c:v>42.77</c:v>
                      </c:pt>
                      <c:pt idx="25">
                        <c:v>12.8325</c:v>
                      </c:pt>
                      <c:pt idx="26">
                        <c:v>33.81</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37.093000000000004</c:v>
                      </c:pt>
                      <c:pt idx="1">
                        <c:v>37.093000000000004</c:v>
                      </c:pt>
                      <c:pt idx="2">
                        <c:v>37.093000000000004</c:v>
                      </c:pt>
                      <c:pt idx="3">
                        <c:v>37.093000000000004</c:v>
                      </c:pt>
                      <c:pt idx="4">
                        <c:v>37.093000000000004</c:v>
                      </c:pt>
                      <c:pt idx="5">
                        <c:v>37.093000000000004</c:v>
                      </c:pt>
                      <c:pt idx="6">
                        <c:v>37.093000000000004</c:v>
                      </c:pt>
                      <c:pt idx="7">
                        <c:v>37.093000000000004</c:v>
                      </c:pt>
                      <c:pt idx="8">
                        <c:v>37.093000000000004</c:v>
                      </c:pt>
                      <c:pt idx="9">
                        <c:v>37.093000000000004</c:v>
                      </c:pt>
                      <c:pt idx="10">
                        <c:v>37.093000000000004</c:v>
                      </c:pt>
                      <c:pt idx="11">
                        <c:v>37.093000000000004</c:v>
                      </c:pt>
                      <c:pt idx="12">
                        <c:v>37.093000000000004</c:v>
                      </c:pt>
                      <c:pt idx="13">
                        <c:v>37.093000000000004</c:v>
                      </c:pt>
                      <c:pt idx="14">
                        <c:v>37.093000000000004</c:v>
                      </c:pt>
                      <c:pt idx="15">
                        <c:v>37.093000000000004</c:v>
                      </c:pt>
                      <c:pt idx="16">
                        <c:v>37.093000000000004</c:v>
                      </c:pt>
                      <c:pt idx="17">
                        <c:v>37.093000000000004</c:v>
                      </c:pt>
                      <c:pt idx="18">
                        <c:v>37.093000000000004</c:v>
                      </c:pt>
                      <c:pt idx="19">
                        <c:v>37.093000000000004</c:v>
                      </c:pt>
                      <c:pt idx="20">
                        <c:v>37.093000000000004</c:v>
                      </c:pt>
                      <c:pt idx="21">
                        <c:v>37.093000000000004</c:v>
                      </c:pt>
                      <c:pt idx="22">
                        <c:v>37.093000000000004</c:v>
                      </c:pt>
                      <c:pt idx="23">
                        <c:v>37.093000000000004</c:v>
                      </c:pt>
                      <c:pt idx="24">
                        <c:v>37.093000000000004</c:v>
                      </c:pt>
                      <c:pt idx="25">
                        <c:v>37.093000000000004</c:v>
                      </c:pt>
                      <c:pt idx="26">
                        <c:v>37.093000000000004</c:v>
                      </c:pt>
                      <c:pt idx="27">
                        <c:v>37.093000000000004</c:v>
                      </c:pt>
                      <c:pt idx="28">
                        <c:v>37.093000000000004</c:v>
                      </c:pt>
                      <c:pt idx="29">
                        <c:v>37.093000000000004</c:v>
                      </c:pt>
                      <c:pt idx="30">
                        <c:v>37.093000000000004</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399</c:v>
                      </c:pt>
                      <c:pt idx="25">
                        <c:v>0</c:v>
                      </c:pt>
                      <c:pt idx="26">
                        <c:v>0</c:v>
                      </c:pt>
                      <c:pt idx="27">
                        <c:v>534.48148148148152</c:v>
                      </c:pt>
                      <c:pt idx="28">
                        <c:v>534.48148148148152</c:v>
                      </c:pt>
                      <c:pt idx="29">
                        <c:v>534.48148148148152</c:v>
                      </c:pt>
                      <c:pt idx="30">
                        <c:v>534.48148148148152</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0.50904141575037132</c:v>
                </c:pt>
              </c:numCache>
            </c:numRef>
          </c:xVal>
          <c:yVal>
            <c:numRef>
              <c:f>[1]omie_dinamic_dia!$Y$11:$Y$12</c:f>
              <c:numCache>
                <c:formatCode>General</c:formatCode>
                <c:ptCount val="2"/>
                <c:pt idx="0">
                  <c:v>0</c:v>
                </c:pt>
                <c:pt idx="1">
                  <c:v>0.86074202700394364</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-0.9992894726405892</c:v>
                </c:pt>
              </c:numCache>
            </c:numRef>
          </c:xVal>
          <c:yVal>
            <c:numRef>
              <c:f>[1]omie_dinamic_dia!$AC$20:$AC$21</c:f>
              <c:numCache>
                <c:formatCode>General</c:formatCode>
                <c:ptCount val="2"/>
                <c:pt idx="0">
                  <c:v>0</c:v>
                </c:pt>
                <c:pt idx="1">
                  <c:v>3.7690182669934541E-2</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0.89384142415126377</c:v>
                </c:pt>
              </c:numCache>
            </c:numRef>
          </c:xVal>
          <c:yVal>
            <c:numRef>
              <c:f>[1]omie_dinamic_dia!$Y$37:$Y$38</c:f>
              <c:numCache>
                <c:formatCode>General</c:formatCode>
                <c:ptCount val="2"/>
                <c:pt idx="0">
                  <c:v>0</c:v>
                </c:pt>
                <c:pt idx="1">
                  <c:v>0.44838321609003229</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399</c:v>
                </c:pt>
                <c:pt idx="25">
                  <c:v>0</c:v>
                </c:pt>
                <c:pt idx="26">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31.39</c:v>
                </c:pt>
                <c:pt idx="1">
                  <c:v>31.39</c:v>
                </c:pt>
                <c:pt idx="2">
                  <c:v>31.39</c:v>
                </c:pt>
                <c:pt idx="3">
                  <c:v>31.39</c:v>
                </c:pt>
                <c:pt idx="4">
                  <c:v>31.39</c:v>
                </c:pt>
                <c:pt idx="5">
                  <c:v>31.39</c:v>
                </c:pt>
                <c:pt idx="6">
                  <c:v>31.39</c:v>
                </c:pt>
                <c:pt idx="7">
                  <c:v>31.39</c:v>
                </c:pt>
                <c:pt idx="8">
                  <c:v>31.39</c:v>
                </c:pt>
                <c:pt idx="9">
                  <c:v>31.39</c:v>
                </c:pt>
                <c:pt idx="10">
                  <c:v>31.39</c:v>
                </c:pt>
                <c:pt idx="11">
                  <c:v>31.39</c:v>
                </c:pt>
                <c:pt idx="12">
                  <c:v>31.39</c:v>
                </c:pt>
                <c:pt idx="13">
                  <c:v>31.39</c:v>
                </c:pt>
                <c:pt idx="14">
                  <c:v>31.39</c:v>
                </c:pt>
                <c:pt idx="15">
                  <c:v>31.39</c:v>
                </c:pt>
                <c:pt idx="16">
                  <c:v>31.39</c:v>
                </c:pt>
                <c:pt idx="17">
                  <c:v>31.39</c:v>
                </c:pt>
                <c:pt idx="18">
                  <c:v>31.39</c:v>
                </c:pt>
                <c:pt idx="19">
                  <c:v>31.39</c:v>
                </c:pt>
                <c:pt idx="20">
                  <c:v>31.39</c:v>
                </c:pt>
                <c:pt idx="21">
                  <c:v>31.39</c:v>
                </c:pt>
                <c:pt idx="22">
                  <c:v>31.39</c:v>
                </c:pt>
                <c:pt idx="23">
                  <c:v>31.39</c:v>
                </c:pt>
                <c:pt idx="24">
                  <c:v>31.39</c:v>
                </c:pt>
                <c:pt idx="25">
                  <c:v>31.39</c:v>
                </c:pt>
                <c:pt idx="26">
                  <c:v>31.39</c:v>
                </c:pt>
                <c:pt idx="27">
                  <c:v>31.39</c:v>
                </c:pt>
                <c:pt idx="28">
                  <c:v>31.39</c:v>
                </c:pt>
                <c:pt idx="29">
                  <c:v>31.39</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50.02</c:v>
                </c:pt>
                <c:pt idx="1">
                  <c:v>45.84</c:v>
                </c:pt>
                <c:pt idx="2">
                  <c:v>41.67</c:v>
                </c:pt>
                <c:pt idx="3">
                  <c:v>40.74</c:v>
                </c:pt>
                <c:pt idx="4">
                  <c:v>40</c:v>
                </c:pt>
                <c:pt idx="5">
                  <c:v>41.64</c:v>
                </c:pt>
                <c:pt idx="6">
                  <c:v>45.25</c:v>
                </c:pt>
                <c:pt idx="7">
                  <c:v>52.92</c:v>
                </c:pt>
                <c:pt idx="8">
                  <c:v>42.21</c:v>
                </c:pt>
                <c:pt idx="9">
                  <c:v>25.83</c:v>
                </c:pt>
                <c:pt idx="10">
                  <c:v>15.08</c:v>
                </c:pt>
                <c:pt idx="11">
                  <c:v>10.119999999999999</c:v>
                </c:pt>
                <c:pt idx="12">
                  <c:v>8.58</c:v>
                </c:pt>
                <c:pt idx="13">
                  <c:v>6.33</c:v>
                </c:pt>
                <c:pt idx="14">
                  <c:v>5.18</c:v>
                </c:pt>
                <c:pt idx="15">
                  <c:v>4.0199999999999996</c:v>
                </c:pt>
                <c:pt idx="16">
                  <c:v>3.94</c:v>
                </c:pt>
                <c:pt idx="17">
                  <c:v>6.42</c:v>
                </c:pt>
                <c:pt idx="18">
                  <c:v>12.43</c:v>
                </c:pt>
                <c:pt idx="19">
                  <c:v>27.13</c:v>
                </c:pt>
                <c:pt idx="20">
                  <c:v>46.23</c:v>
                </c:pt>
                <c:pt idx="21">
                  <c:v>66.7</c:v>
                </c:pt>
                <c:pt idx="22">
                  <c:v>62.48</c:v>
                </c:pt>
                <c:pt idx="23">
                  <c:v>53.9</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14.76</c:v>
                </c:pt>
                <c:pt idx="11">
                  <c:v>10.56</c:v>
                </c:pt>
                <c:pt idx="12">
                  <c:v>7.72</c:v>
                </c:pt>
                <c:pt idx="13">
                  <c:v>9.57</c:v>
                </c:pt>
                <c:pt idx="14">
                  <c:v>7.31</c:v>
                </c:pt>
                <c:pt idx="15">
                  <c:v>4.42</c:v>
                </c:pt>
                <c:pt idx="16">
                  <c:v>6.32</c:v>
                </c:pt>
                <c:pt idx="17">
                  <c:v>8.89</c:v>
                </c:pt>
                <c:pt idx="18">
                  <c:v>13.18</c:v>
                </c:pt>
                <c:pt idx="19">
                  <c:v>11.03</c:v>
                </c:pt>
                <c:pt idx="20">
                  <c:v>32.56</c:v>
                </c:pt>
                <c:pt idx="21">
                  <c:v>54.74</c:v>
                </c:pt>
                <c:pt idx="22">
                  <c:v>72.239999999999995</c:v>
                </c:pt>
                <c:pt idx="23">
                  <c:v>50.88</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61.17</c:v>
                </c:pt>
                <c:pt idx="1">
                  <c:v>41.23</c:v>
                </c:pt>
                <c:pt idx="2">
                  <c:v>48.49</c:v>
                </c:pt>
                <c:pt idx="3">
                  <c:v>53.82</c:v>
                </c:pt>
                <c:pt idx="4">
                  <c:v>48.47</c:v>
                </c:pt>
                <c:pt idx="5">
                  <c:v>44.3</c:v>
                </c:pt>
                <c:pt idx="6">
                  <c:v>46.06</c:v>
                </c:pt>
                <c:pt idx="7">
                  <c:v>55.06</c:v>
                </c:pt>
                <c:pt idx="8">
                  <c:v>54.97</c:v>
                </c:pt>
                <c:pt idx="9">
                  <c:v>32.090000000000003</c:v>
                </c:pt>
                <c:pt idx="10">
                  <c:v>8.74</c:v>
                </c:pt>
                <c:pt idx="11">
                  <c:v>8.0299999999999994</c:v>
                </c:pt>
                <c:pt idx="12">
                  <c:v>6.27</c:v>
                </c:pt>
                <c:pt idx="13">
                  <c:v>0.33</c:v>
                </c:pt>
                <c:pt idx="14">
                  <c:v>2.5299999999999998</c:v>
                </c:pt>
                <c:pt idx="15">
                  <c:v>-0.21</c:v>
                </c:pt>
                <c:pt idx="16">
                  <c:v>-0.12</c:v>
                </c:pt>
                <c:pt idx="17">
                  <c:v>0.45</c:v>
                </c:pt>
                <c:pt idx="18">
                  <c:v>10.92</c:v>
                </c:pt>
                <c:pt idx="19">
                  <c:v>39.369999999999997</c:v>
                </c:pt>
                <c:pt idx="20">
                  <c:v>49.96</c:v>
                </c:pt>
                <c:pt idx="21">
                  <c:v>72.17</c:v>
                </c:pt>
                <c:pt idx="22">
                  <c:v>66.14</c:v>
                </c:pt>
                <c:pt idx="23">
                  <c:v>62.36</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73.720000000000013</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70.75</c:v>
                </c:pt>
                <c:pt idx="1">
                  <c:v>70.75</c:v>
                </c:pt>
                <c:pt idx="2">
                  <c:v>70.75</c:v>
                </c:pt>
                <c:pt idx="3">
                  <c:v>70.75</c:v>
                </c:pt>
                <c:pt idx="4">
                  <c:v>70.75</c:v>
                </c:pt>
                <c:pt idx="5">
                  <c:v>70.75</c:v>
                </c:pt>
                <c:pt idx="6">
                  <c:v>70.75</c:v>
                </c:pt>
                <c:pt idx="7">
                  <c:v>70.75</c:v>
                </c:pt>
                <c:pt idx="8">
                  <c:v>70.75</c:v>
                </c:pt>
                <c:pt idx="9">
                  <c:v>70.75</c:v>
                </c:pt>
                <c:pt idx="10">
                  <c:v>70.75</c:v>
                </c:pt>
                <c:pt idx="11">
                  <c:v>70.75</c:v>
                </c:pt>
                <c:pt idx="12">
                  <c:v>70.75</c:v>
                </c:pt>
                <c:pt idx="13">
                  <c:v>70.75</c:v>
                </c:pt>
                <c:pt idx="14">
                  <c:v>70.75</c:v>
                </c:pt>
                <c:pt idx="15">
                  <c:v>70.75</c:v>
                </c:pt>
                <c:pt idx="16">
                  <c:v>70.75</c:v>
                </c:pt>
                <c:pt idx="17">
                  <c:v>70.75</c:v>
                </c:pt>
                <c:pt idx="18">
                  <c:v>70.75</c:v>
                </c:pt>
                <c:pt idx="19">
                  <c:v>70.75</c:v>
                </c:pt>
                <c:pt idx="20">
                  <c:v>70.75</c:v>
                </c:pt>
                <c:pt idx="21">
                  <c:v>70.75</c:v>
                </c:pt>
                <c:pt idx="22">
                  <c:v>70.75</c:v>
                </c:pt>
                <c:pt idx="23">
                  <c:v>70.75</c:v>
                </c:pt>
                <c:pt idx="24">
                  <c:v>70.75</c:v>
                </c:pt>
                <c:pt idx="25">
                  <c:v>70.75</c:v>
                </c:pt>
                <c:pt idx="26">
                  <c:v>70.75</c:v>
                </c:pt>
                <c:pt idx="27">
                  <c:v>70.75</c:v>
                </c:pt>
                <c:pt idx="28">
                  <c:v>70.75</c:v>
                </c:pt>
                <c:pt idx="29">
                  <c:v>70.75</c:v>
                </c:pt>
                <c:pt idx="30">
                  <c:v>70.75</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0.33500000000000002</c:v>
                      </c:pt>
                      <c:pt idx="1">
                        <c:v>0.33500000000000002</c:v>
                      </c:pt>
                      <c:pt idx="2">
                        <c:v>0.33500000000000002</c:v>
                      </c:pt>
                      <c:pt idx="3">
                        <c:v>0.33500000000000002</c:v>
                      </c:pt>
                      <c:pt idx="4">
                        <c:v>0.33500000000000002</c:v>
                      </c:pt>
                      <c:pt idx="5">
                        <c:v>0.33500000000000002</c:v>
                      </c:pt>
                      <c:pt idx="6">
                        <c:v>0.33500000000000002</c:v>
                      </c:pt>
                      <c:pt idx="7">
                        <c:v>0.33500000000000002</c:v>
                      </c:pt>
                      <c:pt idx="8">
                        <c:v>0.33500000000000002</c:v>
                      </c:pt>
                      <c:pt idx="9">
                        <c:v>0.33500000000000002</c:v>
                      </c:pt>
                      <c:pt idx="10">
                        <c:v>0.33500000000000002</c:v>
                      </c:pt>
                      <c:pt idx="11">
                        <c:v>0.33500000000000002</c:v>
                      </c:pt>
                      <c:pt idx="12">
                        <c:v>0.33500000000000002</c:v>
                      </c:pt>
                      <c:pt idx="13">
                        <c:v>0.33500000000000002</c:v>
                      </c:pt>
                      <c:pt idx="14">
                        <c:v>0.33500000000000002</c:v>
                      </c:pt>
                      <c:pt idx="15">
                        <c:v>0.33500000000000002</c:v>
                      </c:pt>
                      <c:pt idx="16">
                        <c:v>0.33500000000000002</c:v>
                      </c:pt>
                      <c:pt idx="17">
                        <c:v>0.33500000000000002</c:v>
                      </c:pt>
                      <c:pt idx="18">
                        <c:v>0.33500000000000002</c:v>
                      </c:pt>
                      <c:pt idx="19">
                        <c:v>0.33500000000000002</c:v>
                      </c:pt>
                      <c:pt idx="20">
                        <c:v>0.33500000000000002</c:v>
                      </c:pt>
                      <c:pt idx="21">
                        <c:v>0.33500000000000002</c:v>
                      </c:pt>
                      <c:pt idx="22">
                        <c:v>0.33500000000000002</c:v>
                      </c:pt>
                      <c:pt idx="23">
                        <c:v>0.33500000000000002</c:v>
                      </c:pt>
                      <c:pt idx="24">
                        <c:v>0.33500000000000002</c:v>
                      </c:pt>
                      <c:pt idx="25">
                        <c:v>0.33500000000000002</c:v>
                      </c:pt>
                      <c:pt idx="26">
                        <c:v>0.33500000000000002</c:v>
                      </c:pt>
                      <c:pt idx="27">
                        <c:v>0.33500000000000002</c:v>
                      </c:pt>
                      <c:pt idx="28">
                        <c:v>0.33500000000000002</c:v>
                      </c:pt>
                      <c:pt idx="29">
                        <c:v>0.33500000000000002</c:v>
                      </c:pt>
                      <c:pt idx="30">
                        <c:v>0.33500000000000002</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31.443999999999999</c:v>
                </c:pt>
                <c:pt idx="1">
                  <c:v>31.443999999999999</c:v>
                </c:pt>
                <c:pt idx="2">
                  <c:v>31.443999999999999</c:v>
                </c:pt>
                <c:pt idx="3">
                  <c:v>31.443999999999999</c:v>
                </c:pt>
                <c:pt idx="4">
                  <c:v>31.443999999999999</c:v>
                </c:pt>
                <c:pt idx="5">
                  <c:v>31.443999999999999</c:v>
                </c:pt>
                <c:pt idx="6">
                  <c:v>31.443999999999999</c:v>
                </c:pt>
                <c:pt idx="7">
                  <c:v>31.443999999999999</c:v>
                </c:pt>
                <c:pt idx="8">
                  <c:v>31.443999999999999</c:v>
                </c:pt>
                <c:pt idx="9">
                  <c:v>31.443999999999999</c:v>
                </c:pt>
                <c:pt idx="10">
                  <c:v>31.443999999999999</c:v>
                </c:pt>
                <c:pt idx="11">
                  <c:v>31.443999999999999</c:v>
                </c:pt>
                <c:pt idx="12">
                  <c:v>31.443999999999999</c:v>
                </c:pt>
                <c:pt idx="13">
                  <c:v>31.443999999999999</c:v>
                </c:pt>
                <c:pt idx="14">
                  <c:v>31.443999999999999</c:v>
                </c:pt>
                <c:pt idx="15">
                  <c:v>31.443999999999999</c:v>
                </c:pt>
                <c:pt idx="16">
                  <c:v>31.443999999999999</c:v>
                </c:pt>
                <c:pt idx="17">
                  <c:v>31.443999999999999</c:v>
                </c:pt>
                <c:pt idx="18">
                  <c:v>31.443999999999999</c:v>
                </c:pt>
                <c:pt idx="19">
                  <c:v>31.443999999999999</c:v>
                </c:pt>
                <c:pt idx="20">
                  <c:v>31.443999999999999</c:v>
                </c:pt>
                <c:pt idx="21">
                  <c:v>31.443999999999999</c:v>
                </c:pt>
                <c:pt idx="22">
                  <c:v>31.443999999999999</c:v>
                </c:pt>
                <c:pt idx="23">
                  <c:v>31.443999999999999</c:v>
                </c:pt>
                <c:pt idx="24">
                  <c:v>31.443999999999999</c:v>
                </c:pt>
                <c:pt idx="25">
                  <c:v>31.443999999999999</c:v>
                </c:pt>
                <c:pt idx="26">
                  <c:v>31.443999999999999</c:v>
                </c:pt>
                <c:pt idx="27">
                  <c:v>31.443999999999999</c:v>
                </c:pt>
                <c:pt idx="28">
                  <c:v>31.443999999999999</c:v>
                </c:pt>
                <c:pt idx="29">
                  <c:v>31.443999999999999</c:v>
                </c:pt>
                <c:pt idx="30">
                  <c:v>31.443999999999999</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6.0000000000000001E-3</c:v>
                      </c:pt>
                      <c:pt idx="1">
                        <c:v>6.0000000000000001E-3</c:v>
                      </c:pt>
                      <c:pt idx="2">
                        <c:v>7.0000000000000001E-3</c:v>
                      </c:pt>
                      <c:pt idx="3">
                        <c:v>7.0000000000000001E-3</c:v>
                      </c:pt>
                      <c:pt idx="4">
                        <c:v>7.0000000000000001E-3</c:v>
                      </c:pt>
                      <c:pt idx="5">
                        <c:v>8.0000000000000002E-3</c:v>
                      </c:pt>
                      <c:pt idx="6">
                        <c:v>8.0000000000000002E-3</c:v>
                      </c:pt>
                      <c:pt idx="7">
                        <c:v>8.0000000000000002E-3</c:v>
                      </c:pt>
                      <c:pt idx="8">
                        <c:v>8.9999999999999993E-3</c:v>
                      </c:pt>
                      <c:pt idx="9">
                        <c:v>7.0000000000000001E-3</c:v>
                      </c:pt>
                      <c:pt idx="10">
                        <c:v>7.0000000000000001E-3</c:v>
                      </c:pt>
                      <c:pt idx="11">
                        <c:v>8.0000000000000002E-3</c:v>
                      </c:pt>
                      <c:pt idx="12">
                        <c:v>8.0000000000000002E-3</c:v>
                      </c:pt>
                      <c:pt idx="13">
                        <c:v>8.9999999999999993E-3</c:v>
                      </c:pt>
                      <c:pt idx="14">
                        <c:v>0.01</c:v>
                      </c:pt>
                      <c:pt idx="15">
                        <c:v>0.01</c:v>
                      </c:pt>
                      <c:pt idx="16">
                        <c:v>8.0000000000000002E-3</c:v>
                      </c:pt>
                      <c:pt idx="17">
                        <c:v>4.0000000000000001E-3</c:v>
                      </c:pt>
                      <c:pt idx="18">
                        <c:v>5.0000000000000001E-3</c:v>
                      </c:pt>
                      <c:pt idx="19">
                        <c:v>5.0000000000000001E-3</c:v>
                      </c:pt>
                      <c:pt idx="20">
                        <c:v>6.0000000000000001E-3</c:v>
                      </c:pt>
                      <c:pt idx="21">
                        <c:v>7.0000000000000001E-3</c:v>
                      </c:pt>
                      <c:pt idx="22">
                        <c:v>8.0000000000000002E-3</c:v>
                      </c:pt>
                      <c:pt idx="23">
                        <c:v>0.01</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0.42599999999999999</c:v>
                      </c:pt>
                      <c:pt idx="1">
                        <c:v>0.42499999999999999</c:v>
                      </c:pt>
                      <c:pt idx="2">
                        <c:v>0.432</c:v>
                      </c:pt>
                      <c:pt idx="3">
                        <c:v>0.441</c:v>
                      </c:pt>
                      <c:pt idx="4">
                        <c:v>0.435</c:v>
                      </c:pt>
                      <c:pt idx="5">
                        <c:v>0.434</c:v>
                      </c:pt>
                      <c:pt idx="6">
                        <c:v>0.43099999999999999</c:v>
                      </c:pt>
                      <c:pt idx="7">
                        <c:v>0.42099999999999999</c:v>
                      </c:pt>
                      <c:pt idx="8">
                        <c:v>0.43</c:v>
                      </c:pt>
                      <c:pt idx="9">
                        <c:v>0.44</c:v>
                      </c:pt>
                      <c:pt idx="10">
                        <c:v>0.441</c:v>
                      </c:pt>
                      <c:pt idx="11">
                        <c:v>0.45800000000000002</c:v>
                      </c:pt>
                      <c:pt idx="12">
                        <c:v>0.46899999999999997</c:v>
                      </c:pt>
                      <c:pt idx="13">
                        <c:v>0.46700000000000003</c:v>
                      </c:pt>
                      <c:pt idx="14">
                        <c:v>0.47099999999999997</c:v>
                      </c:pt>
                      <c:pt idx="15">
                        <c:v>0.46500000000000002</c:v>
                      </c:pt>
                      <c:pt idx="16">
                        <c:v>0.47699999999999998</c:v>
                      </c:pt>
                      <c:pt idx="17">
                        <c:v>0.48299999999999998</c:v>
                      </c:pt>
                      <c:pt idx="18">
                        <c:v>0.47699999999999998</c:v>
                      </c:pt>
                      <c:pt idx="19">
                        <c:v>0.47399999999999998</c:v>
                      </c:pt>
                      <c:pt idx="20">
                        <c:v>0.47599999999999998</c:v>
                      </c:pt>
                      <c:pt idx="21">
                        <c:v>0.5</c:v>
                      </c:pt>
                      <c:pt idx="22">
                        <c:v>0.52500000000000002</c:v>
                      </c:pt>
                      <c:pt idx="23">
                        <c:v>0.54200000000000004</c:v>
                      </c:pt>
                      <c:pt idx="24">
                        <c:v>0.47199999999999998</c:v>
                      </c:pt>
                      <c:pt idx="25">
                        <c:v>0.41699999999999998</c:v>
                      </c:pt>
                      <c:pt idx="26">
                        <c:v>0.33300000000000002</c:v>
                      </c:pt>
                      <c:pt idx="27">
                        <c:v>0.33300000000000002</c:v>
                      </c:pt>
                      <c:pt idx="28">
                        <c:v>0.33300000000000002</c:v>
                      </c:pt>
                      <c:pt idx="29">
                        <c:v>0.33300000000000002</c:v>
                      </c:pt>
                      <c:pt idx="30">
                        <c:v>0.33300000000000002</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399</c:v>
                      </c:pt>
                      <c:pt idx="25">
                        <c:v>0</c:v>
                      </c:pt>
                      <c:pt idx="26">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6.2170000000000005</c:v>
                      </c:pt>
                      <c:pt idx="1">
                        <c:v>10.600909090909092</c:v>
                      </c:pt>
                      <c:pt idx="2">
                        <c:v>5.6466666666666674</c:v>
                      </c:pt>
                      <c:pt idx="3">
                        <c:v>7.5519999999999996</c:v>
                      </c:pt>
                      <c:pt idx="4">
                        <c:v>10.947777777777777</c:v>
                      </c:pt>
                      <c:pt idx="5">
                        <c:v>25.802857142857142</c:v>
                      </c:pt>
                      <c:pt idx="6">
                        <c:v>6.8</c:v>
                      </c:pt>
                      <c:pt idx="7">
                        <c:v>13.202941176470588</c:v>
                      </c:pt>
                      <c:pt idx="8">
                        <c:v>7.0866666666666669</c:v>
                      </c:pt>
                      <c:pt idx="9">
                        <c:v>7.5410000000000004</c:v>
                      </c:pt>
                      <c:pt idx="10">
                        <c:v>10.681666666666668</c:v>
                      </c:pt>
                      <c:pt idx="11">
                        <c:v>10.78</c:v>
                      </c:pt>
                      <c:pt idx="12">
                        <c:v>5.4849999999999994</c:v>
                      </c:pt>
                      <c:pt idx="13">
                        <c:v>5.3359999999999994</c:v>
                      </c:pt>
                      <c:pt idx="14">
                        <c:v>13.570000000000002</c:v>
                      </c:pt>
                      <c:pt idx="15">
                        <c:v>7.1237500000000002</c:v>
                      </c:pt>
                      <c:pt idx="16">
                        <c:v>26.006250000000001</c:v>
                      </c:pt>
                      <c:pt idx="17">
                        <c:v>22.431999999999999</c:v>
                      </c:pt>
                      <c:pt idx="18">
                        <c:v>6.25</c:v>
                      </c:pt>
                      <c:pt idx="19">
                        <c:v>8.4719999999999995</c:v>
                      </c:pt>
                      <c:pt idx="20">
                        <c:v>30.12307692307693</c:v>
                      </c:pt>
                      <c:pt idx="21">
                        <c:v>19.285</c:v>
                      </c:pt>
                      <c:pt idx="22">
                        <c:v>46.055714285714281</c:v>
                      </c:pt>
                      <c:pt idx="23">
                        <c:v>39.289999999999992</c:v>
                      </c:pt>
                      <c:pt idx="24">
                        <c:v>20.916666666666668</c:v>
                      </c:pt>
                      <c:pt idx="25">
                        <c:v>24.02</c:v>
                      </c:pt>
                      <c:pt idx="26">
                        <c:v>23.26</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15.57</c:v>
                      </c:pt>
                      <c:pt idx="1">
                        <c:v>15.57</c:v>
                      </c:pt>
                      <c:pt idx="2">
                        <c:v>15.57</c:v>
                      </c:pt>
                      <c:pt idx="3">
                        <c:v>15.57</c:v>
                      </c:pt>
                      <c:pt idx="4">
                        <c:v>15.57</c:v>
                      </c:pt>
                      <c:pt idx="5">
                        <c:v>15.57</c:v>
                      </c:pt>
                      <c:pt idx="6">
                        <c:v>15.57</c:v>
                      </c:pt>
                      <c:pt idx="7">
                        <c:v>15.57</c:v>
                      </c:pt>
                      <c:pt idx="8">
                        <c:v>15.57</c:v>
                      </c:pt>
                      <c:pt idx="9">
                        <c:v>15.57</c:v>
                      </c:pt>
                      <c:pt idx="10">
                        <c:v>15.57</c:v>
                      </c:pt>
                      <c:pt idx="11">
                        <c:v>15.57</c:v>
                      </c:pt>
                      <c:pt idx="12">
                        <c:v>15.57</c:v>
                      </c:pt>
                      <c:pt idx="13">
                        <c:v>15.57</c:v>
                      </c:pt>
                      <c:pt idx="14">
                        <c:v>15.57</c:v>
                      </c:pt>
                      <c:pt idx="15">
                        <c:v>15.57</c:v>
                      </c:pt>
                      <c:pt idx="16">
                        <c:v>15.57</c:v>
                      </c:pt>
                      <c:pt idx="17">
                        <c:v>15.57</c:v>
                      </c:pt>
                      <c:pt idx="18">
                        <c:v>15.57</c:v>
                      </c:pt>
                      <c:pt idx="19">
                        <c:v>15.57</c:v>
                      </c:pt>
                      <c:pt idx="20">
                        <c:v>15.57</c:v>
                      </c:pt>
                      <c:pt idx="21">
                        <c:v>15.57</c:v>
                      </c:pt>
                      <c:pt idx="22">
                        <c:v>15.57</c:v>
                      </c:pt>
                      <c:pt idx="23">
                        <c:v>15.57</c:v>
                      </c:pt>
                      <c:pt idx="24">
                        <c:v>15.57</c:v>
                      </c:pt>
                      <c:pt idx="25">
                        <c:v>15.57</c:v>
                      </c:pt>
                      <c:pt idx="26">
                        <c:v>15.57</c:v>
                      </c:pt>
                      <c:pt idx="27">
                        <c:v>15.57</c:v>
                      </c:pt>
                      <c:pt idx="28">
                        <c:v>15.57</c:v>
                      </c:pt>
                      <c:pt idx="29">
                        <c:v>15.57</c:v>
                      </c:pt>
                      <c:pt idx="30">
                        <c:v>15.57</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0</c:v>
                      </c:pt>
                      <c:pt idx="8">
                        <c:v>104.62</c:v>
                      </c:pt>
                      <c:pt idx="9">
                        <c:v>0</c:v>
                      </c:pt>
                      <c:pt idx="10">
                        <c:v>0</c:v>
                      </c:pt>
                      <c:pt idx="11">
                        <c:v>0</c:v>
                      </c:pt>
                      <c:pt idx="12">
                        <c:v>0</c:v>
                      </c:pt>
                      <c:pt idx="13">
                        <c:v>0</c:v>
                      </c:pt>
                      <c:pt idx="14">
                        <c:v>0</c:v>
                      </c:pt>
                      <c:pt idx="15">
                        <c:v>106.39</c:v>
                      </c:pt>
                      <c:pt idx="16">
                        <c:v>102.66</c:v>
                      </c:pt>
                      <c:pt idx="17">
                        <c:v>0</c:v>
                      </c:pt>
                      <c:pt idx="18">
                        <c:v>0</c:v>
                      </c:pt>
                      <c:pt idx="19">
                        <c:v>0</c:v>
                      </c:pt>
                      <c:pt idx="20">
                        <c:v>0</c:v>
                      </c:pt>
                      <c:pt idx="21">
                        <c:v>0</c:v>
                      </c:pt>
                      <c:pt idx="22">
                        <c:v>0</c:v>
                      </c:pt>
                      <c:pt idx="23">
                        <c:v>117.19</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15.958</c:v>
                      </c:pt>
                      <c:pt idx="1">
                        <c:v>15.958</c:v>
                      </c:pt>
                      <c:pt idx="2">
                        <c:v>15.958</c:v>
                      </c:pt>
                      <c:pt idx="3">
                        <c:v>15.958</c:v>
                      </c:pt>
                      <c:pt idx="4">
                        <c:v>15.958</c:v>
                      </c:pt>
                      <c:pt idx="5">
                        <c:v>15.958</c:v>
                      </c:pt>
                      <c:pt idx="6">
                        <c:v>15.958</c:v>
                      </c:pt>
                      <c:pt idx="7">
                        <c:v>15.958</c:v>
                      </c:pt>
                      <c:pt idx="8">
                        <c:v>15.958</c:v>
                      </c:pt>
                      <c:pt idx="9">
                        <c:v>15.958</c:v>
                      </c:pt>
                      <c:pt idx="10">
                        <c:v>15.958</c:v>
                      </c:pt>
                      <c:pt idx="11">
                        <c:v>15.958</c:v>
                      </c:pt>
                      <c:pt idx="12">
                        <c:v>15.958</c:v>
                      </c:pt>
                      <c:pt idx="13">
                        <c:v>15.958</c:v>
                      </c:pt>
                      <c:pt idx="14">
                        <c:v>15.958</c:v>
                      </c:pt>
                      <c:pt idx="15">
                        <c:v>15.958</c:v>
                      </c:pt>
                      <c:pt idx="16">
                        <c:v>15.958</c:v>
                      </c:pt>
                      <c:pt idx="17">
                        <c:v>15.958</c:v>
                      </c:pt>
                      <c:pt idx="18">
                        <c:v>15.958</c:v>
                      </c:pt>
                      <c:pt idx="19">
                        <c:v>15.958</c:v>
                      </c:pt>
                      <c:pt idx="20">
                        <c:v>15.958</c:v>
                      </c:pt>
                      <c:pt idx="21">
                        <c:v>15.958</c:v>
                      </c:pt>
                      <c:pt idx="22">
                        <c:v>15.958</c:v>
                      </c:pt>
                      <c:pt idx="23">
                        <c:v>15.958</c:v>
                      </c:pt>
                      <c:pt idx="24">
                        <c:v>15.958</c:v>
                      </c:pt>
                      <c:pt idx="25">
                        <c:v>15.958</c:v>
                      </c:pt>
                      <c:pt idx="26">
                        <c:v>15.958</c:v>
                      </c:pt>
                      <c:pt idx="27">
                        <c:v>15.958</c:v>
                      </c:pt>
                      <c:pt idx="28">
                        <c:v>15.958</c:v>
                      </c:pt>
                      <c:pt idx="29">
                        <c:v>15.958</c:v>
                      </c:pt>
                      <c:pt idx="30">
                        <c:v>15.958</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15.414545454545454</c:v>
                      </c:pt>
                      <c:pt idx="1">
                        <c:v>6.6666666666666652</c:v>
                      </c:pt>
                      <c:pt idx="2">
                        <c:v>43.491999999999997</c:v>
                      </c:pt>
                      <c:pt idx="3">
                        <c:v>10.521428571428572</c:v>
                      </c:pt>
                      <c:pt idx="4">
                        <c:v>20.63</c:v>
                      </c:pt>
                      <c:pt idx="5">
                        <c:v>60.230833333333329</c:v>
                      </c:pt>
                      <c:pt idx="6">
                        <c:v>43.076000000000008</c:v>
                      </c:pt>
                      <c:pt idx="7">
                        <c:v>41.736666666666672</c:v>
                      </c:pt>
                      <c:pt idx="8">
                        <c:v>53.784999999999997</c:v>
                      </c:pt>
                      <c:pt idx="9">
                        <c:v>45.185000000000002</c:v>
                      </c:pt>
                      <c:pt idx="10">
                        <c:v>7.0149999999999997</c:v>
                      </c:pt>
                      <c:pt idx="11">
                        <c:v>11.721428571428572</c:v>
                      </c:pt>
                      <c:pt idx="12">
                        <c:v>28.451666666666664</c:v>
                      </c:pt>
                      <c:pt idx="13">
                        <c:v>7.2020000000000008</c:v>
                      </c:pt>
                      <c:pt idx="14">
                        <c:v>10.51923076923077</c:v>
                      </c:pt>
                      <c:pt idx="15">
                        <c:v>43.621250000000003</c:v>
                      </c:pt>
                      <c:pt idx="16">
                        <c:v>71.536000000000016</c:v>
                      </c:pt>
                      <c:pt idx="17">
                        <c:v>35.632307692307691</c:v>
                      </c:pt>
                      <c:pt idx="18">
                        <c:v>24.300833333333333</c:v>
                      </c:pt>
                      <c:pt idx="19">
                        <c:v>50.848181818181821</c:v>
                      </c:pt>
                      <c:pt idx="20">
                        <c:v>63.742499999999993</c:v>
                      </c:pt>
                      <c:pt idx="21">
                        <c:v>64.63333333333334</c:v>
                      </c:pt>
                      <c:pt idx="22">
                        <c:v>73.763636363636365</c:v>
                      </c:pt>
                      <c:pt idx="23">
                        <c:v>78.367777777777775</c:v>
                      </c:pt>
                      <c:pt idx="24">
                        <c:v>42.77</c:v>
                      </c:pt>
                      <c:pt idx="25">
                        <c:v>12.8325</c:v>
                      </c:pt>
                      <c:pt idx="26">
                        <c:v>33.81</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37.093000000000004</c:v>
                      </c:pt>
                      <c:pt idx="1">
                        <c:v>37.093000000000004</c:v>
                      </c:pt>
                      <c:pt idx="2">
                        <c:v>37.093000000000004</c:v>
                      </c:pt>
                      <c:pt idx="3">
                        <c:v>37.093000000000004</c:v>
                      </c:pt>
                      <c:pt idx="4">
                        <c:v>37.093000000000004</c:v>
                      </c:pt>
                      <c:pt idx="5">
                        <c:v>37.093000000000004</c:v>
                      </c:pt>
                      <c:pt idx="6">
                        <c:v>37.093000000000004</c:v>
                      </c:pt>
                      <c:pt idx="7">
                        <c:v>37.093000000000004</c:v>
                      </c:pt>
                      <c:pt idx="8">
                        <c:v>37.093000000000004</c:v>
                      </c:pt>
                      <c:pt idx="9">
                        <c:v>37.093000000000004</c:v>
                      </c:pt>
                      <c:pt idx="10">
                        <c:v>37.093000000000004</c:v>
                      </c:pt>
                      <c:pt idx="11">
                        <c:v>37.093000000000004</c:v>
                      </c:pt>
                      <c:pt idx="12">
                        <c:v>37.093000000000004</c:v>
                      </c:pt>
                      <c:pt idx="13">
                        <c:v>37.093000000000004</c:v>
                      </c:pt>
                      <c:pt idx="14">
                        <c:v>37.093000000000004</c:v>
                      </c:pt>
                      <c:pt idx="15">
                        <c:v>37.093000000000004</c:v>
                      </c:pt>
                      <c:pt idx="16">
                        <c:v>37.093000000000004</c:v>
                      </c:pt>
                      <c:pt idx="17">
                        <c:v>37.093000000000004</c:v>
                      </c:pt>
                      <c:pt idx="18">
                        <c:v>37.093000000000004</c:v>
                      </c:pt>
                      <c:pt idx="19">
                        <c:v>37.093000000000004</c:v>
                      </c:pt>
                      <c:pt idx="20">
                        <c:v>37.093000000000004</c:v>
                      </c:pt>
                      <c:pt idx="21">
                        <c:v>37.093000000000004</c:v>
                      </c:pt>
                      <c:pt idx="22">
                        <c:v>37.093000000000004</c:v>
                      </c:pt>
                      <c:pt idx="23">
                        <c:v>37.093000000000004</c:v>
                      </c:pt>
                      <c:pt idx="24">
                        <c:v>37.093000000000004</c:v>
                      </c:pt>
                      <c:pt idx="25">
                        <c:v>37.093000000000004</c:v>
                      </c:pt>
                      <c:pt idx="26">
                        <c:v>37.093000000000004</c:v>
                      </c:pt>
                      <c:pt idx="27">
                        <c:v>37.093000000000004</c:v>
                      </c:pt>
                      <c:pt idx="28">
                        <c:v>37.093000000000004</c:v>
                      </c:pt>
                      <c:pt idx="29">
                        <c:v>37.093000000000004</c:v>
                      </c:pt>
                      <c:pt idx="30">
                        <c:v>37.093000000000004</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399</c:v>
                      </c:pt>
                      <c:pt idx="25">
                        <c:v>0</c:v>
                      </c:pt>
                      <c:pt idx="26">
                        <c:v>0</c:v>
                      </c:pt>
                      <c:pt idx="27">
                        <c:v>534.48148148148152</c:v>
                      </c:pt>
                      <c:pt idx="28">
                        <c:v>534.48148148148152</c:v>
                      </c:pt>
                      <c:pt idx="29">
                        <c:v>534.48148148148152</c:v>
                      </c:pt>
                      <c:pt idx="30">
                        <c:v>534.48148148148152</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0.50904141575037132</c:v>
                </c:pt>
              </c:numCache>
            </c:numRef>
          </c:xVal>
          <c:yVal>
            <c:numRef>
              <c:f>[1]omie_dinamic_dia!$Y$11:$Y$12</c:f>
              <c:numCache>
                <c:formatCode>General</c:formatCode>
                <c:ptCount val="2"/>
                <c:pt idx="0">
                  <c:v>0</c:v>
                </c:pt>
                <c:pt idx="1">
                  <c:v>0.86074202700394364</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-0.9992894726405892</c:v>
                </c:pt>
              </c:numCache>
            </c:numRef>
          </c:xVal>
          <c:yVal>
            <c:numRef>
              <c:f>[1]omie_dinamic_dia!$AC$20:$AC$21</c:f>
              <c:numCache>
                <c:formatCode>General</c:formatCode>
                <c:ptCount val="2"/>
                <c:pt idx="0">
                  <c:v>0</c:v>
                </c:pt>
                <c:pt idx="1">
                  <c:v>3.7690182669934541E-2</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0.89384142415126377</c:v>
                </c:pt>
              </c:numCache>
            </c:numRef>
          </c:xVal>
          <c:yVal>
            <c:numRef>
              <c:f>[1]omie_dinamic_dia!$Y$37:$Y$38</c:f>
              <c:numCache>
                <c:formatCode>General</c:formatCode>
                <c:ptCount val="2"/>
                <c:pt idx="0">
                  <c:v>0</c:v>
                </c:pt>
                <c:pt idx="1">
                  <c:v>0.44838321609003229</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399</c:v>
                </c:pt>
                <c:pt idx="25">
                  <c:v>0</c:v>
                </c:pt>
                <c:pt idx="26">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31.39</c:v>
                </c:pt>
                <c:pt idx="1">
                  <c:v>31.39</c:v>
                </c:pt>
                <c:pt idx="2">
                  <c:v>31.39</c:v>
                </c:pt>
                <c:pt idx="3">
                  <c:v>31.39</c:v>
                </c:pt>
                <c:pt idx="4">
                  <c:v>31.39</c:v>
                </c:pt>
                <c:pt idx="5">
                  <c:v>31.39</c:v>
                </c:pt>
                <c:pt idx="6">
                  <c:v>31.39</c:v>
                </c:pt>
                <c:pt idx="7">
                  <c:v>31.39</c:v>
                </c:pt>
                <c:pt idx="8">
                  <c:v>31.39</c:v>
                </c:pt>
                <c:pt idx="9">
                  <c:v>31.39</c:v>
                </c:pt>
                <c:pt idx="10">
                  <c:v>31.39</c:v>
                </c:pt>
                <c:pt idx="11">
                  <c:v>31.39</c:v>
                </c:pt>
                <c:pt idx="12">
                  <c:v>31.39</c:v>
                </c:pt>
                <c:pt idx="13">
                  <c:v>31.39</c:v>
                </c:pt>
                <c:pt idx="14">
                  <c:v>31.39</c:v>
                </c:pt>
                <c:pt idx="15">
                  <c:v>31.39</c:v>
                </c:pt>
                <c:pt idx="16">
                  <c:v>31.39</c:v>
                </c:pt>
                <c:pt idx="17">
                  <c:v>31.39</c:v>
                </c:pt>
                <c:pt idx="18">
                  <c:v>31.39</c:v>
                </c:pt>
                <c:pt idx="19">
                  <c:v>31.39</c:v>
                </c:pt>
                <c:pt idx="20">
                  <c:v>31.39</c:v>
                </c:pt>
                <c:pt idx="21">
                  <c:v>31.39</c:v>
                </c:pt>
                <c:pt idx="22">
                  <c:v>31.39</c:v>
                </c:pt>
                <c:pt idx="23">
                  <c:v>31.39</c:v>
                </c:pt>
                <c:pt idx="24">
                  <c:v>31.39</c:v>
                </c:pt>
                <c:pt idx="25">
                  <c:v>31.39</c:v>
                </c:pt>
                <c:pt idx="26">
                  <c:v>31.39</c:v>
                </c:pt>
                <c:pt idx="27">
                  <c:v>31.39</c:v>
                </c:pt>
                <c:pt idx="28">
                  <c:v>31.39</c:v>
                </c:pt>
                <c:pt idx="29">
                  <c:v>31.39</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50.02</c:v>
                </c:pt>
                <c:pt idx="1">
                  <c:v>45.84</c:v>
                </c:pt>
                <c:pt idx="2">
                  <c:v>41.67</c:v>
                </c:pt>
                <c:pt idx="3">
                  <c:v>40.74</c:v>
                </c:pt>
                <c:pt idx="4">
                  <c:v>40</c:v>
                </c:pt>
                <c:pt idx="5">
                  <c:v>41.64</c:v>
                </c:pt>
                <c:pt idx="6">
                  <c:v>45.25</c:v>
                </c:pt>
                <c:pt idx="7">
                  <c:v>52.92</c:v>
                </c:pt>
                <c:pt idx="8">
                  <c:v>42.21</c:v>
                </c:pt>
                <c:pt idx="9">
                  <c:v>25.83</c:v>
                </c:pt>
                <c:pt idx="10">
                  <c:v>15.08</c:v>
                </c:pt>
                <c:pt idx="11">
                  <c:v>10.119999999999999</c:v>
                </c:pt>
                <c:pt idx="12">
                  <c:v>8.58</c:v>
                </c:pt>
                <c:pt idx="13">
                  <c:v>6.33</c:v>
                </c:pt>
                <c:pt idx="14">
                  <c:v>5.18</c:v>
                </c:pt>
                <c:pt idx="15">
                  <c:v>4.0199999999999996</c:v>
                </c:pt>
                <c:pt idx="16">
                  <c:v>3.94</c:v>
                </c:pt>
                <c:pt idx="17">
                  <c:v>6.42</c:v>
                </c:pt>
                <c:pt idx="18">
                  <c:v>12.43</c:v>
                </c:pt>
                <c:pt idx="19">
                  <c:v>27.13</c:v>
                </c:pt>
                <c:pt idx="20">
                  <c:v>46.23</c:v>
                </c:pt>
                <c:pt idx="21">
                  <c:v>66.7</c:v>
                </c:pt>
                <c:pt idx="22">
                  <c:v>62.48</c:v>
                </c:pt>
                <c:pt idx="23">
                  <c:v>53.9</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14.76</c:v>
                </c:pt>
                <c:pt idx="11">
                  <c:v>10.56</c:v>
                </c:pt>
                <c:pt idx="12">
                  <c:v>7.72</c:v>
                </c:pt>
                <c:pt idx="13">
                  <c:v>9.57</c:v>
                </c:pt>
                <c:pt idx="14">
                  <c:v>7.31</c:v>
                </c:pt>
                <c:pt idx="15">
                  <c:v>4.42</c:v>
                </c:pt>
                <c:pt idx="16">
                  <c:v>6.32</c:v>
                </c:pt>
                <c:pt idx="17">
                  <c:v>8.89</c:v>
                </c:pt>
                <c:pt idx="18">
                  <c:v>13.18</c:v>
                </c:pt>
                <c:pt idx="19">
                  <c:v>11.03</c:v>
                </c:pt>
                <c:pt idx="20">
                  <c:v>32.56</c:v>
                </c:pt>
                <c:pt idx="21">
                  <c:v>54.74</c:v>
                </c:pt>
                <c:pt idx="22">
                  <c:v>72.239999999999995</c:v>
                </c:pt>
                <c:pt idx="23">
                  <c:v>50.88</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61.17</c:v>
                </c:pt>
                <c:pt idx="1">
                  <c:v>41.23</c:v>
                </c:pt>
                <c:pt idx="2">
                  <c:v>48.49</c:v>
                </c:pt>
                <c:pt idx="3">
                  <c:v>53.82</c:v>
                </c:pt>
                <c:pt idx="4">
                  <c:v>48.47</c:v>
                </c:pt>
                <c:pt idx="5">
                  <c:v>44.3</c:v>
                </c:pt>
                <c:pt idx="6">
                  <c:v>46.06</c:v>
                </c:pt>
                <c:pt idx="7">
                  <c:v>55.06</c:v>
                </c:pt>
                <c:pt idx="8">
                  <c:v>54.97</c:v>
                </c:pt>
                <c:pt idx="9">
                  <c:v>32.090000000000003</c:v>
                </c:pt>
                <c:pt idx="10">
                  <c:v>8.74</c:v>
                </c:pt>
                <c:pt idx="11">
                  <c:v>8.0299999999999994</c:v>
                </c:pt>
                <c:pt idx="12">
                  <c:v>6.27</c:v>
                </c:pt>
                <c:pt idx="13">
                  <c:v>0.33</c:v>
                </c:pt>
                <c:pt idx="14">
                  <c:v>2.5299999999999998</c:v>
                </c:pt>
                <c:pt idx="15">
                  <c:v>-0.21</c:v>
                </c:pt>
                <c:pt idx="16">
                  <c:v>-0.12</c:v>
                </c:pt>
                <c:pt idx="17">
                  <c:v>0.45</c:v>
                </c:pt>
                <c:pt idx="18">
                  <c:v>10.92</c:v>
                </c:pt>
                <c:pt idx="19">
                  <c:v>39.369999999999997</c:v>
                </c:pt>
                <c:pt idx="20">
                  <c:v>49.96</c:v>
                </c:pt>
                <c:pt idx="21">
                  <c:v>72.17</c:v>
                </c:pt>
                <c:pt idx="22">
                  <c:v>66.14</c:v>
                </c:pt>
                <c:pt idx="23">
                  <c:v>62.36</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73.720000000000013</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70.75</c:v>
                </c:pt>
                <c:pt idx="1">
                  <c:v>70.75</c:v>
                </c:pt>
                <c:pt idx="2">
                  <c:v>70.75</c:v>
                </c:pt>
                <c:pt idx="3">
                  <c:v>70.75</c:v>
                </c:pt>
                <c:pt idx="4">
                  <c:v>70.75</c:v>
                </c:pt>
                <c:pt idx="5">
                  <c:v>70.75</c:v>
                </c:pt>
                <c:pt idx="6">
                  <c:v>70.75</c:v>
                </c:pt>
                <c:pt idx="7">
                  <c:v>70.75</c:v>
                </c:pt>
                <c:pt idx="8">
                  <c:v>70.75</c:v>
                </c:pt>
                <c:pt idx="9">
                  <c:v>70.75</c:v>
                </c:pt>
                <c:pt idx="10">
                  <c:v>70.75</c:v>
                </c:pt>
                <c:pt idx="11">
                  <c:v>70.75</c:v>
                </c:pt>
                <c:pt idx="12">
                  <c:v>70.75</c:v>
                </c:pt>
                <c:pt idx="13">
                  <c:v>70.75</c:v>
                </c:pt>
                <c:pt idx="14">
                  <c:v>70.75</c:v>
                </c:pt>
                <c:pt idx="15">
                  <c:v>70.75</c:v>
                </c:pt>
                <c:pt idx="16">
                  <c:v>70.75</c:v>
                </c:pt>
                <c:pt idx="17">
                  <c:v>70.75</c:v>
                </c:pt>
                <c:pt idx="18">
                  <c:v>70.75</c:v>
                </c:pt>
                <c:pt idx="19">
                  <c:v>70.75</c:v>
                </c:pt>
                <c:pt idx="20">
                  <c:v>70.75</c:v>
                </c:pt>
                <c:pt idx="21">
                  <c:v>70.75</c:v>
                </c:pt>
                <c:pt idx="22">
                  <c:v>70.75</c:v>
                </c:pt>
                <c:pt idx="23">
                  <c:v>70.75</c:v>
                </c:pt>
                <c:pt idx="24">
                  <c:v>70.75</c:v>
                </c:pt>
                <c:pt idx="25">
                  <c:v>70.75</c:v>
                </c:pt>
                <c:pt idx="26">
                  <c:v>70.75</c:v>
                </c:pt>
                <c:pt idx="27">
                  <c:v>70.75</c:v>
                </c:pt>
                <c:pt idx="28">
                  <c:v>70.75</c:v>
                </c:pt>
                <c:pt idx="29">
                  <c:v>70.75</c:v>
                </c:pt>
                <c:pt idx="30">
                  <c:v>70.75</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0.33500000000000002</c:v>
                      </c:pt>
                      <c:pt idx="1">
                        <c:v>0.33500000000000002</c:v>
                      </c:pt>
                      <c:pt idx="2">
                        <c:v>0.33500000000000002</c:v>
                      </c:pt>
                      <c:pt idx="3">
                        <c:v>0.33500000000000002</c:v>
                      </c:pt>
                      <c:pt idx="4">
                        <c:v>0.33500000000000002</c:v>
                      </c:pt>
                      <c:pt idx="5">
                        <c:v>0.33500000000000002</c:v>
                      </c:pt>
                      <c:pt idx="6">
                        <c:v>0.33500000000000002</c:v>
                      </c:pt>
                      <c:pt idx="7">
                        <c:v>0.33500000000000002</c:v>
                      </c:pt>
                      <c:pt idx="8">
                        <c:v>0.33500000000000002</c:v>
                      </c:pt>
                      <c:pt idx="9">
                        <c:v>0.33500000000000002</c:v>
                      </c:pt>
                      <c:pt idx="10">
                        <c:v>0.33500000000000002</c:v>
                      </c:pt>
                      <c:pt idx="11">
                        <c:v>0.33500000000000002</c:v>
                      </c:pt>
                      <c:pt idx="12">
                        <c:v>0.33500000000000002</c:v>
                      </c:pt>
                      <c:pt idx="13">
                        <c:v>0.33500000000000002</c:v>
                      </c:pt>
                      <c:pt idx="14">
                        <c:v>0.33500000000000002</c:v>
                      </c:pt>
                      <c:pt idx="15">
                        <c:v>0.33500000000000002</c:v>
                      </c:pt>
                      <c:pt idx="16">
                        <c:v>0.33500000000000002</c:v>
                      </c:pt>
                      <c:pt idx="17">
                        <c:v>0.33500000000000002</c:v>
                      </c:pt>
                      <c:pt idx="18">
                        <c:v>0.33500000000000002</c:v>
                      </c:pt>
                      <c:pt idx="19">
                        <c:v>0.33500000000000002</c:v>
                      </c:pt>
                      <c:pt idx="20">
                        <c:v>0.33500000000000002</c:v>
                      </c:pt>
                      <c:pt idx="21">
                        <c:v>0.33500000000000002</c:v>
                      </c:pt>
                      <c:pt idx="22">
                        <c:v>0.33500000000000002</c:v>
                      </c:pt>
                      <c:pt idx="23">
                        <c:v>0.33500000000000002</c:v>
                      </c:pt>
                      <c:pt idx="24">
                        <c:v>0.33500000000000002</c:v>
                      </c:pt>
                      <c:pt idx="25">
                        <c:v>0.33500000000000002</c:v>
                      </c:pt>
                      <c:pt idx="26">
                        <c:v>0.33500000000000002</c:v>
                      </c:pt>
                      <c:pt idx="27">
                        <c:v>0.33500000000000002</c:v>
                      </c:pt>
                      <c:pt idx="28">
                        <c:v>0.33500000000000002</c:v>
                      </c:pt>
                      <c:pt idx="29">
                        <c:v>0.33500000000000002</c:v>
                      </c:pt>
                      <c:pt idx="30">
                        <c:v>0.33500000000000002</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31.443999999999999</c:v>
                </c:pt>
                <c:pt idx="1">
                  <c:v>31.443999999999999</c:v>
                </c:pt>
                <c:pt idx="2">
                  <c:v>31.443999999999999</c:v>
                </c:pt>
                <c:pt idx="3">
                  <c:v>31.443999999999999</c:v>
                </c:pt>
                <c:pt idx="4">
                  <c:v>31.443999999999999</c:v>
                </c:pt>
                <c:pt idx="5">
                  <c:v>31.443999999999999</c:v>
                </c:pt>
                <c:pt idx="6">
                  <c:v>31.443999999999999</c:v>
                </c:pt>
                <c:pt idx="7">
                  <c:v>31.443999999999999</c:v>
                </c:pt>
                <c:pt idx="8">
                  <c:v>31.443999999999999</c:v>
                </c:pt>
                <c:pt idx="9">
                  <c:v>31.443999999999999</c:v>
                </c:pt>
                <c:pt idx="10">
                  <c:v>31.443999999999999</c:v>
                </c:pt>
                <c:pt idx="11">
                  <c:v>31.443999999999999</c:v>
                </c:pt>
                <c:pt idx="12">
                  <c:v>31.443999999999999</c:v>
                </c:pt>
                <c:pt idx="13">
                  <c:v>31.443999999999999</c:v>
                </c:pt>
                <c:pt idx="14">
                  <c:v>31.443999999999999</c:v>
                </c:pt>
                <c:pt idx="15">
                  <c:v>31.443999999999999</c:v>
                </c:pt>
                <c:pt idx="16">
                  <c:v>31.443999999999999</c:v>
                </c:pt>
                <c:pt idx="17">
                  <c:v>31.443999999999999</c:v>
                </c:pt>
                <c:pt idx="18">
                  <c:v>31.443999999999999</c:v>
                </c:pt>
                <c:pt idx="19">
                  <c:v>31.443999999999999</c:v>
                </c:pt>
                <c:pt idx="20">
                  <c:v>31.443999999999999</c:v>
                </c:pt>
                <c:pt idx="21">
                  <c:v>31.443999999999999</c:v>
                </c:pt>
                <c:pt idx="22">
                  <c:v>31.443999999999999</c:v>
                </c:pt>
                <c:pt idx="23">
                  <c:v>31.443999999999999</c:v>
                </c:pt>
                <c:pt idx="24">
                  <c:v>31.443999999999999</c:v>
                </c:pt>
                <c:pt idx="25">
                  <c:v>31.443999999999999</c:v>
                </c:pt>
                <c:pt idx="26">
                  <c:v>31.443999999999999</c:v>
                </c:pt>
                <c:pt idx="27">
                  <c:v>31.443999999999999</c:v>
                </c:pt>
                <c:pt idx="28">
                  <c:v>31.443999999999999</c:v>
                </c:pt>
                <c:pt idx="29">
                  <c:v>31.443999999999999</c:v>
                </c:pt>
                <c:pt idx="30">
                  <c:v>31.443999999999999</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6.0000000000000001E-3</c:v>
                      </c:pt>
                      <c:pt idx="1">
                        <c:v>6.0000000000000001E-3</c:v>
                      </c:pt>
                      <c:pt idx="2">
                        <c:v>7.0000000000000001E-3</c:v>
                      </c:pt>
                      <c:pt idx="3">
                        <c:v>7.0000000000000001E-3</c:v>
                      </c:pt>
                      <c:pt idx="4">
                        <c:v>7.0000000000000001E-3</c:v>
                      </c:pt>
                      <c:pt idx="5">
                        <c:v>8.0000000000000002E-3</c:v>
                      </c:pt>
                      <c:pt idx="6">
                        <c:v>8.0000000000000002E-3</c:v>
                      </c:pt>
                      <c:pt idx="7">
                        <c:v>8.0000000000000002E-3</c:v>
                      </c:pt>
                      <c:pt idx="8">
                        <c:v>8.9999999999999993E-3</c:v>
                      </c:pt>
                      <c:pt idx="9">
                        <c:v>7.0000000000000001E-3</c:v>
                      </c:pt>
                      <c:pt idx="10">
                        <c:v>7.0000000000000001E-3</c:v>
                      </c:pt>
                      <c:pt idx="11">
                        <c:v>8.0000000000000002E-3</c:v>
                      </c:pt>
                      <c:pt idx="12">
                        <c:v>8.0000000000000002E-3</c:v>
                      </c:pt>
                      <c:pt idx="13">
                        <c:v>8.9999999999999993E-3</c:v>
                      </c:pt>
                      <c:pt idx="14">
                        <c:v>0.01</c:v>
                      </c:pt>
                      <c:pt idx="15">
                        <c:v>0.01</c:v>
                      </c:pt>
                      <c:pt idx="16">
                        <c:v>8.0000000000000002E-3</c:v>
                      </c:pt>
                      <c:pt idx="17">
                        <c:v>4.0000000000000001E-3</c:v>
                      </c:pt>
                      <c:pt idx="18">
                        <c:v>5.0000000000000001E-3</c:v>
                      </c:pt>
                      <c:pt idx="19">
                        <c:v>5.0000000000000001E-3</c:v>
                      </c:pt>
                      <c:pt idx="20">
                        <c:v>6.0000000000000001E-3</c:v>
                      </c:pt>
                      <c:pt idx="21">
                        <c:v>7.0000000000000001E-3</c:v>
                      </c:pt>
                      <c:pt idx="22">
                        <c:v>8.0000000000000002E-3</c:v>
                      </c:pt>
                      <c:pt idx="23">
                        <c:v>0.01</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0.42599999999999999</c:v>
                      </c:pt>
                      <c:pt idx="1">
                        <c:v>0.42499999999999999</c:v>
                      </c:pt>
                      <c:pt idx="2">
                        <c:v>0.432</c:v>
                      </c:pt>
                      <c:pt idx="3">
                        <c:v>0.441</c:v>
                      </c:pt>
                      <c:pt idx="4">
                        <c:v>0.435</c:v>
                      </c:pt>
                      <c:pt idx="5">
                        <c:v>0.434</c:v>
                      </c:pt>
                      <c:pt idx="6">
                        <c:v>0.43099999999999999</c:v>
                      </c:pt>
                      <c:pt idx="7">
                        <c:v>0.42099999999999999</c:v>
                      </c:pt>
                      <c:pt idx="8">
                        <c:v>0.43</c:v>
                      </c:pt>
                      <c:pt idx="9">
                        <c:v>0.44</c:v>
                      </c:pt>
                      <c:pt idx="10">
                        <c:v>0.441</c:v>
                      </c:pt>
                      <c:pt idx="11">
                        <c:v>0.45800000000000002</c:v>
                      </c:pt>
                      <c:pt idx="12">
                        <c:v>0.46899999999999997</c:v>
                      </c:pt>
                      <c:pt idx="13">
                        <c:v>0.46700000000000003</c:v>
                      </c:pt>
                      <c:pt idx="14">
                        <c:v>0.47099999999999997</c:v>
                      </c:pt>
                      <c:pt idx="15">
                        <c:v>0.46500000000000002</c:v>
                      </c:pt>
                      <c:pt idx="16">
                        <c:v>0.47699999999999998</c:v>
                      </c:pt>
                      <c:pt idx="17">
                        <c:v>0.48299999999999998</c:v>
                      </c:pt>
                      <c:pt idx="18">
                        <c:v>0.47699999999999998</c:v>
                      </c:pt>
                      <c:pt idx="19">
                        <c:v>0.47399999999999998</c:v>
                      </c:pt>
                      <c:pt idx="20">
                        <c:v>0.47599999999999998</c:v>
                      </c:pt>
                      <c:pt idx="21">
                        <c:v>0.5</c:v>
                      </c:pt>
                      <c:pt idx="22">
                        <c:v>0.52500000000000002</c:v>
                      </c:pt>
                      <c:pt idx="23">
                        <c:v>0.54200000000000004</c:v>
                      </c:pt>
                      <c:pt idx="24">
                        <c:v>0.47199999999999998</c:v>
                      </c:pt>
                      <c:pt idx="25">
                        <c:v>0.41699999999999998</c:v>
                      </c:pt>
                      <c:pt idx="26">
                        <c:v>0.33300000000000002</c:v>
                      </c:pt>
                      <c:pt idx="27">
                        <c:v>0.33300000000000002</c:v>
                      </c:pt>
                      <c:pt idx="28">
                        <c:v>0.33300000000000002</c:v>
                      </c:pt>
                      <c:pt idx="29">
                        <c:v>0.33300000000000002</c:v>
                      </c:pt>
                      <c:pt idx="30">
                        <c:v>0.33300000000000002</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399</c:v>
                      </c:pt>
                      <c:pt idx="25">
                        <c:v>0</c:v>
                      </c:pt>
                      <c:pt idx="26">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6.2170000000000005</c:v>
                      </c:pt>
                      <c:pt idx="1">
                        <c:v>10.600909090909092</c:v>
                      </c:pt>
                      <c:pt idx="2">
                        <c:v>5.6466666666666674</c:v>
                      </c:pt>
                      <c:pt idx="3">
                        <c:v>7.5519999999999996</c:v>
                      </c:pt>
                      <c:pt idx="4">
                        <c:v>10.947777777777777</c:v>
                      </c:pt>
                      <c:pt idx="5">
                        <c:v>25.802857142857142</c:v>
                      </c:pt>
                      <c:pt idx="6">
                        <c:v>6.8</c:v>
                      </c:pt>
                      <c:pt idx="7">
                        <c:v>13.202941176470588</c:v>
                      </c:pt>
                      <c:pt idx="8">
                        <c:v>7.0866666666666669</c:v>
                      </c:pt>
                      <c:pt idx="9">
                        <c:v>7.5410000000000004</c:v>
                      </c:pt>
                      <c:pt idx="10">
                        <c:v>10.681666666666668</c:v>
                      </c:pt>
                      <c:pt idx="11">
                        <c:v>10.78</c:v>
                      </c:pt>
                      <c:pt idx="12">
                        <c:v>5.4849999999999994</c:v>
                      </c:pt>
                      <c:pt idx="13">
                        <c:v>5.3359999999999994</c:v>
                      </c:pt>
                      <c:pt idx="14">
                        <c:v>13.570000000000002</c:v>
                      </c:pt>
                      <c:pt idx="15">
                        <c:v>7.1237500000000002</c:v>
                      </c:pt>
                      <c:pt idx="16">
                        <c:v>26.006250000000001</c:v>
                      </c:pt>
                      <c:pt idx="17">
                        <c:v>22.431999999999999</c:v>
                      </c:pt>
                      <c:pt idx="18">
                        <c:v>6.25</c:v>
                      </c:pt>
                      <c:pt idx="19">
                        <c:v>8.4719999999999995</c:v>
                      </c:pt>
                      <c:pt idx="20">
                        <c:v>30.12307692307693</c:v>
                      </c:pt>
                      <c:pt idx="21">
                        <c:v>19.285</c:v>
                      </c:pt>
                      <c:pt idx="22">
                        <c:v>46.055714285714281</c:v>
                      </c:pt>
                      <c:pt idx="23">
                        <c:v>39.289999999999992</c:v>
                      </c:pt>
                      <c:pt idx="24">
                        <c:v>20.916666666666668</c:v>
                      </c:pt>
                      <c:pt idx="25">
                        <c:v>24.02</c:v>
                      </c:pt>
                      <c:pt idx="26">
                        <c:v>23.26</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15.57</c:v>
                      </c:pt>
                      <c:pt idx="1">
                        <c:v>15.57</c:v>
                      </c:pt>
                      <c:pt idx="2">
                        <c:v>15.57</c:v>
                      </c:pt>
                      <c:pt idx="3">
                        <c:v>15.57</c:v>
                      </c:pt>
                      <c:pt idx="4">
                        <c:v>15.57</c:v>
                      </c:pt>
                      <c:pt idx="5">
                        <c:v>15.57</c:v>
                      </c:pt>
                      <c:pt idx="6">
                        <c:v>15.57</c:v>
                      </c:pt>
                      <c:pt idx="7">
                        <c:v>15.57</c:v>
                      </c:pt>
                      <c:pt idx="8">
                        <c:v>15.57</c:v>
                      </c:pt>
                      <c:pt idx="9">
                        <c:v>15.57</c:v>
                      </c:pt>
                      <c:pt idx="10">
                        <c:v>15.57</c:v>
                      </c:pt>
                      <c:pt idx="11">
                        <c:v>15.57</c:v>
                      </c:pt>
                      <c:pt idx="12">
                        <c:v>15.57</c:v>
                      </c:pt>
                      <c:pt idx="13">
                        <c:v>15.57</c:v>
                      </c:pt>
                      <c:pt idx="14">
                        <c:v>15.57</c:v>
                      </c:pt>
                      <c:pt idx="15">
                        <c:v>15.57</c:v>
                      </c:pt>
                      <c:pt idx="16">
                        <c:v>15.57</c:v>
                      </c:pt>
                      <c:pt idx="17">
                        <c:v>15.57</c:v>
                      </c:pt>
                      <c:pt idx="18">
                        <c:v>15.57</c:v>
                      </c:pt>
                      <c:pt idx="19">
                        <c:v>15.57</c:v>
                      </c:pt>
                      <c:pt idx="20">
                        <c:v>15.57</c:v>
                      </c:pt>
                      <c:pt idx="21">
                        <c:v>15.57</c:v>
                      </c:pt>
                      <c:pt idx="22">
                        <c:v>15.57</c:v>
                      </c:pt>
                      <c:pt idx="23">
                        <c:v>15.57</c:v>
                      </c:pt>
                      <c:pt idx="24">
                        <c:v>15.57</c:v>
                      </c:pt>
                      <c:pt idx="25">
                        <c:v>15.57</c:v>
                      </c:pt>
                      <c:pt idx="26">
                        <c:v>15.57</c:v>
                      </c:pt>
                      <c:pt idx="27">
                        <c:v>15.57</c:v>
                      </c:pt>
                      <c:pt idx="28">
                        <c:v>15.57</c:v>
                      </c:pt>
                      <c:pt idx="29">
                        <c:v>15.57</c:v>
                      </c:pt>
                      <c:pt idx="30">
                        <c:v>15.57</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0</c:v>
                      </c:pt>
                      <c:pt idx="8">
                        <c:v>104.62</c:v>
                      </c:pt>
                      <c:pt idx="9">
                        <c:v>0</c:v>
                      </c:pt>
                      <c:pt idx="10">
                        <c:v>0</c:v>
                      </c:pt>
                      <c:pt idx="11">
                        <c:v>0</c:v>
                      </c:pt>
                      <c:pt idx="12">
                        <c:v>0</c:v>
                      </c:pt>
                      <c:pt idx="13">
                        <c:v>0</c:v>
                      </c:pt>
                      <c:pt idx="14">
                        <c:v>0</c:v>
                      </c:pt>
                      <c:pt idx="15">
                        <c:v>106.39</c:v>
                      </c:pt>
                      <c:pt idx="16">
                        <c:v>102.66</c:v>
                      </c:pt>
                      <c:pt idx="17">
                        <c:v>0</c:v>
                      </c:pt>
                      <c:pt idx="18">
                        <c:v>0</c:v>
                      </c:pt>
                      <c:pt idx="19">
                        <c:v>0</c:v>
                      </c:pt>
                      <c:pt idx="20">
                        <c:v>0</c:v>
                      </c:pt>
                      <c:pt idx="21">
                        <c:v>0</c:v>
                      </c:pt>
                      <c:pt idx="22">
                        <c:v>0</c:v>
                      </c:pt>
                      <c:pt idx="23">
                        <c:v>117.19</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15.958</c:v>
                      </c:pt>
                      <c:pt idx="1">
                        <c:v>15.958</c:v>
                      </c:pt>
                      <c:pt idx="2">
                        <c:v>15.958</c:v>
                      </c:pt>
                      <c:pt idx="3">
                        <c:v>15.958</c:v>
                      </c:pt>
                      <c:pt idx="4">
                        <c:v>15.958</c:v>
                      </c:pt>
                      <c:pt idx="5">
                        <c:v>15.958</c:v>
                      </c:pt>
                      <c:pt idx="6">
                        <c:v>15.958</c:v>
                      </c:pt>
                      <c:pt idx="7">
                        <c:v>15.958</c:v>
                      </c:pt>
                      <c:pt idx="8">
                        <c:v>15.958</c:v>
                      </c:pt>
                      <c:pt idx="9">
                        <c:v>15.958</c:v>
                      </c:pt>
                      <c:pt idx="10">
                        <c:v>15.958</c:v>
                      </c:pt>
                      <c:pt idx="11">
                        <c:v>15.958</c:v>
                      </c:pt>
                      <c:pt idx="12">
                        <c:v>15.958</c:v>
                      </c:pt>
                      <c:pt idx="13">
                        <c:v>15.958</c:v>
                      </c:pt>
                      <c:pt idx="14">
                        <c:v>15.958</c:v>
                      </c:pt>
                      <c:pt idx="15">
                        <c:v>15.958</c:v>
                      </c:pt>
                      <c:pt idx="16">
                        <c:v>15.958</c:v>
                      </c:pt>
                      <c:pt idx="17">
                        <c:v>15.958</c:v>
                      </c:pt>
                      <c:pt idx="18">
                        <c:v>15.958</c:v>
                      </c:pt>
                      <c:pt idx="19">
                        <c:v>15.958</c:v>
                      </c:pt>
                      <c:pt idx="20">
                        <c:v>15.958</c:v>
                      </c:pt>
                      <c:pt idx="21">
                        <c:v>15.958</c:v>
                      </c:pt>
                      <c:pt idx="22">
                        <c:v>15.958</c:v>
                      </c:pt>
                      <c:pt idx="23">
                        <c:v>15.958</c:v>
                      </c:pt>
                      <c:pt idx="24">
                        <c:v>15.958</c:v>
                      </c:pt>
                      <c:pt idx="25">
                        <c:v>15.958</c:v>
                      </c:pt>
                      <c:pt idx="26">
                        <c:v>15.958</c:v>
                      </c:pt>
                      <c:pt idx="27">
                        <c:v>15.958</c:v>
                      </c:pt>
                      <c:pt idx="28">
                        <c:v>15.958</c:v>
                      </c:pt>
                      <c:pt idx="29">
                        <c:v>15.958</c:v>
                      </c:pt>
                      <c:pt idx="30">
                        <c:v>15.958</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15.414545454545454</c:v>
                      </c:pt>
                      <c:pt idx="1">
                        <c:v>6.6666666666666652</c:v>
                      </c:pt>
                      <c:pt idx="2">
                        <c:v>43.491999999999997</c:v>
                      </c:pt>
                      <c:pt idx="3">
                        <c:v>10.521428571428572</c:v>
                      </c:pt>
                      <c:pt idx="4">
                        <c:v>20.63</c:v>
                      </c:pt>
                      <c:pt idx="5">
                        <c:v>60.230833333333329</c:v>
                      </c:pt>
                      <c:pt idx="6">
                        <c:v>43.076000000000008</c:v>
                      </c:pt>
                      <c:pt idx="7">
                        <c:v>41.736666666666672</c:v>
                      </c:pt>
                      <c:pt idx="8">
                        <c:v>53.784999999999997</c:v>
                      </c:pt>
                      <c:pt idx="9">
                        <c:v>45.185000000000002</c:v>
                      </c:pt>
                      <c:pt idx="10">
                        <c:v>7.0149999999999997</c:v>
                      </c:pt>
                      <c:pt idx="11">
                        <c:v>11.721428571428572</c:v>
                      </c:pt>
                      <c:pt idx="12">
                        <c:v>28.451666666666664</c:v>
                      </c:pt>
                      <c:pt idx="13">
                        <c:v>7.2020000000000008</c:v>
                      </c:pt>
                      <c:pt idx="14">
                        <c:v>10.51923076923077</c:v>
                      </c:pt>
                      <c:pt idx="15">
                        <c:v>43.621250000000003</c:v>
                      </c:pt>
                      <c:pt idx="16">
                        <c:v>71.536000000000016</c:v>
                      </c:pt>
                      <c:pt idx="17">
                        <c:v>35.632307692307691</c:v>
                      </c:pt>
                      <c:pt idx="18">
                        <c:v>24.300833333333333</c:v>
                      </c:pt>
                      <c:pt idx="19">
                        <c:v>50.848181818181821</c:v>
                      </c:pt>
                      <c:pt idx="20">
                        <c:v>63.742499999999993</c:v>
                      </c:pt>
                      <c:pt idx="21">
                        <c:v>64.63333333333334</c:v>
                      </c:pt>
                      <c:pt idx="22">
                        <c:v>73.763636363636365</c:v>
                      </c:pt>
                      <c:pt idx="23">
                        <c:v>78.367777777777775</c:v>
                      </c:pt>
                      <c:pt idx="24">
                        <c:v>42.77</c:v>
                      </c:pt>
                      <c:pt idx="25">
                        <c:v>12.8325</c:v>
                      </c:pt>
                      <c:pt idx="26">
                        <c:v>33.81</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37.093000000000004</c:v>
                      </c:pt>
                      <c:pt idx="1">
                        <c:v>37.093000000000004</c:v>
                      </c:pt>
                      <c:pt idx="2">
                        <c:v>37.093000000000004</c:v>
                      </c:pt>
                      <c:pt idx="3">
                        <c:v>37.093000000000004</c:v>
                      </c:pt>
                      <c:pt idx="4">
                        <c:v>37.093000000000004</c:v>
                      </c:pt>
                      <c:pt idx="5">
                        <c:v>37.093000000000004</c:v>
                      </c:pt>
                      <c:pt idx="6">
                        <c:v>37.093000000000004</c:v>
                      </c:pt>
                      <c:pt idx="7">
                        <c:v>37.093000000000004</c:v>
                      </c:pt>
                      <c:pt idx="8">
                        <c:v>37.093000000000004</c:v>
                      </c:pt>
                      <c:pt idx="9">
                        <c:v>37.093000000000004</c:v>
                      </c:pt>
                      <c:pt idx="10">
                        <c:v>37.093000000000004</c:v>
                      </c:pt>
                      <c:pt idx="11">
                        <c:v>37.093000000000004</c:v>
                      </c:pt>
                      <c:pt idx="12">
                        <c:v>37.093000000000004</c:v>
                      </c:pt>
                      <c:pt idx="13">
                        <c:v>37.093000000000004</c:v>
                      </c:pt>
                      <c:pt idx="14">
                        <c:v>37.093000000000004</c:v>
                      </c:pt>
                      <c:pt idx="15">
                        <c:v>37.093000000000004</c:v>
                      </c:pt>
                      <c:pt idx="16">
                        <c:v>37.093000000000004</c:v>
                      </c:pt>
                      <c:pt idx="17">
                        <c:v>37.093000000000004</c:v>
                      </c:pt>
                      <c:pt idx="18">
                        <c:v>37.093000000000004</c:v>
                      </c:pt>
                      <c:pt idx="19">
                        <c:v>37.093000000000004</c:v>
                      </c:pt>
                      <c:pt idx="20">
                        <c:v>37.093000000000004</c:v>
                      </c:pt>
                      <c:pt idx="21">
                        <c:v>37.093000000000004</c:v>
                      </c:pt>
                      <c:pt idx="22">
                        <c:v>37.093000000000004</c:v>
                      </c:pt>
                      <c:pt idx="23">
                        <c:v>37.093000000000004</c:v>
                      </c:pt>
                      <c:pt idx="24">
                        <c:v>37.093000000000004</c:v>
                      </c:pt>
                      <c:pt idx="25">
                        <c:v>37.093000000000004</c:v>
                      </c:pt>
                      <c:pt idx="26">
                        <c:v>37.093000000000004</c:v>
                      </c:pt>
                      <c:pt idx="27">
                        <c:v>37.093000000000004</c:v>
                      </c:pt>
                      <c:pt idx="28">
                        <c:v>37.093000000000004</c:v>
                      </c:pt>
                      <c:pt idx="29">
                        <c:v>37.093000000000004</c:v>
                      </c:pt>
                      <c:pt idx="30">
                        <c:v>37.093000000000004</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399</c:v>
                      </c:pt>
                      <c:pt idx="25">
                        <c:v>0</c:v>
                      </c:pt>
                      <c:pt idx="26">
                        <c:v>0</c:v>
                      </c:pt>
                      <c:pt idx="27">
                        <c:v>534.48148148148152</c:v>
                      </c:pt>
                      <c:pt idx="28">
                        <c:v>534.48148148148152</c:v>
                      </c:pt>
                      <c:pt idx="29">
                        <c:v>534.48148148148152</c:v>
                      </c:pt>
                      <c:pt idx="30">
                        <c:v>534.48148148148152</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0.50904141575037132</c:v>
                </c:pt>
              </c:numCache>
            </c:numRef>
          </c:xVal>
          <c:yVal>
            <c:numRef>
              <c:f>[1]omie_dinamic_dia!$Y$11:$Y$12</c:f>
              <c:numCache>
                <c:formatCode>General</c:formatCode>
                <c:ptCount val="2"/>
                <c:pt idx="0">
                  <c:v>0</c:v>
                </c:pt>
                <c:pt idx="1">
                  <c:v>0.86074202700394364</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-0.9992894726405892</c:v>
                </c:pt>
              </c:numCache>
            </c:numRef>
          </c:xVal>
          <c:yVal>
            <c:numRef>
              <c:f>[1]omie_dinamic_dia!$AC$20:$AC$21</c:f>
              <c:numCache>
                <c:formatCode>General</c:formatCode>
                <c:ptCount val="2"/>
                <c:pt idx="0">
                  <c:v>0</c:v>
                </c:pt>
                <c:pt idx="1">
                  <c:v>3.7690182669934541E-2</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0.89384142415126377</c:v>
                </c:pt>
              </c:numCache>
            </c:numRef>
          </c:xVal>
          <c:yVal>
            <c:numRef>
              <c:f>[1]omie_dinamic_dia!$Y$37:$Y$38</c:f>
              <c:numCache>
                <c:formatCode>General</c:formatCode>
                <c:ptCount val="2"/>
                <c:pt idx="0">
                  <c:v>0</c:v>
                </c:pt>
                <c:pt idx="1">
                  <c:v>0.44838321609003229</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399</c:v>
                </c:pt>
                <c:pt idx="25">
                  <c:v>0</c:v>
                </c:pt>
                <c:pt idx="26">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acum_porc!$H$1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acum_porc!$I$2:$I$34</c:f>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Colón Cortegoso (3)</c:v>
                </c:pt>
                <c:pt idx="8">
                  <c:v>Sergio Lopez Oliver (3)</c:v>
                </c:pt>
                <c:pt idx="9">
                  <c:v>Javier Pérez Salazar (5)</c:v>
                </c:pt>
                <c:pt idx="10">
                  <c:v>Roque Alonso Alonso (5)</c:v>
                </c:pt>
                <c:pt idx="11">
                  <c:v>Roberto Parro Cortés (4)</c:v>
                </c:pt>
                <c:pt idx="12">
                  <c:v>Inés Monroy (5)</c:v>
                </c:pt>
                <c:pt idx="13">
                  <c:v>Carlos Callejón (3)</c:v>
                </c:pt>
                <c:pt idx="14">
                  <c:v>Alfonso Zárate Conde (5)</c:v>
                </c:pt>
                <c:pt idx="15">
                  <c:v>Gladys Rocha Blanco (5)</c:v>
                </c:pt>
                <c:pt idx="16">
                  <c:v>Jorge Antonio González Sánchez (5)</c:v>
                </c:pt>
                <c:pt idx="17">
                  <c:v>Jaime Larrañaga Juez (4)</c:v>
                </c:pt>
                <c:pt idx="18">
                  <c:v>Fernando Sánchez-Rey Maeso (5)</c:v>
                </c:pt>
                <c:pt idx="19">
                  <c:v>Carles Estruch Puig (4)</c:v>
                </c:pt>
                <c:pt idx="20">
                  <c:v>Jonathan Pazmiño Espinoza (3)</c:v>
                </c:pt>
                <c:pt idx="21">
                  <c:v>Laura Gómez López (4)</c:v>
                </c:pt>
                <c:pt idx="22">
                  <c:v>Elena Muñoz Vioque (5)</c:v>
                </c:pt>
                <c:pt idx="23">
                  <c:v>Javier Espelta (3)</c:v>
                </c:pt>
                <c:pt idx="24">
                  <c:v>Marcos Fortea Escolano (4)</c:v>
                </c:pt>
                <c:pt idx="25">
                  <c:v>Jose Manuel Otero López (5)</c:v>
                </c:pt>
                <c:pt idx="26">
                  <c:v>Aitor Folch (3)</c:v>
                </c:pt>
                <c:pt idx="27">
                  <c:v>Oscar Mulas Crespo (3)</c:v>
                </c:pt>
                <c:pt idx="28">
                  <c:v>Juan Pedro Conejo Sanchez (5)</c:v>
                </c:pt>
                <c:pt idx="29">
                  <c:v>Francisco Valverde Sánchez (3)</c:v>
                </c:pt>
                <c:pt idx="30">
                  <c:v>Vicente Fayos Gavila (3)</c:v>
                </c:pt>
                <c:pt idx="31">
                  <c:v>Luis Angel Garzon Velasco (3)</c:v>
                </c:pt>
              </c:strCache>
            </c:strRef>
          </c:cat>
          <c:val>
            <c:numRef>
              <c:f>acum_porc!$H$2:$H$34</c:f>
              <c:numCache>
                <c:formatCode>0.0%</c:formatCode>
                <c:ptCount val="32"/>
                <c:pt idx="0">
                  <c:v>0.24742110775271303</c:v>
                </c:pt>
                <c:pt idx="1">
                  <c:v>0.37175215583506693</c:v>
                </c:pt>
                <c:pt idx="2">
                  <c:v>0.42251124862036349</c:v>
                </c:pt>
                <c:pt idx="3">
                  <c:v>0.4647249480134471</c:v>
                </c:pt>
                <c:pt idx="4">
                  <c:v>0.53115027508155999</c:v>
                </c:pt>
                <c:pt idx="5">
                  <c:v>0.6568162140152759</c:v>
                </c:pt>
                <c:pt idx="6">
                  <c:v>0.74065804639418198</c:v>
                </c:pt>
                <c:pt idx="7">
                  <c:v>0.76720512482287151</c:v>
                </c:pt>
                <c:pt idx="8">
                  <c:v>0.77218669602436096</c:v>
                </c:pt>
                <c:pt idx="9">
                  <c:v>0.79564764710440372</c:v>
                </c:pt>
                <c:pt idx="10">
                  <c:v>0.82759445135025489</c:v>
                </c:pt>
                <c:pt idx="11">
                  <c:v>0.82878331020297502</c:v>
                </c:pt>
                <c:pt idx="12">
                  <c:v>0.84967991011296651</c:v>
                </c:pt>
                <c:pt idx="13">
                  <c:v>0.85974248657869645</c:v>
                </c:pt>
                <c:pt idx="14">
                  <c:v>0.89179245319428957</c:v>
                </c:pt>
                <c:pt idx="15">
                  <c:v>0.89949095469112039</c:v>
                </c:pt>
                <c:pt idx="16">
                  <c:v>0.96667016987700283</c:v>
                </c:pt>
                <c:pt idx="17">
                  <c:v>0.99065340199328722</c:v>
                </c:pt>
                <c:pt idx="18">
                  <c:v>1.0051349476205729</c:v>
                </c:pt>
                <c:pt idx="19">
                  <c:v>1.0783387156844966</c:v>
                </c:pt>
                <c:pt idx="20">
                  <c:v>1.4349530521568898</c:v>
                </c:pt>
                <c:pt idx="21">
                  <c:v>1.4356605468242418</c:v>
                </c:pt>
                <c:pt idx="22">
                  <c:v>1.5043077519398294</c:v>
                </c:pt>
                <c:pt idx="23">
                  <c:v>1.5545771207140164</c:v>
                </c:pt>
                <c:pt idx="24">
                  <c:v>1.5958861814145173</c:v>
                </c:pt>
                <c:pt idx="25">
                  <c:v>1.6335249624023394</c:v>
                </c:pt>
                <c:pt idx="26">
                  <c:v>1.6957309047596802</c:v>
                </c:pt>
                <c:pt idx="27">
                  <c:v>1.7005582019972034</c:v>
                </c:pt>
                <c:pt idx="28">
                  <c:v>1.7682650979211614</c:v>
                </c:pt>
                <c:pt idx="29">
                  <c:v>2.0694290944639282</c:v>
                </c:pt>
                <c:pt idx="30">
                  <c:v>2.1294748780234611</c:v>
                </c:pt>
                <c:pt idx="31">
                  <c:v>2.163203534816617</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Colón Cortegoso (3)</c:v>
                      </c:pt>
                      <c:pt idx="8">
                        <c:v>Sergio Lopez Oliver (3)</c:v>
                      </c:pt>
                      <c:pt idx="9">
                        <c:v>Javier Pérez Salazar (5)</c:v>
                      </c:pt>
                      <c:pt idx="10">
                        <c:v>Roque Alonso Alonso (5)</c:v>
                      </c:pt>
                      <c:pt idx="11">
                        <c:v>Roberto Parro Cortés (4)</c:v>
                      </c:pt>
                      <c:pt idx="12">
                        <c:v>Inés Monroy (5)</c:v>
                      </c:pt>
                      <c:pt idx="13">
                        <c:v>Carlos Callejón (3)</c:v>
                      </c:pt>
                      <c:pt idx="14">
                        <c:v>Alfonso Zárate Conde (5)</c:v>
                      </c:pt>
                      <c:pt idx="15">
                        <c:v>Gladys Rocha Blanco (5)</c:v>
                      </c:pt>
                      <c:pt idx="16">
                        <c:v>Jorge Antonio González Sánchez (5)</c:v>
                      </c:pt>
                      <c:pt idx="17">
                        <c:v>Jaime Larrañaga Juez (4)</c:v>
                      </c:pt>
                      <c:pt idx="18">
                        <c:v>Fernando Sánchez-Rey Maeso (5)</c:v>
                      </c:pt>
                      <c:pt idx="19">
                        <c:v>Carles Estruch Puig (4)</c:v>
                      </c:pt>
                      <c:pt idx="20">
                        <c:v>Jonathan Pazmiño Espinoza (3)</c:v>
                      </c:pt>
                      <c:pt idx="21">
                        <c:v>Laura Gómez López (4)</c:v>
                      </c:pt>
                      <c:pt idx="22">
                        <c:v>Elena Muñoz Vioque (5)</c:v>
                      </c:pt>
                      <c:pt idx="23">
                        <c:v>Javier Espelta (3)</c:v>
                      </c:pt>
                      <c:pt idx="24">
                        <c:v>Marcos Fortea Escolano (4)</c:v>
                      </c:pt>
                      <c:pt idx="25">
                        <c:v>Jose Manuel Otero López (5)</c:v>
                      </c:pt>
                      <c:pt idx="26">
                        <c:v>Aitor Folch (3)</c:v>
                      </c:pt>
                      <c:pt idx="27">
                        <c:v>Oscar Mulas Crespo (3)</c:v>
                      </c:pt>
                      <c:pt idx="28">
                        <c:v>Juan Pedro Conejo Sanchez (5)</c:v>
                      </c:pt>
                      <c:pt idx="29">
                        <c:v>Francisco Valverde Sánchez (3)</c:v>
                      </c:pt>
                      <c:pt idx="30">
                        <c:v>Vicente Fayos Gavila (3)</c:v>
                      </c:pt>
                      <c:pt idx="31">
                        <c:v>Luis Angel Garzon Velasco (3)</c:v>
                      </c:pt>
                    </c:strCache>
                  </c:strRef>
                </c:cat>
                <c:val>
                  <c:numRef>
                    <c:extLst>
                      <c:ext uri="{02D57815-91ED-43cb-92C2-25804820EDAC}">
                        <c15:formulaRef>
                          <c15:sqref>acum_porc!$B$2:$B$64</c15:sqref>
                        </c15:formulaRef>
                      </c:ext>
                    </c:extLst>
                    <c:numCache>
                      <c:formatCode>General</c:formatCode>
                      <c:ptCount val="32"/>
                      <c:pt idx="0">
                        <c:v>3.2388663967611225E-2</c:v>
                      </c:pt>
                      <c:pt idx="1">
                        <c:v>2.4291497975709423E-3</c:v>
                      </c:pt>
                      <c:pt idx="2">
                        <c:v>5.6410256410256508E-2</c:v>
                      </c:pt>
                      <c:pt idx="3">
                        <c:v>1.6869095816464237E-2</c:v>
                      </c:pt>
                      <c:pt idx="4">
                        <c:v>8.7719298245612885E-3</c:v>
                      </c:pt>
                      <c:pt idx="5">
                        <c:v>3.2388663967611413E-2</c:v>
                      </c:pt>
                      <c:pt idx="6">
                        <c:v>3.8731443994601759E-2</c:v>
                      </c:pt>
                      <c:pt idx="8">
                        <c:v>6.2078272604589469E-3</c:v>
                      </c:pt>
                      <c:pt idx="9">
                        <c:v>1.2145748987854329E-2</c:v>
                      </c:pt>
                      <c:pt idx="10">
                        <c:v>4.4534412955465549E-2</c:v>
                      </c:pt>
                      <c:pt idx="12">
                        <c:v>2.6990553306343165E-3</c:v>
                      </c:pt>
                      <c:pt idx="13">
                        <c:v>7.0175438596491266E-2</c:v>
                      </c:pt>
                      <c:pt idx="14">
                        <c:v>7.9622132253711286E-2</c:v>
                      </c:pt>
                      <c:pt idx="15">
                        <c:v>0.10242914979757091</c:v>
                      </c:pt>
                      <c:pt idx="16">
                        <c:v>0.15249662618083687</c:v>
                      </c:pt>
                      <c:pt idx="17">
                        <c:v>0.18866396761133611</c:v>
                      </c:pt>
                      <c:pt idx="18">
                        <c:v>0.19703103913630224</c:v>
                      </c:pt>
                      <c:pt idx="19">
                        <c:v>4.8582995951417123E-2</c:v>
                      </c:pt>
                      <c:pt idx="20">
                        <c:v>0.38704453441295561</c:v>
                      </c:pt>
                      <c:pt idx="22">
                        <c:v>0.15141700404858299</c:v>
                      </c:pt>
                      <c:pt idx="23">
                        <c:v>0.18353576248313083</c:v>
                      </c:pt>
                      <c:pt idx="25">
                        <c:v>9.4197031039136361E-2</c:v>
                      </c:pt>
                      <c:pt idx="28">
                        <c:v>0.17543859649122809</c:v>
                      </c:pt>
                      <c:pt idx="30">
                        <c:v>2.091767881241581E-2</c:v>
                      </c:pt>
                      <c:pt idx="31">
                        <c:v>0.1943319838056681</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Colón Cortegoso (3)</c:v>
                      </c:pt>
                      <c:pt idx="8">
                        <c:v>Sergio Lopez Oliver (3)</c:v>
                      </c:pt>
                      <c:pt idx="9">
                        <c:v>Javier Pérez Salazar (5)</c:v>
                      </c:pt>
                      <c:pt idx="10">
                        <c:v>Roque Alonso Alonso (5)</c:v>
                      </c:pt>
                      <c:pt idx="11">
                        <c:v>Roberto Parro Cortés (4)</c:v>
                      </c:pt>
                      <c:pt idx="12">
                        <c:v>Inés Monroy (5)</c:v>
                      </c:pt>
                      <c:pt idx="13">
                        <c:v>Carlos Callejón (3)</c:v>
                      </c:pt>
                      <c:pt idx="14">
                        <c:v>Alfonso Zárate Conde (5)</c:v>
                      </c:pt>
                      <c:pt idx="15">
                        <c:v>Gladys Rocha Blanco (5)</c:v>
                      </c:pt>
                      <c:pt idx="16">
                        <c:v>Jorge Antonio González Sánchez (5)</c:v>
                      </c:pt>
                      <c:pt idx="17">
                        <c:v>Jaime Larrañaga Juez (4)</c:v>
                      </c:pt>
                      <c:pt idx="18">
                        <c:v>Fernando Sánchez-Rey Maeso (5)</c:v>
                      </c:pt>
                      <c:pt idx="19">
                        <c:v>Carles Estruch Puig (4)</c:v>
                      </c:pt>
                      <c:pt idx="20">
                        <c:v>Jonathan Pazmiño Espinoza (3)</c:v>
                      </c:pt>
                      <c:pt idx="21">
                        <c:v>Laura Gómez López (4)</c:v>
                      </c:pt>
                      <c:pt idx="22">
                        <c:v>Elena Muñoz Vioque (5)</c:v>
                      </c:pt>
                      <c:pt idx="23">
                        <c:v>Javier Espelta (3)</c:v>
                      </c:pt>
                      <c:pt idx="24">
                        <c:v>Marcos Fortea Escolano (4)</c:v>
                      </c:pt>
                      <c:pt idx="25">
                        <c:v>Jose Manuel Otero López (5)</c:v>
                      </c:pt>
                      <c:pt idx="26">
                        <c:v>Aitor Folch (3)</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acum_porc!$C$2:$C$64</c15:sqref>
                        </c15:formulaRef>
                      </c:ext>
                    </c:extLst>
                    <c:numCache>
                      <c:formatCode>General</c:formatCode>
                      <c:ptCount val="32"/>
                      <c:pt idx="0">
                        <c:v>0.73000000000000009</c:v>
                      </c:pt>
                      <c:pt idx="1">
                        <c:v>0.33849999999999997</c:v>
                      </c:pt>
                      <c:pt idx="2">
                        <c:v>0.48249999999999993</c:v>
                      </c:pt>
                      <c:pt idx="3">
                        <c:v>0.5625</c:v>
                      </c:pt>
                      <c:pt idx="4">
                        <c:v>0.84699999999999986</c:v>
                      </c:pt>
                      <c:pt idx="5">
                        <c:v>0.50050000000000006</c:v>
                      </c:pt>
                      <c:pt idx="6">
                        <c:v>0.8932500000000001</c:v>
                      </c:pt>
                      <c:pt idx="8">
                        <c:v>0.64649999999999996</c:v>
                      </c:pt>
                      <c:pt idx="9">
                        <c:v>0.625</c:v>
                      </c:pt>
                      <c:pt idx="10">
                        <c:v>0.63500000000000012</c:v>
                      </c:pt>
                      <c:pt idx="11">
                        <c:v>0.68</c:v>
                      </c:pt>
                      <c:pt idx="12">
                        <c:v>0.74624999999999986</c:v>
                      </c:pt>
                      <c:pt idx="13">
                        <c:v>0.7024999999999999</c:v>
                      </c:pt>
                      <c:pt idx="14">
                        <c:v>0.7</c:v>
                      </c:pt>
                      <c:pt idx="15">
                        <c:v>0.74050000000000016</c:v>
                      </c:pt>
                      <c:pt idx="16">
                        <c:v>0.61149999999999982</c:v>
                      </c:pt>
                      <c:pt idx="17">
                        <c:v>0.74224999999999997</c:v>
                      </c:pt>
                      <c:pt idx="18">
                        <c:v>0.74899999999999989</c:v>
                      </c:pt>
                      <c:pt idx="19">
                        <c:v>0.72375000000000012</c:v>
                      </c:pt>
                      <c:pt idx="21">
                        <c:v>0.6087499999999999</c:v>
                      </c:pt>
                      <c:pt idx="22">
                        <c:v>0.80625000000000002</c:v>
                      </c:pt>
                      <c:pt idx="24">
                        <c:v>0.77525000000000011</c:v>
                      </c:pt>
                      <c:pt idx="25">
                        <c:v>0.99499999999999988</c:v>
                      </c:pt>
                      <c:pt idx="26">
                        <c:v>0.63000000000000012</c:v>
                      </c:pt>
                      <c:pt idx="27">
                        <c:v>0.50250000000000006</c:v>
                      </c:pt>
                      <c:pt idx="28">
                        <c:v>0.875</c:v>
                      </c:pt>
                      <c:pt idx="29">
                        <c:v>0.50150000000000006</c:v>
                      </c:pt>
                      <c:pt idx="30">
                        <c:v>0.75549999999999995</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Colón Cortegoso (3)</c:v>
                      </c:pt>
                      <c:pt idx="8">
                        <c:v>Sergio Lopez Oliver (3)</c:v>
                      </c:pt>
                      <c:pt idx="9">
                        <c:v>Javier Pérez Salazar (5)</c:v>
                      </c:pt>
                      <c:pt idx="10">
                        <c:v>Roque Alonso Alonso (5)</c:v>
                      </c:pt>
                      <c:pt idx="11">
                        <c:v>Roberto Parro Cortés (4)</c:v>
                      </c:pt>
                      <c:pt idx="12">
                        <c:v>Inés Monroy (5)</c:v>
                      </c:pt>
                      <c:pt idx="13">
                        <c:v>Carlos Callejón (3)</c:v>
                      </c:pt>
                      <c:pt idx="14">
                        <c:v>Alfonso Zárate Conde (5)</c:v>
                      </c:pt>
                      <c:pt idx="15">
                        <c:v>Gladys Rocha Blanco (5)</c:v>
                      </c:pt>
                      <c:pt idx="16">
                        <c:v>Jorge Antonio González Sánchez (5)</c:v>
                      </c:pt>
                      <c:pt idx="17">
                        <c:v>Jaime Larrañaga Juez (4)</c:v>
                      </c:pt>
                      <c:pt idx="18">
                        <c:v>Fernando Sánchez-Rey Maeso (5)</c:v>
                      </c:pt>
                      <c:pt idx="19">
                        <c:v>Carles Estruch Puig (4)</c:v>
                      </c:pt>
                      <c:pt idx="20">
                        <c:v>Jonathan Pazmiño Espinoza (3)</c:v>
                      </c:pt>
                      <c:pt idx="21">
                        <c:v>Laura Gómez López (4)</c:v>
                      </c:pt>
                      <c:pt idx="22">
                        <c:v>Elena Muñoz Vioque (5)</c:v>
                      </c:pt>
                      <c:pt idx="23">
                        <c:v>Javier Espelta (3)</c:v>
                      </c:pt>
                      <c:pt idx="24">
                        <c:v>Marcos Fortea Escolano (4)</c:v>
                      </c:pt>
                      <c:pt idx="25">
                        <c:v>Jose Manuel Otero López (5)</c:v>
                      </c:pt>
                      <c:pt idx="26">
                        <c:v>Aitor Folch (3)</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acum_porc!$D$2:$D$64</c15:sqref>
                        </c15:formulaRef>
                      </c:ext>
                    </c:extLst>
                    <c:numCache>
                      <c:formatCode>General</c:formatCode>
                      <c:ptCount val="32"/>
                      <c:pt idx="0">
                        <c:v>0.16863905325443776</c:v>
                      </c:pt>
                      <c:pt idx="2">
                        <c:v>0.15828402366863892</c:v>
                      </c:pt>
                      <c:pt idx="3">
                        <c:v>0.22287968441814593</c:v>
                      </c:pt>
                      <c:pt idx="4">
                        <c:v>0.50394477317554232</c:v>
                      </c:pt>
                      <c:pt idx="6">
                        <c:v>0.64250493096646943</c:v>
                      </c:pt>
                      <c:pt idx="7">
                        <c:v>5.9171597633134827E-3</c:v>
                      </c:pt>
                      <c:pt idx="9">
                        <c:v>0.57790927021696248</c:v>
                      </c:pt>
                      <c:pt idx="10">
                        <c:v>0.46942800788954631</c:v>
                      </c:pt>
                      <c:pt idx="11">
                        <c:v>0.34319526627218921</c:v>
                      </c:pt>
                      <c:pt idx="12">
                        <c:v>0.75542406311637078</c:v>
                      </c:pt>
                      <c:pt idx="14">
                        <c:v>1.2189349112426033</c:v>
                      </c:pt>
                      <c:pt idx="15">
                        <c:v>1.7460552268244574</c:v>
                      </c:pt>
                      <c:pt idx="16">
                        <c:v>0.30670611439842199</c:v>
                      </c:pt>
                      <c:pt idx="17">
                        <c:v>0.80769230769230738</c:v>
                      </c:pt>
                      <c:pt idx="18">
                        <c:v>1.2194280078895461</c:v>
                      </c:pt>
                      <c:pt idx="21">
                        <c:v>0.74211045364891504</c:v>
                      </c:pt>
                      <c:pt idx="22">
                        <c:v>1.2795857988165678</c:v>
                      </c:pt>
                      <c:pt idx="24">
                        <c:v>1.3505917159763312</c:v>
                      </c:pt>
                      <c:pt idx="25">
                        <c:v>2.0414201183431953</c:v>
                      </c:pt>
                      <c:pt idx="27">
                        <c:v>0.44970414201183417</c:v>
                      </c:pt>
                      <c:pt idx="28">
                        <c:v>1.7120315581854042</c:v>
                      </c:pt>
                      <c:pt idx="30">
                        <c:v>1.3530571992110452</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Colón Cortegoso (3)</c:v>
                      </c:pt>
                      <c:pt idx="8">
                        <c:v>Sergio Lopez Oliver (3)</c:v>
                      </c:pt>
                      <c:pt idx="9">
                        <c:v>Javier Pérez Salazar (5)</c:v>
                      </c:pt>
                      <c:pt idx="10">
                        <c:v>Roque Alonso Alonso (5)</c:v>
                      </c:pt>
                      <c:pt idx="11">
                        <c:v>Roberto Parro Cortés (4)</c:v>
                      </c:pt>
                      <c:pt idx="12">
                        <c:v>Inés Monroy (5)</c:v>
                      </c:pt>
                      <c:pt idx="13">
                        <c:v>Carlos Callejón (3)</c:v>
                      </c:pt>
                      <c:pt idx="14">
                        <c:v>Alfonso Zárate Conde (5)</c:v>
                      </c:pt>
                      <c:pt idx="15">
                        <c:v>Gladys Rocha Blanco (5)</c:v>
                      </c:pt>
                      <c:pt idx="16">
                        <c:v>Jorge Antonio González Sánchez (5)</c:v>
                      </c:pt>
                      <c:pt idx="17">
                        <c:v>Jaime Larrañaga Juez (4)</c:v>
                      </c:pt>
                      <c:pt idx="18">
                        <c:v>Fernando Sánchez-Rey Maeso (5)</c:v>
                      </c:pt>
                      <c:pt idx="19">
                        <c:v>Carles Estruch Puig (4)</c:v>
                      </c:pt>
                      <c:pt idx="20">
                        <c:v>Jonathan Pazmiño Espinoza (3)</c:v>
                      </c:pt>
                      <c:pt idx="21">
                        <c:v>Laura Gómez López (4)</c:v>
                      </c:pt>
                      <c:pt idx="22">
                        <c:v>Elena Muñoz Vioque (5)</c:v>
                      </c:pt>
                      <c:pt idx="23">
                        <c:v>Javier Espelta (3)</c:v>
                      </c:pt>
                      <c:pt idx="24">
                        <c:v>Marcos Fortea Escolano (4)</c:v>
                      </c:pt>
                      <c:pt idx="25">
                        <c:v>Jose Manuel Otero López (5)</c:v>
                      </c:pt>
                      <c:pt idx="26">
                        <c:v>Aitor Folch (3)</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acum_porc!$E$2:$E$64</c15:sqref>
                        </c15:formulaRef>
                      </c:ext>
                    </c:extLst>
                    <c:numCache>
                      <c:formatCode>General</c:formatCode>
                      <c:ptCount val="32"/>
                      <c:pt idx="0">
                        <c:v>0.49963423555230435</c:v>
                      </c:pt>
                      <c:pt idx="2">
                        <c:v>0.42648134601316751</c:v>
                      </c:pt>
                      <c:pt idx="3">
                        <c:v>0.64667154352596945</c:v>
                      </c:pt>
                      <c:pt idx="4">
                        <c:v>0.35332845647403072</c:v>
                      </c:pt>
                      <c:pt idx="6">
                        <c:v>0.77249451353328458</c:v>
                      </c:pt>
                      <c:pt idx="7">
                        <c:v>0.64594001463057793</c:v>
                      </c:pt>
                      <c:pt idx="9">
                        <c:v>1.0848573518653988</c:v>
                      </c:pt>
                      <c:pt idx="10">
                        <c:v>0.66788588149231898</c:v>
                      </c:pt>
                      <c:pt idx="11">
                        <c:v>0.39502560351133875</c:v>
                      </c:pt>
                      <c:pt idx="12">
                        <c:v>0.77029992684711046</c:v>
                      </c:pt>
                      <c:pt idx="14">
                        <c:v>1.9261155815654718</c:v>
                      </c:pt>
                      <c:pt idx="15">
                        <c:v>1.7468910021945863</c:v>
                      </c:pt>
                      <c:pt idx="16">
                        <c:v>0.89465983906364288</c:v>
                      </c:pt>
                      <c:pt idx="18">
                        <c:v>1.4381858083394292</c:v>
                      </c:pt>
                      <c:pt idx="19">
                        <c:v>2.2553035844915872</c:v>
                      </c:pt>
                      <c:pt idx="20">
                        <c:v>0.74762253108997812</c:v>
                      </c:pt>
                      <c:pt idx="21">
                        <c:v>0.71982443306510624</c:v>
                      </c:pt>
                      <c:pt idx="22">
                        <c:v>0.70592538405267014</c:v>
                      </c:pt>
                      <c:pt idx="23">
                        <c:v>0.60936356986100948</c:v>
                      </c:pt>
                      <c:pt idx="24">
                        <c:v>0.80760790051207032</c:v>
                      </c:pt>
                      <c:pt idx="25">
                        <c:v>5.5032918800292618</c:v>
                      </c:pt>
                      <c:pt idx="26">
                        <c:v>1.0190197512801757</c:v>
                      </c:pt>
                      <c:pt idx="27">
                        <c:v>0.7483540599853693</c:v>
                      </c:pt>
                      <c:pt idx="28">
                        <c:v>2.4711046086320412</c:v>
                      </c:pt>
                      <c:pt idx="29">
                        <c:v>1.438917337234821</c:v>
                      </c:pt>
                      <c:pt idx="31">
                        <c:v>1.944403803950256</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acum_porc!$G$1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Colón Cortegoso (3)</c:v>
                      </c:pt>
                      <c:pt idx="8">
                        <c:v>Sergio Lopez Oliver (3)</c:v>
                      </c:pt>
                      <c:pt idx="9">
                        <c:v>Javier Pérez Salazar (5)</c:v>
                      </c:pt>
                      <c:pt idx="10">
                        <c:v>Roque Alonso Alonso (5)</c:v>
                      </c:pt>
                      <c:pt idx="11">
                        <c:v>Roberto Parro Cortés (4)</c:v>
                      </c:pt>
                      <c:pt idx="12">
                        <c:v>Inés Monroy (5)</c:v>
                      </c:pt>
                      <c:pt idx="13">
                        <c:v>Carlos Callejón (3)</c:v>
                      </c:pt>
                      <c:pt idx="14">
                        <c:v>Alfonso Zárate Conde (5)</c:v>
                      </c:pt>
                      <c:pt idx="15">
                        <c:v>Gladys Rocha Blanco (5)</c:v>
                      </c:pt>
                      <c:pt idx="16">
                        <c:v>Jorge Antonio González Sánchez (5)</c:v>
                      </c:pt>
                      <c:pt idx="17">
                        <c:v>Jaime Larrañaga Juez (4)</c:v>
                      </c:pt>
                      <c:pt idx="18">
                        <c:v>Fernando Sánchez-Rey Maeso (5)</c:v>
                      </c:pt>
                      <c:pt idx="19">
                        <c:v>Carles Estruch Puig (4)</c:v>
                      </c:pt>
                      <c:pt idx="20">
                        <c:v>Jonathan Pazmiño Espinoza (3)</c:v>
                      </c:pt>
                      <c:pt idx="21">
                        <c:v>Laura Gómez López (4)</c:v>
                      </c:pt>
                      <c:pt idx="22">
                        <c:v>Elena Muñoz Vioque (5)</c:v>
                      </c:pt>
                      <c:pt idx="23">
                        <c:v>Javier Espelta (3)</c:v>
                      </c:pt>
                      <c:pt idx="24">
                        <c:v>Marcos Fortea Escolano (4)</c:v>
                      </c:pt>
                      <c:pt idx="25">
                        <c:v>Jose Manuel Otero López (5)</c:v>
                      </c:pt>
                      <c:pt idx="26">
                        <c:v>Aitor Folch (3)</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acum_porc!$G$2:$G$64</c15:sqref>
                        </c15:formulaRef>
                      </c:ext>
                    </c:extLst>
                    <c:numCache>
                      <c:formatCode>General</c:formatCode>
                      <c:ptCount val="32"/>
                      <c:pt idx="0">
                        <c:v>5</c:v>
                      </c:pt>
                      <c:pt idx="1">
                        <c:v>3</c:v>
                      </c:pt>
                      <c:pt idx="2">
                        <c:v>5</c:v>
                      </c:pt>
                      <c:pt idx="3">
                        <c:v>5</c:v>
                      </c:pt>
                      <c:pt idx="4">
                        <c:v>5</c:v>
                      </c:pt>
                      <c:pt idx="5">
                        <c:v>3</c:v>
                      </c:pt>
                      <c:pt idx="6">
                        <c:v>5</c:v>
                      </c:pt>
                      <c:pt idx="7">
                        <c:v>3</c:v>
                      </c:pt>
                      <c:pt idx="8">
                        <c:v>3</c:v>
                      </c:pt>
                      <c:pt idx="9">
                        <c:v>5</c:v>
                      </c:pt>
                      <c:pt idx="10">
                        <c:v>5</c:v>
                      </c:pt>
                      <c:pt idx="11">
                        <c:v>4</c:v>
                      </c:pt>
                      <c:pt idx="12">
                        <c:v>5</c:v>
                      </c:pt>
                      <c:pt idx="13">
                        <c:v>3</c:v>
                      </c:pt>
                      <c:pt idx="14">
                        <c:v>5</c:v>
                      </c:pt>
                      <c:pt idx="15">
                        <c:v>5</c:v>
                      </c:pt>
                      <c:pt idx="16">
                        <c:v>5</c:v>
                      </c:pt>
                      <c:pt idx="17">
                        <c:v>4</c:v>
                      </c:pt>
                      <c:pt idx="18">
                        <c:v>5</c:v>
                      </c:pt>
                      <c:pt idx="19">
                        <c:v>4</c:v>
                      </c:pt>
                      <c:pt idx="20">
                        <c:v>3</c:v>
                      </c:pt>
                      <c:pt idx="21">
                        <c:v>4</c:v>
                      </c:pt>
                      <c:pt idx="22">
                        <c:v>5</c:v>
                      </c:pt>
                      <c:pt idx="23">
                        <c:v>3</c:v>
                      </c:pt>
                      <c:pt idx="24">
                        <c:v>4</c:v>
                      </c:pt>
                      <c:pt idx="25">
                        <c:v>5</c:v>
                      </c:pt>
                      <c:pt idx="26">
                        <c:v>3</c:v>
                      </c:pt>
                      <c:pt idx="27">
                        <c:v>3</c:v>
                      </c:pt>
                      <c:pt idx="28">
                        <c:v>5</c:v>
                      </c:pt>
                      <c:pt idx="29">
                        <c:v>3</c:v>
                      </c:pt>
                      <c:pt idx="30">
                        <c:v>3</c:v>
                      </c:pt>
                      <c:pt idx="31">
                        <c:v>3</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acum_porc!$I$1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Colón Cortegoso (3)</c:v>
                      </c:pt>
                      <c:pt idx="8">
                        <c:v>Sergio Lopez Oliver (3)</c:v>
                      </c:pt>
                      <c:pt idx="9">
                        <c:v>Javier Pérez Salazar (5)</c:v>
                      </c:pt>
                      <c:pt idx="10">
                        <c:v>Roque Alonso Alonso (5)</c:v>
                      </c:pt>
                      <c:pt idx="11">
                        <c:v>Roberto Parro Cortés (4)</c:v>
                      </c:pt>
                      <c:pt idx="12">
                        <c:v>Inés Monroy (5)</c:v>
                      </c:pt>
                      <c:pt idx="13">
                        <c:v>Carlos Callejón (3)</c:v>
                      </c:pt>
                      <c:pt idx="14">
                        <c:v>Alfonso Zárate Conde (5)</c:v>
                      </c:pt>
                      <c:pt idx="15">
                        <c:v>Gladys Rocha Blanco (5)</c:v>
                      </c:pt>
                      <c:pt idx="16">
                        <c:v>Jorge Antonio González Sánchez (5)</c:v>
                      </c:pt>
                      <c:pt idx="17">
                        <c:v>Jaime Larrañaga Juez (4)</c:v>
                      </c:pt>
                      <c:pt idx="18">
                        <c:v>Fernando Sánchez-Rey Maeso (5)</c:v>
                      </c:pt>
                      <c:pt idx="19">
                        <c:v>Carles Estruch Puig (4)</c:v>
                      </c:pt>
                      <c:pt idx="20">
                        <c:v>Jonathan Pazmiño Espinoza (3)</c:v>
                      </c:pt>
                      <c:pt idx="21">
                        <c:v>Laura Gómez López (4)</c:v>
                      </c:pt>
                      <c:pt idx="22">
                        <c:v>Elena Muñoz Vioque (5)</c:v>
                      </c:pt>
                      <c:pt idx="23">
                        <c:v>Javier Espelta (3)</c:v>
                      </c:pt>
                      <c:pt idx="24">
                        <c:v>Marcos Fortea Escolano (4)</c:v>
                      </c:pt>
                      <c:pt idx="25">
                        <c:v>Jose Manuel Otero López (5)</c:v>
                      </c:pt>
                      <c:pt idx="26">
                        <c:v>Aitor Folch (3)</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acum_porc!$I$2:$I$64</c15:sqref>
                        </c15:formulaRef>
                      </c:ext>
                    </c:extLst>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acum_abs!$H$1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acum_abs!$A$2:$A$64</c:f>
              <c:strCache>
                <c:ptCount val="32"/>
                <c:pt idx="0">
                  <c:v>Juan Luis Jarillo Gómez</c:v>
                </c:pt>
                <c:pt idx="1">
                  <c:v>Inés Monroy</c:v>
                </c:pt>
                <c:pt idx="2">
                  <c:v>Javier Colón Cortegoso</c:v>
                </c:pt>
                <c:pt idx="3">
                  <c:v>Javier Revuelta Alonso</c:v>
                </c:pt>
                <c:pt idx="4">
                  <c:v>Sergio Lopez Oliver</c:v>
                </c:pt>
                <c:pt idx="5">
                  <c:v>Julián Mateo Muñoz</c:v>
                </c:pt>
                <c:pt idx="6">
                  <c:v>Jose F Vidal</c:v>
                </c:pt>
                <c:pt idx="7">
                  <c:v>Alejandro A. Díaz González</c:v>
                </c:pt>
                <c:pt idx="8">
                  <c:v>Roberto Cavero García</c:v>
                </c:pt>
                <c:pt idx="9">
                  <c:v>Javier Pérez Salazar</c:v>
                </c:pt>
                <c:pt idx="10">
                  <c:v>Alfonso Lezcano</c:v>
                </c:pt>
                <c:pt idx="11">
                  <c:v>Carlos Callejón</c:v>
                </c:pt>
                <c:pt idx="12">
                  <c:v>Roberto Parro Cortés</c:v>
                </c:pt>
                <c:pt idx="13">
                  <c:v>Gladys Rocha Blanco</c:v>
                </c:pt>
                <c:pt idx="14">
                  <c:v>Alfonso Zárate Conde</c:v>
                </c:pt>
                <c:pt idx="15">
                  <c:v>Marcos Fortea Escolano</c:v>
                </c:pt>
                <c:pt idx="16">
                  <c:v>Roque Alonso Alonso</c:v>
                </c:pt>
                <c:pt idx="17">
                  <c:v>Laura Gómez López</c:v>
                </c:pt>
                <c:pt idx="18">
                  <c:v>Carles Estruch Puig</c:v>
                </c:pt>
                <c:pt idx="19">
                  <c:v>Luis Angel Garzon Velasco</c:v>
                </c:pt>
                <c:pt idx="20">
                  <c:v>Aitor Folch</c:v>
                </c:pt>
                <c:pt idx="21">
                  <c:v>Jaime Larrañaga Juez</c:v>
                </c:pt>
                <c:pt idx="22">
                  <c:v>Fernando Sánchez-Rey Maeso</c:v>
                </c:pt>
                <c:pt idx="23">
                  <c:v>Jorge Antonio González Sánchez</c:v>
                </c:pt>
                <c:pt idx="24">
                  <c:v>Oscar Mulas Crespo</c:v>
                </c:pt>
                <c:pt idx="25">
                  <c:v>Jonathan Pazmiño Espinoza</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f>acum_abs!$H$2:$H$34</c:f>
              <c:numCache>
                <c:formatCode>General</c:formatCode>
                <c:ptCount val="32"/>
                <c:pt idx="0">
                  <c:v>1.1200000000000081</c:v>
                </c:pt>
                <c:pt idx="1">
                  <c:v>3.3400000000000034</c:v>
                </c:pt>
                <c:pt idx="2">
                  <c:v>3.7799999999999976</c:v>
                </c:pt>
                <c:pt idx="3">
                  <c:v>3.8299999999999912</c:v>
                </c:pt>
                <c:pt idx="4">
                  <c:v>4.2500000000000036</c:v>
                </c:pt>
                <c:pt idx="5">
                  <c:v>4.7099999999999902</c:v>
                </c:pt>
                <c:pt idx="6">
                  <c:v>5.4799999999999915</c:v>
                </c:pt>
                <c:pt idx="7">
                  <c:v>5.77</c:v>
                </c:pt>
                <c:pt idx="8">
                  <c:v>6.2700000000000067</c:v>
                </c:pt>
                <c:pt idx="9">
                  <c:v>7.340000000000007</c:v>
                </c:pt>
                <c:pt idx="10">
                  <c:v>7.3900000000000041</c:v>
                </c:pt>
                <c:pt idx="11">
                  <c:v>7.9700000000000024</c:v>
                </c:pt>
                <c:pt idx="12">
                  <c:v>8.2200000000000006</c:v>
                </c:pt>
                <c:pt idx="13">
                  <c:v>9.3400000000000034</c:v>
                </c:pt>
                <c:pt idx="14">
                  <c:v>9.4600000000000044</c:v>
                </c:pt>
                <c:pt idx="15">
                  <c:v>11.479999999999999</c:v>
                </c:pt>
                <c:pt idx="16">
                  <c:v>12.429999999999998</c:v>
                </c:pt>
                <c:pt idx="17">
                  <c:v>13.180000000000001</c:v>
                </c:pt>
                <c:pt idx="18">
                  <c:v>13.260000000000009</c:v>
                </c:pt>
                <c:pt idx="19">
                  <c:v>15.140000000000008</c:v>
                </c:pt>
                <c:pt idx="20">
                  <c:v>15.370000000000003</c:v>
                </c:pt>
                <c:pt idx="21">
                  <c:v>15.890000000000004</c:v>
                </c:pt>
                <c:pt idx="22">
                  <c:v>16.489999999999991</c:v>
                </c:pt>
                <c:pt idx="23">
                  <c:v>17.52000000000001</c:v>
                </c:pt>
                <c:pt idx="24">
                  <c:v>19.349999999999994</c:v>
                </c:pt>
                <c:pt idx="25">
                  <c:v>19.64</c:v>
                </c:pt>
                <c:pt idx="26">
                  <c:v>20.869999999999997</c:v>
                </c:pt>
                <c:pt idx="27">
                  <c:v>21.929999999999993</c:v>
                </c:pt>
                <c:pt idx="28">
                  <c:v>23.76</c:v>
                </c:pt>
                <c:pt idx="29">
                  <c:v>24.140000000000004</c:v>
                </c:pt>
                <c:pt idx="30">
                  <c:v>28.990000000000009</c:v>
                </c:pt>
                <c:pt idx="31">
                  <c:v>35.56</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2"/>
                      <c:pt idx="0">
                        <c:v>Juan Luis Jarillo Gómez</c:v>
                      </c:pt>
                      <c:pt idx="1">
                        <c:v>Inés Monroy</c:v>
                      </c:pt>
                      <c:pt idx="2">
                        <c:v>Javier Colón Cortegoso</c:v>
                      </c:pt>
                      <c:pt idx="3">
                        <c:v>Javier Revuelta Alonso</c:v>
                      </c:pt>
                      <c:pt idx="4">
                        <c:v>Sergio Lopez Oliver</c:v>
                      </c:pt>
                      <c:pt idx="5">
                        <c:v>Julián Mateo Muñoz</c:v>
                      </c:pt>
                      <c:pt idx="6">
                        <c:v>Jose F Vidal</c:v>
                      </c:pt>
                      <c:pt idx="7">
                        <c:v>Alejandro A. Díaz González</c:v>
                      </c:pt>
                      <c:pt idx="8">
                        <c:v>Roberto Cavero García</c:v>
                      </c:pt>
                      <c:pt idx="9">
                        <c:v>Javier Pérez Salazar</c:v>
                      </c:pt>
                      <c:pt idx="10">
                        <c:v>Alfonso Lezcano</c:v>
                      </c:pt>
                      <c:pt idx="11">
                        <c:v>Carlos Callejón</c:v>
                      </c:pt>
                      <c:pt idx="12">
                        <c:v>Roberto Parro Cortés</c:v>
                      </c:pt>
                      <c:pt idx="13">
                        <c:v>Gladys Rocha Blanco</c:v>
                      </c:pt>
                      <c:pt idx="14">
                        <c:v>Alfonso Zárate Conde</c:v>
                      </c:pt>
                      <c:pt idx="15">
                        <c:v>Marcos Fortea Escolano</c:v>
                      </c:pt>
                      <c:pt idx="16">
                        <c:v>Roque Alonso Alonso</c:v>
                      </c:pt>
                      <c:pt idx="17">
                        <c:v>Laura Gómez López</c:v>
                      </c:pt>
                      <c:pt idx="18">
                        <c:v>Carles Estruch Puig</c:v>
                      </c:pt>
                      <c:pt idx="19">
                        <c:v>Luis Angel Garzon Velasco</c:v>
                      </c:pt>
                      <c:pt idx="20">
                        <c:v>Aitor Folch</c:v>
                      </c:pt>
                      <c:pt idx="21">
                        <c:v>Jaime Larrañaga Juez</c:v>
                      </c:pt>
                      <c:pt idx="22">
                        <c:v>Fernando Sánchez-Rey Maeso</c:v>
                      </c:pt>
                      <c:pt idx="23">
                        <c:v>Jorge Antonio González Sánchez</c:v>
                      </c:pt>
                      <c:pt idx="24">
                        <c:v>Oscar Mulas Crespo</c:v>
                      </c:pt>
                      <c:pt idx="25">
                        <c:v>Jonathan Pazmiño Espinoza</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c:ext uri="{02D57815-91ED-43cb-92C2-25804820EDAC}">
                        <c15:formulaRef>
                          <c15:sqref>acum_abs!$B$2:$B$64</c15:sqref>
                        </c15:formulaRef>
                      </c:ext>
                    </c:extLst>
                    <c:numCache>
                      <c:formatCode>General</c:formatCode>
                      <c:ptCount val="32"/>
                      <c:pt idx="0">
                        <c:v>0.18000000000000682</c:v>
                      </c:pt>
                      <c:pt idx="1">
                        <c:v>0.20000000000000284</c:v>
                      </c:pt>
                      <c:pt idx="3">
                        <c:v>2.3999999999999915</c:v>
                      </c:pt>
                      <c:pt idx="4">
                        <c:v>0.46000000000000796</c:v>
                      </c:pt>
                      <c:pt idx="5">
                        <c:v>2.8699999999999903</c:v>
                      </c:pt>
                      <c:pt idx="6">
                        <c:v>0.64999999999999147</c:v>
                      </c:pt>
                      <c:pt idx="7">
                        <c:v>1.25</c:v>
                      </c:pt>
                      <c:pt idx="8">
                        <c:v>2.4000000000000057</c:v>
                      </c:pt>
                      <c:pt idx="9">
                        <c:v>0.90000000000000568</c:v>
                      </c:pt>
                      <c:pt idx="10">
                        <c:v>4.1800000000000068</c:v>
                      </c:pt>
                      <c:pt idx="11">
                        <c:v>5.2000000000000028</c:v>
                      </c:pt>
                      <c:pt idx="13">
                        <c:v>7.5900000000000034</c:v>
                      </c:pt>
                      <c:pt idx="14">
                        <c:v>5.9000000000000057</c:v>
                      </c:pt>
                      <c:pt idx="16">
                        <c:v>3.2999999999999972</c:v>
                      </c:pt>
                      <c:pt idx="18">
                        <c:v>3.6000000000000085</c:v>
                      </c:pt>
                      <c:pt idx="19">
                        <c:v>14.400000000000006</c:v>
                      </c:pt>
                      <c:pt idx="21">
                        <c:v>13.980000000000004</c:v>
                      </c:pt>
                      <c:pt idx="22">
                        <c:v>14.599999999999994</c:v>
                      </c:pt>
                      <c:pt idx="23">
                        <c:v>11.300000000000011</c:v>
                      </c:pt>
                      <c:pt idx="25">
                        <c:v>28.680000000000007</c:v>
                      </c:pt>
                      <c:pt idx="26">
                        <c:v>11.219999999999999</c:v>
                      </c:pt>
                      <c:pt idx="27">
                        <c:v>13.599999999999994</c:v>
                      </c:pt>
                      <c:pt idx="29">
                        <c:v>6.980000000000004</c:v>
                      </c:pt>
                      <c:pt idx="30">
                        <c:v>1.5500000000000114</c:v>
                      </c:pt>
                      <c:pt idx="31">
                        <c:v>13</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Juan Luis Jarillo Gómez</c:v>
                      </c:pt>
                      <c:pt idx="1">
                        <c:v>Inés Monroy</c:v>
                      </c:pt>
                      <c:pt idx="2">
                        <c:v>Javier Colón Cortegoso</c:v>
                      </c:pt>
                      <c:pt idx="3">
                        <c:v>Javier Revuelta Alonso</c:v>
                      </c:pt>
                      <c:pt idx="4">
                        <c:v>Sergio Lopez Oliver</c:v>
                      </c:pt>
                      <c:pt idx="5">
                        <c:v>Julián Mateo Muñoz</c:v>
                      </c:pt>
                      <c:pt idx="6">
                        <c:v>Jose F Vidal</c:v>
                      </c:pt>
                      <c:pt idx="7">
                        <c:v>Alejandro A. Díaz González</c:v>
                      </c:pt>
                      <c:pt idx="8">
                        <c:v>Roberto Cavero García</c:v>
                      </c:pt>
                      <c:pt idx="9">
                        <c:v>Javier Pérez Salazar</c:v>
                      </c:pt>
                      <c:pt idx="10">
                        <c:v>Alfonso Lezcano</c:v>
                      </c:pt>
                      <c:pt idx="11">
                        <c:v>Carlos Callejón</c:v>
                      </c:pt>
                      <c:pt idx="12">
                        <c:v>Roberto Parro Cortés</c:v>
                      </c:pt>
                      <c:pt idx="13">
                        <c:v>Gladys Rocha Blanco</c:v>
                      </c:pt>
                      <c:pt idx="14">
                        <c:v>Alfonso Zárate Conde</c:v>
                      </c:pt>
                      <c:pt idx="15">
                        <c:v>Marcos Fortea Escolano</c:v>
                      </c:pt>
                      <c:pt idx="16">
                        <c:v>Roque Alonso Alonso</c:v>
                      </c:pt>
                      <c:pt idx="17">
                        <c:v>Laura Gómez López</c:v>
                      </c:pt>
                      <c:pt idx="18">
                        <c:v>Carles Estruch Puig</c:v>
                      </c:pt>
                      <c:pt idx="19">
                        <c:v>Luis Angel Garzon Velasco</c:v>
                      </c:pt>
                      <c:pt idx="20">
                        <c:v>Aitor Folch</c:v>
                      </c:pt>
                      <c:pt idx="21">
                        <c:v>Jaime Larrañaga Juez</c:v>
                      </c:pt>
                      <c:pt idx="22">
                        <c:v>Fernando Sánchez-Rey Maeso</c:v>
                      </c:pt>
                      <c:pt idx="23">
                        <c:v>Jorge Antonio González Sánchez</c:v>
                      </c:pt>
                      <c:pt idx="24">
                        <c:v>Oscar Mulas Crespo</c:v>
                      </c:pt>
                      <c:pt idx="25">
                        <c:v>Jonathan Pazmiño Espinoza</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xmlns:c15="http://schemas.microsoft.com/office/drawing/2012/chart">
                      <c:ext xmlns:c15="http://schemas.microsoft.com/office/drawing/2012/chart" uri="{02D57815-91ED-43cb-92C2-25804820EDAC}">
                        <c15:formulaRef>
                          <c15:sqref>acum_abs!$C$2:$C$64</c15:sqref>
                        </c15:formulaRef>
                      </c:ext>
                    </c:extLst>
                    <c:numCache>
                      <c:formatCode>General</c:formatCode>
                      <c:ptCount val="32"/>
                      <c:pt idx="0">
                        <c:v>13.54</c:v>
                      </c:pt>
                      <c:pt idx="1">
                        <c:v>29.849999999999994</c:v>
                      </c:pt>
                      <c:pt idx="3">
                        <c:v>29.200000000000003</c:v>
                      </c:pt>
                      <c:pt idx="4">
                        <c:v>25.86</c:v>
                      </c:pt>
                      <c:pt idx="5">
                        <c:v>35.730000000000004</c:v>
                      </c:pt>
                      <c:pt idx="6">
                        <c:v>33.879999999999995</c:v>
                      </c:pt>
                      <c:pt idx="7">
                        <c:v>22.5</c:v>
                      </c:pt>
                      <c:pt idx="8">
                        <c:v>20.020000000000003</c:v>
                      </c:pt>
                      <c:pt idx="9">
                        <c:v>25</c:v>
                      </c:pt>
                      <c:pt idx="10">
                        <c:v>19.299999999999997</c:v>
                      </c:pt>
                      <c:pt idx="11">
                        <c:v>28.099999999999994</c:v>
                      </c:pt>
                      <c:pt idx="12">
                        <c:v>27.200000000000003</c:v>
                      </c:pt>
                      <c:pt idx="13">
                        <c:v>29.620000000000005</c:v>
                      </c:pt>
                      <c:pt idx="14">
                        <c:v>28</c:v>
                      </c:pt>
                      <c:pt idx="15">
                        <c:v>31.010000000000005</c:v>
                      </c:pt>
                      <c:pt idx="16">
                        <c:v>25.400000000000006</c:v>
                      </c:pt>
                      <c:pt idx="17">
                        <c:v>24.349999999999994</c:v>
                      </c:pt>
                      <c:pt idx="18">
                        <c:v>28.950000000000003</c:v>
                      </c:pt>
                      <c:pt idx="20">
                        <c:v>25.200000000000003</c:v>
                      </c:pt>
                      <c:pt idx="21">
                        <c:v>29.689999999999998</c:v>
                      </c:pt>
                      <c:pt idx="22">
                        <c:v>29.959999999999994</c:v>
                      </c:pt>
                      <c:pt idx="23">
                        <c:v>24.459999999999994</c:v>
                      </c:pt>
                      <c:pt idx="24">
                        <c:v>20.100000000000001</c:v>
                      </c:pt>
                      <c:pt idx="26">
                        <c:v>32.25</c:v>
                      </c:pt>
                      <c:pt idx="28">
                        <c:v>20.060000000000002</c:v>
                      </c:pt>
                      <c:pt idx="29">
                        <c:v>39.799999999999997</c:v>
                      </c:pt>
                      <c:pt idx="30">
                        <c:v>30.22</c:v>
                      </c:pt>
                      <c:pt idx="31">
                        <c:v>35</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Juan Luis Jarillo Gómez</c:v>
                      </c:pt>
                      <c:pt idx="1">
                        <c:v>Inés Monroy</c:v>
                      </c:pt>
                      <c:pt idx="2">
                        <c:v>Javier Colón Cortegoso</c:v>
                      </c:pt>
                      <c:pt idx="3">
                        <c:v>Javier Revuelta Alonso</c:v>
                      </c:pt>
                      <c:pt idx="4">
                        <c:v>Sergio Lopez Oliver</c:v>
                      </c:pt>
                      <c:pt idx="5">
                        <c:v>Julián Mateo Muñoz</c:v>
                      </c:pt>
                      <c:pt idx="6">
                        <c:v>Jose F Vidal</c:v>
                      </c:pt>
                      <c:pt idx="7">
                        <c:v>Alejandro A. Díaz González</c:v>
                      </c:pt>
                      <c:pt idx="8">
                        <c:v>Roberto Cavero García</c:v>
                      </c:pt>
                      <c:pt idx="9">
                        <c:v>Javier Pérez Salazar</c:v>
                      </c:pt>
                      <c:pt idx="10">
                        <c:v>Alfonso Lezcano</c:v>
                      </c:pt>
                      <c:pt idx="11">
                        <c:v>Carlos Callejón</c:v>
                      </c:pt>
                      <c:pt idx="12">
                        <c:v>Roberto Parro Cortés</c:v>
                      </c:pt>
                      <c:pt idx="13">
                        <c:v>Gladys Rocha Blanco</c:v>
                      </c:pt>
                      <c:pt idx="14">
                        <c:v>Alfonso Zárate Conde</c:v>
                      </c:pt>
                      <c:pt idx="15">
                        <c:v>Marcos Fortea Escolano</c:v>
                      </c:pt>
                      <c:pt idx="16">
                        <c:v>Roque Alonso Alonso</c:v>
                      </c:pt>
                      <c:pt idx="17">
                        <c:v>Laura Gómez López</c:v>
                      </c:pt>
                      <c:pt idx="18">
                        <c:v>Carles Estruch Puig</c:v>
                      </c:pt>
                      <c:pt idx="19">
                        <c:v>Luis Angel Garzon Velasco</c:v>
                      </c:pt>
                      <c:pt idx="20">
                        <c:v>Aitor Folch</c:v>
                      </c:pt>
                      <c:pt idx="21">
                        <c:v>Jaime Larrañaga Juez</c:v>
                      </c:pt>
                      <c:pt idx="22">
                        <c:v>Fernando Sánchez-Rey Maeso</c:v>
                      </c:pt>
                      <c:pt idx="23">
                        <c:v>Jorge Antonio González Sánchez</c:v>
                      </c:pt>
                      <c:pt idx="24">
                        <c:v>Oscar Mulas Crespo</c:v>
                      </c:pt>
                      <c:pt idx="25">
                        <c:v>Jonathan Pazmiño Espinoza</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xmlns:c15="http://schemas.microsoft.com/office/drawing/2012/chart">
                      <c:ext xmlns:c15="http://schemas.microsoft.com/office/drawing/2012/chart" uri="{02D57815-91ED-43cb-92C2-25804820EDAC}">
                        <c15:formulaRef>
                          <c15:sqref>acum_abs!$D$2:$D$64</c15:sqref>
                        </c15:formulaRef>
                      </c:ext>
                    </c:extLst>
                    <c:numCache>
                      <c:formatCode>General</c:formatCode>
                      <c:ptCount val="32"/>
                      <c:pt idx="1">
                        <c:v>15.32</c:v>
                      </c:pt>
                      <c:pt idx="2">
                        <c:v>0.11999999999999744</c:v>
                      </c:pt>
                      <c:pt idx="3">
                        <c:v>3.4199999999999982</c:v>
                      </c:pt>
                      <c:pt idx="5">
                        <c:v>13.030000000000001</c:v>
                      </c:pt>
                      <c:pt idx="6">
                        <c:v>10.219999999999999</c:v>
                      </c:pt>
                      <c:pt idx="7">
                        <c:v>4.5199999999999996</c:v>
                      </c:pt>
                      <c:pt idx="9">
                        <c:v>11.719999999999999</c:v>
                      </c:pt>
                      <c:pt idx="10">
                        <c:v>3.2099999999999973</c:v>
                      </c:pt>
                      <c:pt idx="12">
                        <c:v>6.9599999999999973</c:v>
                      </c:pt>
                      <c:pt idx="13">
                        <c:v>35.409999999999997</c:v>
                      </c:pt>
                      <c:pt idx="14">
                        <c:v>24.72</c:v>
                      </c:pt>
                      <c:pt idx="15">
                        <c:v>27.39</c:v>
                      </c:pt>
                      <c:pt idx="16">
                        <c:v>9.52</c:v>
                      </c:pt>
                      <c:pt idx="17">
                        <c:v>15.049999999999997</c:v>
                      </c:pt>
                      <c:pt idx="21">
                        <c:v>16.379999999999995</c:v>
                      </c:pt>
                      <c:pt idx="22">
                        <c:v>24.729999999999997</c:v>
                      </c:pt>
                      <c:pt idx="23">
                        <c:v>6.2199999999999989</c:v>
                      </c:pt>
                      <c:pt idx="24">
                        <c:v>9.1199999999999974</c:v>
                      </c:pt>
                      <c:pt idx="26">
                        <c:v>25.949999999999996</c:v>
                      </c:pt>
                      <c:pt idx="29">
                        <c:v>41.4</c:v>
                      </c:pt>
                      <c:pt idx="30">
                        <c:v>27.439999999999998</c:v>
                      </c:pt>
                      <c:pt idx="31">
                        <c:v>34.72</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Juan Luis Jarillo Gómez</c:v>
                      </c:pt>
                      <c:pt idx="1">
                        <c:v>Inés Monroy</c:v>
                      </c:pt>
                      <c:pt idx="2">
                        <c:v>Javier Colón Cortegoso</c:v>
                      </c:pt>
                      <c:pt idx="3">
                        <c:v>Javier Revuelta Alonso</c:v>
                      </c:pt>
                      <c:pt idx="4">
                        <c:v>Sergio Lopez Oliver</c:v>
                      </c:pt>
                      <c:pt idx="5">
                        <c:v>Julián Mateo Muñoz</c:v>
                      </c:pt>
                      <c:pt idx="6">
                        <c:v>Jose F Vidal</c:v>
                      </c:pt>
                      <c:pt idx="7">
                        <c:v>Alejandro A. Díaz González</c:v>
                      </c:pt>
                      <c:pt idx="8">
                        <c:v>Roberto Cavero García</c:v>
                      </c:pt>
                      <c:pt idx="9">
                        <c:v>Javier Pérez Salazar</c:v>
                      </c:pt>
                      <c:pt idx="10">
                        <c:v>Alfonso Lezcano</c:v>
                      </c:pt>
                      <c:pt idx="11">
                        <c:v>Carlos Callejón</c:v>
                      </c:pt>
                      <c:pt idx="12">
                        <c:v>Roberto Parro Cortés</c:v>
                      </c:pt>
                      <c:pt idx="13">
                        <c:v>Gladys Rocha Blanco</c:v>
                      </c:pt>
                      <c:pt idx="14">
                        <c:v>Alfonso Zárate Conde</c:v>
                      </c:pt>
                      <c:pt idx="15">
                        <c:v>Marcos Fortea Escolano</c:v>
                      </c:pt>
                      <c:pt idx="16">
                        <c:v>Roque Alonso Alonso</c:v>
                      </c:pt>
                      <c:pt idx="17">
                        <c:v>Laura Gómez López</c:v>
                      </c:pt>
                      <c:pt idx="18">
                        <c:v>Carles Estruch Puig</c:v>
                      </c:pt>
                      <c:pt idx="19">
                        <c:v>Luis Angel Garzon Velasco</c:v>
                      </c:pt>
                      <c:pt idx="20">
                        <c:v>Aitor Folch</c:v>
                      </c:pt>
                      <c:pt idx="21">
                        <c:v>Jaime Larrañaga Juez</c:v>
                      </c:pt>
                      <c:pt idx="22">
                        <c:v>Fernando Sánchez-Rey Maeso</c:v>
                      </c:pt>
                      <c:pt idx="23">
                        <c:v>Jorge Antonio González Sánchez</c:v>
                      </c:pt>
                      <c:pt idx="24">
                        <c:v>Oscar Mulas Crespo</c:v>
                      </c:pt>
                      <c:pt idx="25">
                        <c:v>Jonathan Pazmiño Espinoza</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xmlns:c15="http://schemas.microsoft.com/office/drawing/2012/chart">
                      <c:ext xmlns:c15="http://schemas.microsoft.com/office/drawing/2012/chart" uri="{02D57815-91ED-43cb-92C2-25804820EDAC}">
                        <c15:formulaRef>
                          <c15:sqref>acum_abs!$E$2:$E$64</c15:sqref>
                        </c15:formulaRef>
                      </c:ext>
                    </c:extLst>
                    <c:numCache>
                      <c:formatCode>General</c:formatCode>
                      <c:ptCount val="32"/>
                      <c:pt idx="1">
                        <c:v>10.53</c:v>
                      </c:pt>
                      <c:pt idx="2">
                        <c:v>8.83</c:v>
                      </c:pt>
                      <c:pt idx="3">
                        <c:v>6.83</c:v>
                      </c:pt>
                      <c:pt idx="5">
                        <c:v>10.56</c:v>
                      </c:pt>
                      <c:pt idx="6">
                        <c:v>4.83</c:v>
                      </c:pt>
                      <c:pt idx="7">
                        <c:v>8.8400000000000016</c:v>
                      </c:pt>
                      <c:pt idx="9">
                        <c:v>14.83</c:v>
                      </c:pt>
                      <c:pt idx="10">
                        <c:v>5.83</c:v>
                      </c:pt>
                      <c:pt idx="12">
                        <c:v>5.4</c:v>
                      </c:pt>
                      <c:pt idx="13">
                        <c:v>23.879999999999995</c:v>
                      </c:pt>
                      <c:pt idx="14">
                        <c:v>26.33</c:v>
                      </c:pt>
                      <c:pt idx="15">
                        <c:v>11.040000000000001</c:v>
                      </c:pt>
                      <c:pt idx="16">
                        <c:v>9.1300000000000008</c:v>
                      </c:pt>
                      <c:pt idx="17">
                        <c:v>9.8400000000000016</c:v>
                      </c:pt>
                      <c:pt idx="18">
                        <c:v>30.83</c:v>
                      </c:pt>
                      <c:pt idx="19">
                        <c:v>26.58</c:v>
                      </c:pt>
                      <c:pt idx="20">
                        <c:v>13.930000000000001</c:v>
                      </c:pt>
                      <c:pt idx="22">
                        <c:v>19.659999999999997</c:v>
                      </c:pt>
                      <c:pt idx="23">
                        <c:v>12.229999999999999</c:v>
                      </c:pt>
                      <c:pt idx="24">
                        <c:v>10.229999999999999</c:v>
                      </c:pt>
                      <c:pt idx="25">
                        <c:v>10.220000000000001</c:v>
                      </c:pt>
                      <c:pt idx="26">
                        <c:v>9.65</c:v>
                      </c:pt>
                      <c:pt idx="27">
                        <c:v>8.33</c:v>
                      </c:pt>
                      <c:pt idx="28">
                        <c:v>19.670000000000002</c:v>
                      </c:pt>
                      <c:pt idx="29">
                        <c:v>75.23</c:v>
                      </c:pt>
                      <c:pt idx="31">
                        <c:v>33.78</c:v>
                      </c:pt>
                    </c:numCache>
                  </c:numRef>
                </c:val>
                <c:extLst xmlns:c15="http://schemas.microsoft.com/office/drawing/2012/chart">
                  <c:ext xmlns:c16="http://schemas.microsoft.com/office/drawing/2014/chart" uri="{C3380CC4-5D6E-409C-BE32-E72D297353CC}">
                    <c16:uniqueId val="{00000005-09D5-438C-937B-0CC6758186A3}"/>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acum_abs!$I$1</c15:sqref>
                        </c15:formulaRef>
                      </c:ext>
                    </c:extLst>
                    <c:strCache>
                      <c:ptCount val="1"/>
                      <c:pt idx="0">
                        <c:v>min2</c:v>
                      </c:pt>
                    </c:strCache>
                  </c:strRef>
                </c:tx>
                <c:spPr>
                  <a:solidFill>
                    <a:schemeClr val="accent1">
                      <a:lumMod val="20000"/>
                      <a:lumOff val="80000"/>
                      <a:alpha val="52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Juan Luis Jarillo Gómez</c:v>
                      </c:pt>
                      <c:pt idx="1">
                        <c:v>Inés Monroy</c:v>
                      </c:pt>
                      <c:pt idx="2">
                        <c:v>Javier Colón Cortegoso</c:v>
                      </c:pt>
                      <c:pt idx="3">
                        <c:v>Javier Revuelta Alonso</c:v>
                      </c:pt>
                      <c:pt idx="4">
                        <c:v>Sergio Lopez Oliver</c:v>
                      </c:pt>
                      <c:pt idx="5">
                        <c:v>Julián Mateo Muñoz</c:v>
                      </c:pt>
                      <c:pt idx="6">
                        <c:v>Jose F Vidal</c:v>
                      </c:pt>
                      <c:pt idx="7">
                        <c:v>Alejandro A. Díaz González</c:v>
                      </c:pt>
                      <c:pt idx="8">
                        <c:v>Roberto Cavero García</c:v>
                      </c:pt>
                      <c:pt idx="9">
                        <c:v>Javier Pérez Salazar</c:v>
                      </c:pt>
                      <c:pt idx="10">
                        <c:v>Alfonso Lezcano</c:v>
                      </c:pt>
                      <c:pt idx="11">
                        <c:v>Carlos Callejón</c:v>
                      </c:pt>
                      <c:pt idx="12">
                        <c:v>Roberto Parro Cortés</c:v>
                      </c:pt>
                      <c:pt idx="13">
                        <c:v>Gladys Rocha Blanco</c:v>
                      </c:pt>
                      <c:pt idx="14">
                        <c:v>Alfonso Zárate Conde</c:v>
                      </c:pt>
                      <c:pt idx="15">
                        <c:v>Marcos Fortea Escolano</c:v>
                      </c:pt>
                      <c:pt idx="16">
                        <c:v>Roque Alonso Alonso</c:v>
                      </c:pt>
                      <c:pt idx="17">
                        <c:v>Laura Gómez López</c:v>
                      </c:pt>
                      <c:pt idx="18">
                        <c:v>Carles Estruch Puig</c:v>
                      </c:pt>
                      <c:pt idx="19">
                        <c:v>Luis Angel Garzon Velasco</c:v>
                      </c:pt>
                      <c:pt idx="20">
                        <c:v>Aitor Folch</c:v>
                      </c:pt>
                      <c:pt idx="21">
                        <c:v>Jaime Larrañaga Juez</c:v>
                      </c:pt>
                      <c:pt idx="22">
                        <c:v>Fernando Sánchez-Rey Maeso</c:v>
                      </c:pt>
                      <c:pt idx="23">
                        <c:v>Jorge Antonio González Sánchez</c:v>
                      </c:pt>
                      <c:pt idx="24">
                        <c:v>Oscar Mulas Crespo</c:v>
                      </c:pt>
                      <c:pt idx="25">
                        <c:v>Jonathan Pazmiño Espinoza</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xmlns:c15="http://schemas.microsoft.com/office/drawing/2012/chart">
                      <c:ext xmlns:c15="http://schemas.microsoft.com/office/drawing/2012/chart" uri="{02D57815-91ED-43cb-92C2-25804820EDAC}">
                        <c15:formulaRef>
                          <c15:sqref>acum_abs!$I$2:$I$34</c15:sqref>
                        </c15:formulaRef>
                      </c:ext>
                    </c:extLst>
                    <c:numCache>
                      <c:formatCode>General</c:formatCode>
                      <c:ptCount val="32"/>
                      <c:pt idx="0">
                        <c:v>1.1200000000000081</c:v>
                      </c:pt>
                      <c:pt idx="1">
                        <c:v>3.3400000000000034</c:v>
                      </c:pt>
                      <c:pt idx="2">
                        <c:v>3.7799999999999976</c:v>
                      </c:pt>
                      <c:pt idx="3">
                        <c:v>3.8299999999999912</c:v>
                      </c:pt>
                      <c:pt idx="4">
                        <c:v>4.2500000000000036</c:v>
                      </c:pt>
                      <c:pt idx="5">
                        <c:v>4.7099999999999902</c:v>
                      </c:pt>
                      <c:pt idx="6">
                        <c:v>5.4799999999999915</c:v>
                      </c:pt>
                      <c:pt idx="7">
                        <c:v>5.77</c:v>
                      </c:pt>
                      <c:pt idx="8">
                        <c:v>6.2700000000000067</c:v>
                      </c:pt>
                      <c:pt idx="9">
                        <c:v>7.340000000000007</c:v>
                      </c:pt>
                      <c:pt idx="10">
                        <c:v>7.3900000000000041</c:v>
                      </c:pt>
                      <c:pt idx="11">
                        <c:v>7.9700000000000024</c:v>
                      </c:pt>
                      <c:pt idx="12">
                        <c:v>8.2200000000000006</c:v>
                      </c:pt>
                      <c:pt idx="13">
                        <c:v>9.3400000000000034</c:v>
                      </c:pt>
                      <c:pt idx="14">
                        <c:v>9.4600000000000044</c:v>
                      </c:pt>
                      <c:pt idx="15">
                        <c:v>11.479999999999999</c:v>
                      </c:pt>
                      <c:pt idx="16">
                        <c:v>12.429999999999998</c:v>
                      </c:pt>
                      <c:pt idx="17">
                        <c:v>13.180000000000001</c:v>
                      </c:pt>
                      <c:pt idx="18">
                        <c:v>13.260000000000009</c:v>
                      </c:pt>
                      <c:pt idx="19">
                        <c:v>15.140000000000008</c:v>
                      </c:pt>
                      <c:pt idx="20">
                        <c:v>15.370000000000003</c:v>
                      </c:pt>
                      <c:pt idx="21">
                        <c:v>15.890000000000004</c:v>
                      </c:pt>
                      <c:pt idx="22">
                        <c:v>16.489999999999991</c:v>
                      </c:pt>
                      <c:pt idx="23">
                        <c:v>17.52000000000001</c:v>
                      </c:pt>
                      <c:pt idx="24">
                        <c:v>19.349999999999994</c:v>
                      </c:pt>
                      <c:pt idx="25">
                        <c:v>19.64</c:v>
                      </c:pt>
                      <c:pt idx="26">
                        <c:v>20.869999999999997</c:v>
                      </c:pt>
                      <c:pt idx="27">
                        <c:v>21.929999999999993</c:v>
                      </c:pt>
                      <c:pt idx="28">
                        <c:v>23.76</c:v>
                      </c:pt>
                      <c:pt idx="29">
                        <c:v>24.140000000000004</c:v>
                      </c:pt>
                      <c:pt idx="30">
                        <c:v>28.990000000000009</c:v>
                      </c:pt>
                      <c:pt idx="31">
                        <c:v>35.56</c:v>
                      </c:pt>
                    </c:numCache>
                  </c:numRef>
                </c:val>
                <c:extLst xmlns:c15="http://schemas.microsoft.com/office/drawing/2012/chart">
                  <c:ext xmlns:c16="http://schemas.microsoft.com/office/drawing/2014/chart" uri="{C3380CC4-5D6E-409C-BE32-E72D297353CC}">
                    <c16:uniqueId val="{00000000-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27"/>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3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38100</xdr:colOff>
          <xdr:row>10</xdr:row>
          <xdr:rowOff>9525</xdr:rowOff>
        </xdr:from>
        <xdr:to>
          <xdr:col>23</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21</xdr:col>
      <xdr:colOff>36635</xdr:colOff>
      <xdr:row>1</xdr:row>
      <xdr:rowOff>58616</xdr:rowOff>
    </xdr:from>
    <xdr:to>
      <xdr:col>25</xdr:col>
      <xdr:colOff>542193</xdr:colOff>
      <xdr:row>9</xdr:row>
      <xdr:rowOff>43962</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2814789" y="212481"/>
          <a:ext cx="3553558" cy="121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215178</xdr:colOff>
      <xdr:row>16</xdr:row>
      <xdr:rowOff>16294</xdr:rowOff>
    </xdr:from>
    <xdr:ext cx="484235" cy="269369"/>
    <xdr:sp macro="" textlink="[1]curva_precios_tec_2024!$V$2">
      <xdr:nvSpPr>
        <xdr:cNvPr id="25" name="CuadroTexto 1">
          <a:extLst>
            <a:ext uri="{FF2B5EF4-FFF2-40B4-BE49-F238E27FC236}">
              <a16:creationId xmlns:a16="http://schemas.microsoft.com/office/drawing/2014/main" id="{00000000-0008-0000-0200-000019000000}"/>
            </a:ext>
          </a:extLst>
        </xdr:cNvPr>
        <xdr:cNvSpPr txBox="1"/>
      </xdr:nvSpPr>
      <xdr:spPr>
        <a:xfrm>
          <a:off x="13872563" y="2800525"/>
          <a:ext cx="484235"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15,23</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34" name="CuadroTexto 1">
          <a:extLst>
            <a:ext uri="{FF2B5EF4-FFF2-40B4-BE49-F238E27FC236}">
              <a16:creationId xmlns:a16="http://schemas.microsoft.com/office/drawing/2014/main" id="{00000000-0008-0000-0200-000022000000}"/>
            </a:ext>
          </a:extLst>
        </xdr:cNvPr>
        <xdr:cNvSpPr txBox="1"/>
      </xdr:nvSpPr>
      <xdr:spPr>
        <a:xfrm>
          <a:off x="14527838" y="280638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35" name="CuadroTexto 1">
          <a:extLst>
            <a:ext uri="{FF2B5EF4-FFF2-40B4-BE49-F238E27FC236}">
              <a16:creationId xmlns:a16="http://schemas.microsoft.com/office/drawing/2014/main" id="{00000000-0008-0000-0200-000023000000}"/>
            </a:ext>
          </a:extLst>
        </xdr:cNvPr>
        <xdr:cNvSpPr txBox="1"/>
      </xdr:nvSpPr>
      <xdr:spPr>
        <a:xfrm>
          <a:off x="15338802" y="279906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38,30</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31,39</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70,75</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0,6%</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33,5%</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42,6%</a:t>
          </a:fld>
          <a:endParaRPr lang="es-ES" sz="1200" b="1" i="0" u="none" strike="noStrike">
            <a:solidFill>
              <a:schemeClr val="accent1"/>
            </a:solidFill>
            <a:latin typeface="Arial"/>
            <a:ea typeface="+mn-ea"/>
            <a:cs typeface="Arial"/>
          </a:endParaRPr>
        </a:p>
      </xdr:txBody>
    </xdr:sp>
    <xdr:clientData/>
  </xdr:twoCellAnchor>
  <xdr:oneCellAnchor>
    <xdr:from>
      <xdr:col>17</xdr:col>
      <xdr:colOff>215178</xdr:colOff>
      <xdr:row>16</xdr:row>
      <xdr:rowOff>16294</xdr:rowOff>
    </xdr:from>
    <xdr:ext cx="484235" cy="269369"/>
    <xdr:sp macro="" textlink="[1]curva_precios_tec_2024!$V$2">
      <xdr:nvSpPr>
        <xdr:cNvPr id="21" name="CuadroTexto 1">
          <a:extLst>
            <a:ext uri="{FF2B5EF4-FFF2-40B4-BE49-F238E27FC236}">
              <a16:creationId xmlns:a16="http://schemas.microsoft.com/office/drawing/2014/main" id="{00000000-0008-0000-0300-000015000000}"/>
            </a:ext>
          </a:extLst>
        </xdr:cNvPr>
        <xdr:cNvSpPr txBox="1"/>
      </xdr:nvSpPr>
      <xdr:spPr>
        <a:xfrm>
          <a:off x="14055988" y="2762122"/>
          <a:ext cx="484235"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15,23</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22" name="CuadroTexto 1">
          <a:extLst>
            <a:ext uri="{FF2B5EF4-FFF2-40B4-BE49-F238E27FC236}">
              <a16:creationId xmlns:a16="http://schemas.microsoft.com/office/drawing/2014/main" id="{00000000-0008-0000-0300-000016000000}"/>
            </a:ext>
          </a:extLst>
        </xdr:cNvPr>
        <xdr:cNvSpPr txBox="1"/>
      </xdr:nvSpPr>
      <xdr:spPr>
        <a:xfrm>
          <a:off x="14443705" y="2767983"/>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23" name="CuadroTexto 1">
          <a:extLst>
            <a:ext uri="{FF2B5EF4-FFF2-40B4-BE49-F238E27FC236}">
              <a16:creationId xmlns:a16="http://schemas.microsoft.com/office/drawing/2014/main" id="{00000000-0008-0000-0300-000017000000}"/>
            </a:ext>
          </a:extLst>
        </xdr:cNvPr>
        <xdr:cNvSpPr txBox="1"/>
      </xdr:nvSpPr>
      <xdr:spPr>
        <a:xfrm>
          <a:off x="15257448" y="2760657"/>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38,30</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31,39</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70,75</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628650</xdr:colOff>
          <xdr:row>0</xdr:row>
          <xdr:rowOff>0</xdr:rowOff>
        </xdr:from>
        <xdr:to>
          <xdr:col>4</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0,6%</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33,5%</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42,6%</a:t>
          </a:fld>
          <a:endParaRPr lang="es-ES" sz="1200" b="1" i="0" u="none" strike="noStrike">
            <a:solidFill>
              <a:schemeClr val="accent1"/>
            </a:solidFill>
            <a:latin typeface="Arial"/>
            <a:ea typeface="+mn-ea"/>
            <a:cs typeface="Arial"/>
          </a:endParaRPr>
        </a:p>
      </xdr:txBody>
    </xdr:sp>
    <xdr:clientData/>
  </xdr:twoCellAnchor>
  <xdr:oneCellAnchor>
    <xdr:from>
      <xdr:col>17</xdr:col>
      <xdr:colOff>215178</xdr:colOff>
      <xdr:row>16</xdr:row>
      <xdr:rowOff>16294</xdr:rowOff>
    </xdr:from>
    <xdr:ext cx="484235" cy="269369"/>
    <xdr:sp macro="" textlink="[1]curva_precios_tec_2024!$V$2">
      <xdr:nvSpPr>
        <xdr:cNvPr id="18" name="CuadroTexto 1">
          <a:extLst>
            <a:ext uri="{FF2B5EF4-FFF2-40B4-BE49-F238E27FC236}">
              <a16:creationId xmlns:a16="http://schemas.microsoft.com/office/drawing/2014/main" id="{00000000-0008-0000-0400-000012000000}"/>
            </a:ext>
          </a:extLst>
        </xdr:cNvPr>
        <xdr:cNvSpPr txBox="1"/>
      </xdr:nvSpPr>
      <xdr:spPr>
        <a:xfrm>
          <a:off x="13944316" y="2611035"/>
          <a:ext cx="484235"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15,23</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19" name="CuadroTexto 1">
          <a:extLst>
            <a:ext uri="{FF2B5EF4-FFF2-40B4-BE49-F238E27FC236}">
              <a16:creationId xmlns:a16="http://schemas.microsoft.com/office/drawing/2014/main" id="{00000000-0008-0000-0400-000013000000}"/>
            </a:ext>
          </a:extLst>
        </xdr:cNvPr>
        <xdr:cNvSpPr txBox="1"/>
      </xdr:nvSpPr>
      <xdr:spPr>
        <a:xfrm>
          <a:off x="14535671" y="261689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20" name="CuadroTexto 1">
          <a:extLst>
            <a:ext uri="{FF2B5EF4-FFF2-40B4-BE49-F238E27FC236}">
              <a16:creationId xmlns:a16="http://schemas.microsoft.com/office/drawing/2014/main" id="{00000000-0008-0000-0400-000014000000}"/>
            </a:ext>
          </a:extLst>
        </xdr:cNvPr>
        <xdr:cNvSpPr txBox="1"/>
      </xdr:nvSpPr>
      <xdr:spPr>
        <a:xfrm>
          <a:off x="15349413" y="260957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38,30</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31,39</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70,75</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14.432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0,6%</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33,5%</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42,6%</a:t>
          </a:fld>
          <a:endParaRPr lang="es-ES" sz="1200" b="1" i="0" u="none" strike="noStrike">
            <a:solidFill>
              <a:schemeClr val="accent1"/>
            </a:solidFill>
            <a:latin typeface="Arial"/>
            <a:ea typeface="+mn-ea"/>
            <a:cs typeface="Arial"/>
          </a:endParaRPr>
        </a:p>
      </xdr:txBody>
    </xdr:sp>
    <xdr:clientData/>
  </xdr:twoCellAnchor>
  <xdr:oneCellAnchor>
    <xdr:from>
      <xdr:col>17</xdr:col>
      <xdr:colOff>100269</xdr:colOff>
      <xdr:row>19</xdr:row>
      <xdr:rowOff>16293</xdr:rowOff>
    </xdr:from>
    <xdr:ext cx="569836" cy="269369"/>
    <xdr:sp macro="" textlink="[1]curva_precios_tec_2024!$V$2">
      <xdr:nvSpPr>
        <xdr:cNvPr id="18" name="CuadroTexto 1">
          <a:extLst>
            <a:ext uri="{FF2B5EF4-FFF2-40B4-BE49-F238E27FC236}">
              <a16:creationId xmlns:a16="http://schemas.microsoft.com/office/drawing/2014/main" id="{00000000-0008-0000-0500-000012000000}"/>
            </a:ext>
          </a:extLst>
        </xdr:cNvPr>
        <xdr:cNvSpPr txBox="1"/>
      </xdr:nvSpPr>
      <xdr:spPr>
        <a:xfrm>
          <a:off x="13237442" y="310825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15,23</a:t>
          </a:fld>
          <a:endParaRPr lang="es-ES" sz="1200" b="1" i="0" u="none" strike="noStrike">
            <a:solidFill>
              <a:schemeClr val="accent6"/>
            </a:solidFill>
            <a:latin typeface="Arial"/>
            <a:ea typeface="+mn-ea"/>
            <a:cs typeface="Arial"/>
          </a:endParaRPr>
        </a:p>
      </xdr:txBody>
    </xdr:sp>
    <xdr:clientData/>
  </xdr:oneCellAnchor>
  <xdr:oneCellAnchor>
    <xdr:from>
      <xdr:col>18</xdr:col>
      <xdr:colOff>54843</xdr:colOff>
      <xdr:row>19</xdr:row>
      <xdr:rowOff>22154</xdr:rowOff>
    </xdr:from>
    <xdr:ext cx="569835" cy="269369"/>
    <xdr:sp macro="" textlink="[1]curva_precios_tec_2024!$W$2">
      <xdr:nvSpPr>
        <xdr:cNvPr id="19" name="CuadroTexto 1">
          <a:extLst>
            <a:ext uri="{FF2B5EF4-FFF2-40B4-BE49-F238E27FC236}">
              <a16:creationId xmlns:a16="http://schemas.microsoft.com/office/drawing/2014/main" id="{00000000-0008-0000-0500-000013000000}"/>
            </a:ext>
          </a:extLst>
        </xdr:cNvPr>
        <xdr:cNvSpPr txBox="1"/>
      </xdr:nvSpPr>
      <xdr:spPr>
        <a:xfrm>
          <a:off x="13954016" y="3114116"/>
          <a:ext cx="569835"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18206</xdr:colOff>
      <xdr:row>19</xdr:row>
      <xdr:rowOff>14828</xdr:rowOff>
    </xdr:from>
    <xdr:ext cx="569836" cy="269369"/>
    <xdr:sp macro="" textlink="[1]curva_precios_tec_2024!$X$2">
      <xdr:nvSpPr>
        <xdr:cNvPr id="20" name="CuadroTexto 1">
          <a:extLst>
            <a:ext uri="{FF2B5EF4-FFF2-40B4-BE49-F238E27FC236}">
              <a16:creationId xmlns:a16="http://schemas.microsoft.com/office/drawing/2014/main" id="{00000000-0008-0000-0500-000014000000}"/>
            </a:ext>
          </a:extLst>
        </xdr:cNvPr>
        <xdr:cNvSpPr txBox="1"/>
      </xdr:nvSpPr>
      <xdr:spPr>
        <a:xfrm>
          <a:off x="14921168" y="310679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38,30</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31,39</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70,75</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14.432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31,39</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70,75</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14</xdr:col>
      <xdr:colOff>760326</xdr:colOff>
      <xdr:row>38</xdr:row>
      <xdr:rowOff>519</xdr:rowOff>
    </xdr:from>
    <xdr:to>
      <xdr:col>16</xdr:col>
      <xdr:colOff>571500</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4788" y="6015923"/>
          <a:ext cx="1152000" cy="1692000"/>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0,6%</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33,5%</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42,6%</a:t>
          </a:fld>
          <a:endParaRPr lang="es-ES" sz="1200" b="1" i="0" u="none" strike="noStrike">
            <a:solidFill>
              <a:schemeClr val="accent1"/>
            </a:solidFill>
            <a:latin typeface="Arial"/>
            <a:ea typeface="+mn-ea"/>
            <a:cs typeface="Arial"/>
          </a:endParaRPr>
        </a:p>
      </xdr:txBody>
    </xdr:sp>
    <xdr:clientData/>
  </xdr:twoCellAnchor>
  <xdr:oneCellAnchor>
    <xdr:from>
      <xdr:col>17</xdr:col>
      <xdr:colOff>158885</xdr:colOff>
      <xdr:row>14</xdr:row>
      <xdr:rowOff>118870</xdr:rowOff>
    </xdr:from>
    <xdr:ext cx="569836" cy="269369"/>
    <xdr:sp macro="" textlink="[1]curva_precios_tec_2024!$V$2">
      <xdr:nvSpPr>
        <xdr:cNvPr id="17" name="CuadroTexto 1">
          <a:extLst>
            <a:ext uri="{FF2B5EF4-FFF2-40B4-BE49-F238E27FC236}">
              <a16:creationId xmlns:a16="http://schemas.microsoft.com/office/drawing/2014/main" id="{00000000-0008-0000-0600-000011000000}"/>
            </a:ext>
          </a:extLst>
        </xdr:cNvPr>
        <xdr:cNvSpPr txBox="1"/>
      </xdr:nvSpPr>
      <xdr:spPr>
        <a:xfrm>
          <a:off x="13735673" y="244150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15,23</a:t>
          </a:fld>
          <a:endParaRPr lang="es-ES" sz="1200" b="1" i="0" u="none" strike="noStrike">
            <a:solidFill>
              <a:schemeClr val="accent6"/>
            </a:solidFill>
            <a:latin typeface="Arial"/>
            <a:ea typeface="+mn-ea"/>
            <a:cs typeface="Arial"/>
          </a:endParaRPr>
        </a:p>
      </xdr:txBody>
    </xdr:sp>
    <xdr:clientData/>
  </xdr:oneCellAnchor>
  <xdr:oneCellAnchor>
    <xdr:from>
      <xdr:col>18</xdr:col>
      <xdr:colOff>27858</xdr:colOff>
      <xdr:row>14</xdr:row>
      <xdr:rowOff>124731</xdr:rowOff>
    </xdr:from>
    <xdr:ext cx="655436" cy="269369"/>
    <xdr:sp macro="" textlink="[1]curva_precios_tec_2024!$W$2">
      <xdr:nvSpPr>
        <xdr:cNvPr id="18" name="CuadroTexto 1">
          <a:extLst>
            <a:ext uri="{FF2B5EF4-FFF2-40B4-BE49-F238E27FC236}">
              <a16:creationId xmlns:a16="http://schemas.microsoft.com/office/drawing/2014/main" id="{00000000-0008-0000-0600-000012000000}"/>
            </a:ext>
          </a:extLst>
        </xdr:cNvPr>
        <xdr:cNvSpPr txBox="1"/>
      </xdr:nvSpPr>
      <xdr:spPr>
        <a:xfrm>
          <a:off x="14366646" y="244736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76822</xdr:colOff>
      <xdr:row>14</xdr:row>
      <xdr:rowOff>117405</xdr:rowOff>
    </xdr:from>
    <xdr:ext cx="569836" cy="269369"/>
    <xdr:sp macro="" textlink="[1]curva_precios_tec_2024!$X$2">
      <xdr:nvSpPr>
        <xdr:cNvPr id="19" name="CuadroTexto 1">
          <a:extLst>
            <a:ext uri="{FF2B5EF4-FFF2-40B4-BE49-F238E27FC236}">
              <a16:creationId xmlns:a16="http://schemas.microsoft.com/office/drawing/2014/main" id="{00000000-0008-0000-0600-000013000000}"/>
            </a:ext>
          </a:extLst>
        </xdr:cNvPr>
        <xdr:cNvSpPr txBox="1"/>
      </xdr:nvSpPr>
      <xdr:spPr>
        <a:xfrm>
          <a:off x="15177610" y="244004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38,30</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31,39</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70,75</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14.432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31,39</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70,75</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39</xdr:row>
      <xdr:rowOff>0</xdr:rowOff>
    </xdr:from>
    <xdr:to>
      <xdr:col>16</xdr:col>
      <xdr:colOff>571500</xdr:colOff>
      <xdr:row>50</xdr:row>
      <xdr:rowOff>2</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6015404"/>
          <a:ext cx="1150326" cy="1692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38</xdr:row>
      <xdr:rowOff>153864</xdr:rowOff>
    </xdr:from>
    <xdr:to>
      <xdr:col>16</xdr:col>
      <xdr:colOff>571500</xdr:colOff>
      <xdr:row>50</xdr:row>
      <xdr:rowOff>0</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6015402"/>
          <a:ext cx="1150326" cy="169252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36636</xdr:colOff>
      <xdr:row>26</xdr:row>
      <xdr:rowOff>29308</xdr:rowOff>
    </xdr:from>
    <xdr:to>
      <xdr:col>19</xdr:col>
      <xdr:colOff>131886</xdr:colOff>
      <xdr:row>36</xdr:row>
      <xdr:rowOff>109904</xdr:rowOff>
    </xdr:to>
    <xdr:pic>
      <xdr:nvPicPr>
        <xdr:cNvPr id="50" name="Imagen 49">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13"/>
        <a:stretch>
          <a:fillRect/>
        </a:stretch>
      </xdr:blipFill>
      <xdr:spPr>
        <a:xfrm>
          <a:off x="13613424" y="4198327"/>
          <a:ext cx="1619250" cy="1619250"/>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31,44</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9</xdr:col>
      <xdr:colOff>438150</xdr:colOff>
      <xdr:row>0</xdr:row>
      <xdr:rowOff>133349</xdr:rowOff>
    </xdr:from>
    <xdr:to>
      <xdr:col>27</xdr:col>
      <xdr:colOff>476250</xdr:colOff>
      <xdr:row>92</xdr:row>
      <xdr:rowOff>123824</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266700</xdr:colOff>
      <xdr:row>92</xdr:row>
      <xdr:rowOff>57150</xdr:rowOff>
    </xdr:from>
    <xdr:to>
      <xdr:col>27</xdr:col>
      <xdr:colOff>442595</xdr:colOff>
      <xdr:row>104</xdr:row>
      <xdr:rowOff>23495</xdr:rowOff>
    </xdr:to>
    <xdr:sp macro="" textlink="">
      <xdr:nvSpPr>
        <xdr:cNvPr id="3" name="Cuadro de texto 1">
          <a:extLst>
            <a:ext uri="{FF2B5EF4-FFF2-40B4-BE49-F238E27FC236}">
              <a16:creationId xmlns:a16="http://schemas.microsoft.com/office/drawing/2014/main" id="{00000000-0008-0000-09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0.03858</cdr:x>
      <cdr:y>0.01982</cdr:y>
    </cdr:from>
    <cdr:to>
      <cdr:x>0.63131</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95300" y="171449"/>
          <a:ext cx="7610475" cy="542925"/>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A$97">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3 mejores resultados hasta el 27 de mayo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0.63526</cdr:x>
      <cdr:y>0.41361</cdr:y>
    </cdr:from>
    <cdr:to>
      <cdr:x>0.91287</cdr:x>
      <cdr:y>0.54101</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8156575" y="3860800"/>
          <a:ext cx="3564343" cy="1189239"/>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12.xml><?xml version="1.0" encoding="utf-8"?>
<xdr:wsDr xmlns:xdr="http://schemas.openxmlformats.org/drawingml/2006/spreadsheetDrawing" xmlns:a="http://schemas.openxmlformats.org/drawingml/2006/main">
  <xdr:twoCellAnchor>
    <xdr:from>
      <xdr:col>17</xdr:col>
      <xdr:colOff>552450</xdr:colOff>
      <xdr:row>64</xdr:row>
      <xdr:rowOff>9525</xdr:rowOff>
    </xdr:from>
    <xdr:to>
      <xdr:col>21</xdr:col>
      <xdr:colOff>450149</xdr:colOff>
      <xdr:row>67</xdr:row>
      <xdr:rowOff>95290</xdr:rowOff>
    </xdr:to>
    <xdr:sp macro="" textlink="">
      <xdr:nvSpPr>
        <xdr:cNvPr id="2" name="CuadroTexto 1">
          <a:extLst>
            <a:ext uri="{FF2B5EF4-FFF2-40B4-BE49-F238E27FC236}">
              <a16:creationId xmlns:a16="http://schemas.microsoft.com/office/drawing/2014/main" id="{00000000-0008-0000-0A00-000002000000}"/>
            </a:ext>
          </a:extLst>
        </xdr:cNvPr>
        <xdr:cNvSpPr txBox="1"/>
      </xdr:nvSpPr>
      <xdr:spPr>
        <a:xfrm>
          <a:off x="13249275" y="9763125"/>
          <a:ext cx="2945699" cy="542965"/>
        </a:xfrm>
        <a:prstGeom prst="rect">
          <a:avLst/>
        </a:prstGeom>
        <a:solidFill>
          <a:srgbClr val="FFFF00"/>
        </a:solidFill>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s-ES" sz="2000" b="1">
              <a:solidFill>
                <a:schemeClr val="tx1"/>
              </a:solidFill>
              <a:latin typeface="Arial Narrow" panose="020B0606020202030204" pitchFamily="34" charset="0"/>
            </a:rPr>
            <a:t>Mejor resultado</a:t>
          </a:r>
          <a:r>
            <a:rPr lang="es-ES" sz="2000" b="1" baseline="0">
              <a:solidFill>
                <a:schemeClr val="tx1"/>
              </a:solidFill>
              <a:latin typeface="Arial Narrow" panose="020B0606020202030204" pitchFamily="34" charset="0"/>
            </a:rPr>
            <a:t> del 1T2024</a:t>
          </a:r>
          <a:endParaRPr lang="es-ES" sz="2000" b="1">
            <a:solidFill>
              <a:schemeClr val="tx1"/>
            </a:solidFill>
            <a:latin typeface="Arial Narrow" panose="020B0606020202030204" pitchFamily="34" charset="0"/>
          </a:endParaRPr>
        </a:p>
      </xdr:txBody>
    </xdr:sp>
    <xdr:clientData/>
  </xdr:twoCellAnchor>
  <xdr:twoCellAnchor>
    <xdr:from>
      <xdr:col>10</xdr:col>
      <xdr:colOff>114300</xdr:colOff>
      <xdr:row>2</xdr:row>
      <xdr:rowOff>28575</xdr:rowOff>
    </xdr:from>
    <xdr:to>
      <xdr:col>26</xdr:col>
      <xdr:colOff>238125</xdr:colOff>
      <xdr:row>94</xdr:row>
      <xdr:rowOff>123825</xdr:rowOff>
    </xdr:to>
    <xdr:graphicFrame macro="">
      <xdr:nvGraphicFramePr>
        <xdr:cNvPr id="4" name="Gráfico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A$97">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3 mejores resultados hasta el 27 de mayo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
      <sheetName val="out"/>
      <sheetName val="ratios"/>
      <sheetName val="TEC_mes"/>
      <sheetName val="horas_TEC_dia"/>
      <sheetName val="datos"/>
      <sheetName val="Gráfico1"/>
      <sheetName val="omie_dinamic_dia"/>
      <sheetName val="curva_precios_tec"/>
      <sheetName val="curva_precios_tec_2024"/>
      <sheetName val="precios_tec_evol"/>
      <sheetName val="demanda"/>
      <sheetName val="om seg"/>
      <sheetName val="om prev"/>
      <sheetName val="omie_tec"/>
      <sheetName val="omie_dinamic_mes"/>
      <sheetName val="gas"/>
      <sheetName val="co2"/>
      <sheetName val="omie"/>
      <sheetName val="gen PBF"/>
      <sheetName val="gen PBF solar"/>
      <sheetName val="apunt_solar"/>
    </sheetNames>
    <sheetDataSet>
      <sheetData sheetId="0"/>
      <sheetData sheetId="1"/>
      <sheetData sheetId="2"/>
      <sheetData sheetId="3"/>
      <sheetData sheetId="4"/>
      <sheetData sheetId="5"/>
      <sheetData sheetId="7">
        <row r="2">
          <cell r="G2">
            <v>27</v>
          </cell>
        </row>
        <row r="9">
          <cell r="AE9">
            <v>1</v>
          </cell>
        </row>
        <row r="10">
          <cell r="W10" t="str">
            <v>flecha</v>
          </cell>
          <cell r="AE10">
            <v>1</v>
          </cell>
        </row>
        <row r="11">
          <cell r="W11" t="str">
            <v>inicio</v>
          </cell>
          <cell r="X11">
            <v>0</v>
          </cell>
          <cell r="Y11">
            <v>0</v>
          </cell>
          <cell r="AE11">
            <v>1</v>
          </cell>
        </row>
        <row r="12">
          <cell r="W12" t="str">
            <v>final</v>
          </cell>
          <cell r="X12">
            <v>0.50904141575037132</v>
          </cell>
          <cell r="Y12">
            <v>0.86074202700394364</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-0.9992894726405892</v>
          </cell>
          <cell r="AC21">
            <v>3.7690182669934541E-2</v>
          </cell>
        </row>
        <row r="37">
          <cell r="X37">
            <v>0</v>
          </cell>
          <cell r="Y37">
            <v>0</v>
          </cell>
        </row>
        <row r="38">
          <cell r="X38">
            <v>0.89384142415126377</v>
          </cell>
          <cell r="Y38">
            <v>0.44838321609003229</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3">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8"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2"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15"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17"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19"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3"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1"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6"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8"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0"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connectionId="8"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4"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1"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2"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1"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2"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31"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3"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27"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8"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29"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6"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30"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1" unboundColumnsRight="3">
    <queryTableFields count="9">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8" dataBound="0" tableColumnId="8"/>
      <queryTableField id="5" dataBound="0" tableColumnId="6"/>
      <queryTableField id="9" dataBound="0" tableColumnId="9"/>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2" unboundColumnsRight="3">
    <queryTableFields count="9">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0" dataBound="0" tableColumnId="11"/>
      <queryTableField id="5" dataBound="0" tableColumnId="6"/>
      <queryTableField id="6" dataBound="0"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1" connectionId="23"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187" tableType="queryTable" totalsRowShown="0">
  <autoFilter ref="A1:H187"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B77BD52A-69F0-42B1-BFF0-5E9D849AE112}" uniqueName="8" name="Nick (o nombre corto)" queryTableField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152"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124"/>
    <tableColumn id="3" xr3:uid="{3861983E-9572-444C-947C-E7D57298824B}" uniqueName="3" name="valor" queryTableFieldId="3" dataDxfId="12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122"/>
    <tableColumn id="4" xr3:uid="{0C82DB85-0579-4D6B-8D4B-97B2C42C2143}" uniqueName="4" name="valor" queryTableFieldId="4" dataDxfId="12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120"/>
    <tableColumn id="3" xr3:uid="{5803D351-2AA9-49F6-B78D-A534B1C937AC}" uniqueName="3" name="valor" queryTableField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autoFilter ref="M4:N34" xr:uid="{F605C43F-CABD-495C-AE67-27222BFE0F53}"/>
  <tableColumns count="2">
    <tableColumn id="3" xr3:uid="{4B7C16BC-1A11-41A4-BAFD-48611CAE3010}" uniqueName="3" name="fecha" queryTableFieldId="1" dataDxfId="119"/>
    <tableColumn id="2" xr3:uid="{DF3CB2F5-3FE0-469D-802E-73C3788B7999}" uniqueName="2" name="valor" queryTableFieldId="2" dataDxfId="11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1" tableType="queryTable" totalsRowShown="0" headerRowDxfId="117" dataDxfId="116">
  <autoFilter ref="P4:Q31" xr:uid="{4865481F-A047-4220-B9C7-0DB0926F563D}"/>
  <tableColumns count="2">
    <tableColumn id="3" xr3:uid="{958CB32F-1519-4445-A7B6-7A507919C51D}" uniqueName="3" name="fecha" queryTableFieldId="1" dataDxfId="8"/>
    <tableColumn id="2" xr3:uid="{2E071D30-423C-42F3-9B58-84AE7F983B6F}" uniqueName="2" name="valor" queryTableFieldId="2" dataDxfId="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115">
      <calculatedColumnFormula>apuestas_ene24[[#This Row],[Apuesta Miniporra]]-$B$3</calculatedColumnFormula>
    </tableColumn>
    <tableColumn id="8" xr3:uid="{5839308A-FF43-4FE6-994A-69FC2FBFD373}" uniqueName="8" name="desvio %" queryTableFieldId="8" dataDxfId="114"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113"/>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112"/>
    <tableColumn id="2" xr3:uid="{112BE060-2A41-4409-AC9E-4B10C5D827B0}" uniqueName="2" name="€/MWh" queryTableFieldId="2" dataDxfId="111"/>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110"/>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109">
      <calculatedColumnFormula>apuestas_feb24[[#This Row],[Apuesta Miniporra]]-$B$3</calculatedColumnFormula>
    </tableColumn>
    <tableColumn id="8" xr3:uid="{81DC3DE0-9675-4AB8-94EE-E87E41FFB9E2}" uniqueName="8" name="desvio %" queryTableFieldId="8" dataDxfId="108"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107"/>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106"/>
    <tableColumn id="2" xr3:uid="{63125885-0138-47A5-A14A-5B38B8782CBD}" uniqueName="2" name="€/MWh" queryTableFieldId="2" dataDxfId="105"/>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104"/>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103">
      <calculatedColumnFormula>apuestas_mar24[[#This Row],[Apuesta Miniporra]]-$B$3</calculatedColumnFormula>
    </tableColumn>
    <tableColumn id="8" xr3:uid="{EEC73F00-D21C-421E-9E94-1D3BF5D79A01}" uniqueName="8" name="desvio %" queryTableFieldId="7" dataDxfId="102"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101"/>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100"/>
    <tableColumn id="2" xr3:uid="{7DFE6567-AD6C-4D7F-9DE9-A9257B71CA31}" uniqueName="2" name="€/MWh" queryTableFieldId="2" dataDxfId="99"/>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98"/>
    <tableColumn id="2" xr3:uid="{63CC34E9-E87C-4C59-918A-26E8527564EE}" uniqueName="2" name="Nombre" queryTableFieldId="2" dataDxfId="97"/>
    <tableColumn id="3" xr3:uid="{D5309798-70CB-45EE-B7CE-DC81AAD9AF3E}" uniqueName="3" name="Apuesta Miniporra" queryTableFieldId="3" dataDxfId="96"/>
    <tableColumn id="4" xr3:uid="{6D244967-2AD4-4F80-AA3B-75E23E623EFF}" uniqueName="4" name="Comentario opcional sobre el mes (a ver si hay algún razonamiento, o pura potra!)" queryTableFieldId="4" dataDxfId="95"/>
    <tableColumn id="5" xr3:uid="{C7C1000D-440B-453E-A51D-A3D4A385C5DE}" uniqueName="5" name="Nick" queryTableFieldId="5" dataDxfId="94"/>
    <tableColumn id="7" xr3:uid="{DAE7AFD6-9B39-445C-950A-CA2CE06CADF7}" uniqueName="7" name="desvio" queryTableFieldId="6" dataDxfId="93">
      <calculatedColumnFormula>apuestas_abr24[[#This Row],[Apuesta Miniporra]]-$B$3</calculatedColumnFormula>
    </tableColumn>
    <tableColumn id="8" xr3:uid="{A30B4056-BA32-4443-9D36-347085E457DB}" uniqueName="8" name="desvio %" queryTableFieldId="7" dataDxfId="92" dataCellStyle="Porcentaje">
      <calculatedColumnFormula>ABS(apuestas_abr24[[#This Row],[desvio]])/$B$3</calculatedColumnFormula>
    </tableColumn>
    <tableColumn id="9" xr3:uid="{A5092CA8-C510-4F02-93C3-3191A125BC94}" uniqueName="9" name="orden" queryTableFieldId="8" dataDxfId="91">
      <calculatedColumnFormula>_xlfn.RANK.EQ(apuestas_abr24[[#This Row],[desvio %]],apuestas_abr24[desvio %],1)</calculatedColumnFormula>
    </tableColumn>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90"/>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89">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3" tableType="queryTable" totalsRowShown="0">
  <tableColumns count="2">
    <tableColumn id="3" xr3:uid="{A4AF5573-1542-4C9D-B4B4-D76A87986FC8}" uniqueName="3" name="dia" queryTableFieldId="1" dataDxfId="54"/>
    <tableColumn id="2" xr3:uid="{6221ADDE-CB24-4A6A-96BA-57541B44C061}" uniqueName="2" name="€/MWh" queryTableFieldId="2" dataDxfId="53"/>
  </tableColumns>
  <tableStyleInfo name="TableStyleMedium10"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88"/>
    <tableColumn id="2" xr3:uid="{B5F7B107-5DDF-4C32-8615-14256617EF80}" uniqueName="2" name="Nombre" queryTableFieldId="2" dataDxfId="87"/>
    <tableColumn id="3" xr3:uid="{9A9D4B3D-3CA1-488F-B979-8F3D3E7E0FA3}" uniqueName="3" name="Apuesta Miniporra" queryTableFieldId="3" dataDxfId="86"/>
    <tableColumn id="4" xr3:uid="{4C308168-16E2-4D1E-A900-60D706F4AFE9}" uniqueName="4" name="Comentario opcional sobre el mes (a ver si hay algún razonamiento, o pura potra!)" queryTableFieldId="4" dataDxfId="85"/>
    <tableColumn id="5" xr3:uid="{194CBFA1-FDCF-4266-AAB7-44FFFA28F384}" uniqueName="5" name="Nick" queryTableFieldId="5" dataDxfId="84"/>
    <tableColumn id="7" xr3:uid="{51F8B782-841B-4580-B595-E4DC3B0D5138}" uniqueName="7" name="desvio" queryTableFieldId="6" dataDxfId="83">
      <calculatedColumnFormula>apuestas_may24[[#This Row],[Apuesta Miniporra]]-$B$3</calculatedColumnFormula>
    </tableColumn>
    <tableColumn id="8" xr3:uid="{313F1E8F-57D2-4E48-BCD1-079F75DE6779}" uniqueName="8" name="desvio %" queryTableFieldId="7" dataDxfId="82" dataCellStyle="Porcentaje">
      <calculatedColumnFormula>ABS(apuestas_may24[[#This Row],[desvio]])/$B$3</calculatedColumnFormula>
    </tableColumn>
    <tableColumn id="9" xr3:uid="{777E69ED-5E6E-476B-8031-58AFB11670EF}" uniqueName="9" name="orden" queryTableFieldId="8" dataDxfId="81">
      <calculatedColumnFormula>_xlfn.RANK.EQ(apuestas_may24[[#This Row],[desvio %]],apuestas_may24[desvio %],1)</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52"/>
    <tableColumn id="2" xr3:uid="{B74B277F-3EA1-4B86-BA13-AB707542DEC3}" uniqueName="2" name="RE media" queryTableFieldId="2" dataDxfId="51"/>
    <tableColumn id="3" xr3:uid="{7AF76DDC-047D-4719-8689-D2F7BFC8F171}" uniqueName="3" name="TCC media" queryTableFieldId="3" dataDxfId="50"/>
    <tableColumn id="4" xr3:uid="{356021E6-447F-4237-9628-8EE14FDF0DF6}" uniqueName="4" name="HI media" queryTableFieldId="4" dataDxfId="49"/>
    <tableColumn id="5" xr3:uid="{722AEE7E-A90E-44DF-ADF8-F2B0FA8C07FC}" uniqueName="5" name="OMIE" queryTableFieldId="5" dataDxfId="48"/>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47"/>
    <tableColumn id="2" xr3:uid="{0D2884B0-F8E6-4046-960C-92B6BB12AD60}" uniqueName="2" name="Mibgas D+1" queryTableFieldId="2" dataDxfId="46"/>
    <tableColumn id="3" xr3:uid="{F403C042-6C6B-4265-9744-654D84EC9366}" uniqueName="3" name="Media mensual" queryTableFieldId="3" dataDxfId="45"/>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44"/>
    <tableColumn id="2" xr3:uid="{0AAC8E48-3106-45C5-BD15-5C2D7DCC0492}" uniqueName="2" name="€/Ton" queryTableFieldId="2" dataDxfId="43"/>
    <tableColumn id="3" xr3:uid="{663199BC-268D-4661-9652-DF21A4887E93}" uniqueName="3" name="Media mensual" queryTableFieldId="3" dataDxfId="4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41"/>
    <tableColumn id="2" xr3:uid="{86358F3D-5E83-44C8-96D1-7642D890E1CC}" uniqueName="2" name="Omie media mensual (€/MWh)" queryTableFieldId="2" dataDxfId="40"/>
    <tableColumn id="3" xr3:uid="{2965D49F-4277-4D41-BC17-2FFA3690E718}" uniqueName="3" name="Omie media diaria" queryTableFieldId="3" dataDxfId="39"/>
    <tableColumn id="4" xr3:uid="{8F682861-559E-4A0A-8B35-1534F8A5F69F}" uniqueName="4" name="% Horas RE" queryTableFieldId="4" dataDxfId="38"/>
    <tableColumn id="5" xr3:uid="{344D2180-B89F-4486-BC79-F47F0F44DADB}" uniqueName="5" name="Media RE" queryTableFieldId="5" dataDxfId="37"/>
    <tableColumn id="6" xr3:uid="{A36E75B8-8FD4-4C99-9725-6E3DA266953A}" uniqueName="6" name="% Horas TCC" queryTableFieldId="6" dataDxfId="36"/>
    <tableColumn id="7" xr3:uid="{43A6144B-7FD2-40F0-B6ED-D5E57CDFBAB3}" uniqueName="7" name="Media TCC" queryTableFieldId="7" dataDxfId="35"/>
    <tableColumn id="8" xr3:uid="{DA09BE26-A2F1-42A9-BA4D-7C9AE9DBD543}" uniqueName="8" name="% Horas HI" queryTableFieldId="8" dataDxfId="34"/>
    <tableColumn id="9" xr3:uid="{A91EC14A-FF51-4D62-91D0-937E724D6271}" uniqueName="9" name="Media HI" queryTableFieldId="9" dataDxfId="33"/>
    <tableColumn id="16" xr3:uid="{BF6E5F0C-B5E4-4FC0-A159-657DA0ABF921}" uniqueName="16" name="demanda GWh" queryTableFieldId="17" dataDxfId="32"/>
    <tableColumn id="1" xr3:uid="{B592C603-FE74-4AAC-A7C1-ECEAD3B3AE21}" uniqueName="1" name="Precio RE" queryTableFieldId="11" dataDxfId="31"/>
    <tableColumn id="11" xr3:uid="{C1508DD3-459F-4835-BBDF-8C2A8B2FDFE7}" uniqueName="11" name="Precio medio RE" queryTableFieldId="12" dataDxfId="30"/>
    <tableColumn id="12" xr3:uid="{9026679D-B662-4523-973E-EA357394609B}" uniqueName="12" name="Precio TCC" queryTableFieldId="13" dataDxfId="29"/>
    <tableColumn id="13" xr3:uid="{CC7FB6CB-EEDE-4ED3-9DA5-F327C6E5A005}" uniqueName="13" name="Precio medio TCC" queryTableFieldId="14" dataDxfId="28"/>
    <tableColumn id="14" xr3:uid="{A9F3EF14-38B3-40EF-99B0-680C34ED4F7C}" uniqueName="14" name="Precio HI" queryTableFieldId="15" dataDxfId="27"/>
    <tableColumn id="15" xr3:uid="{8AA8DD72-56CF-4570-AB9C-E4009ED6B6EF}" uniqueName="15" name="Precio medio HI" queryTableFieldId="16" dataDxfId="26"/>
    <tableColumn id="17" xr3:uid="{B2E69756-B019-4223-9637-3598684CE6DE}" uniqueName="17" name="demanda grafico" queryTableFieldId="19" dataDxfId="25">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80">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79">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78" dataCellStyle="Porcentaje"/>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77">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76"/>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75" dataCellStyle="Porcentaje"/>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74">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73" dataCellStyle="Porcentaje"/>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39:F82" tableType="queryTable" totalsRowShown="0">
  <autoFilter ref="A39:F82" xr:uid="{63607D55-E26F-4B5E-B092-0C7DDF8F47B4}"/>
  <sortState xmlns:xlrd2="http://schemas.microsoft.com/office/spreadsheetml/2017/richdata2" ref="A40:F82">
    <sortCondition ref="C39:C82"/>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72"/>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10"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I64" tableType="queryTable" totalsRowShown="0">
  <autoFilter ref="A1:I64" xr:uid="{99D01F56-7781-4CA0-B998-CED85D915683}">
    <filterColumn colId="6">
      <filters>
        <filter val="3"/>
        <filter val="4"/>
        <filter val="5"/>
      </filters>
    </filterColumn>
  </autoFilter>
  <sortState xmlns:xlrd2="http://schemas.microsoft.com/office/spreadsheetml/2017/richdata2" ref="A2:I64">
    <sortCondition ref="H1:H64"/>
  </sortState>
  <tableColumns count="9">
    <tableColumn id="5" xr3:uid="{D7A0D433-F982-4BB2-AE1F-A9386DB3D1D0}" uniqueName="5" name="Nombre " queryTableFieldId="1" dataDxfId="71"/>
    <tableColumn id="2" xr3:uid="{583BE58D-8152-40D3-BE00-AD7915726B0B}" uniqueName="2" name="Ene 2024" queryTableFieldId="2" dataDxfId="70"/>
    <tableColumn id="3" xr3:uid="{41CBAE96-76E5-4B9D-A5F6-77FDE00D2338}" uniqueName="3" name="Feb 2024" queryTableFieldId="3" dataDxfId="69"/>
    <tableColumn id="4" xr3:uid="{E538AD52-275E-4F9B-BA8A-EB2FCDED4E22}" uniqueName="4" name="Mar 2024" queryTableFieldId="4" dataDxfId="68"/>
    <tableColumn id="7" xr3:uid="{09C0F218-4378-4196-BFFD-09E25AA6D116}" uniqueName="7" name="Abr 2024" queryTableFieldId="7" dataDxfId="67"/>
    <tableColumn id="10" xr3:uid="{1A14C075-3AB5-4763-9E69-7B2B32063E39}" uniqueName="10" name="May 2024" queryTableFieldId="10" dataDxfId="66"/>
    <tableColumn id="8" xr3:uid="{CF39BE51-3759-4AF8-86DF-695E3E5DBE90}" uniqueName="8" name="contar" queryTableFieldId="8" dataDxfId="65">
      <calculatedColumnFormula>5- COUNTIF(acumulado_porcentaje[[#This Row],[Ene 2024]:[May 2024]],"")</calculatedColumnFormula>
    </tableColumn>
    <tableColumn id="6" xr3:uid="{F422233D-9EA7-4ED2-BEAE-280E8F52F342}" uniqueName="6" name="%_desvio" queryTableFieldId="5" dataDxfId="64" dataCellStyle="Porcentaje">
      <calculatedColumnFormula>IF(acumulado_porcentaje[[#This Row],[contar]]&gt;2,SUM(SMALL(acumulado_porcentaje[[#This Row],[Ene 2024]:[May 2024]],1),SMALL(acumulado_porcentaje[[#This Row],[Ene 2024]:[May 2024]],2),SMALL(acumulado_porcentaje[[#This Row],[Ene 2024]:[May 2024]],3)),"#N/A")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I64" tableType="queryTable" totalsRowShown="0">
  <autoFilter ref="A1:I64" xr:uid="{B838869A-1230-415F-BD15-2C39570C416F}">
    <filterColumn colId="6">
      <filters>
        <filter val="3"/>
        <filter val="4"/>
        <filter val="5"/>
      </filters>
    </filterColumn>
  </autoFilter>
  <sortState xmlns:xlrd2="http://schemas.microsoft.com/office/spreadsheetml/2017/richdata2" ref="A2:I64">
    <sortCondition ref="H1:H64"/>
  </sortState>
  <tableColumns count="9">
    <tableColumn id="5" xr3:uid="{E5AB4977-2336-4DD1-8375-20FB68CD8070}" uniqueName="5" name="Nombre " queryTableFieldId="1" dataDxfId="63"/>
    <tableColumn id="2" xr3:uid="{273CF2E4-AA71-4A38-8B09-B8C4341C8BDA}" uniqueName="2" name="Ene 2024" queryTableFieldId="2" dataDxfId="6"/>
    <tableColumn id="3" xr3:uid="{10CBB1D1-D219-4B55-BDE4-8EBED44AAD0D}" uniqueName="3" name="Feb 2024" queryTableFieldId="3" dataDxfId="5"/>
    <tableColumn id="4" xr3:uid="{E635CB03-C1F9-4F40-971A-E2B6D93952B0}" uniqueName="4" name="Mar 2024" queryTableFieldId="4" dataDxfId="4"/>
    <tableColumn id="7" xr3:uid="{C792BDFC-C6BD-4506-95F2-264CB023586B}" uniqueName="7" name="Abr 2024" queryTableFieldId="7" dataDxfId="3"/>
    <tableColumn id="8" xr3:uid="{076F50CE-D8CB-4583-BF97-B98AF7B51650}" uniqueName="8" name="May 2024" queryTableFieldId="11"/>
    <tableColumn id="11" xr3:uid="{D61730BA-7F95-4BFA-B76C-7E30D023B6F2}" uniqueName="11" name="contar" queryTableFieldId="10" dataDxfId="2">
      <calculatedColumnFormula>5- COUNTIF(acumulado_absoluto[[#This Row],[Ene 2024]:[May 2024]],"")</calculatedColumnFormula>
    </tableColumn>
    <tableColumn id="6" xr3:uid="{650181F5-E014-4486-A01F-0C1AF56FBFCD}" uniqueName="6" name="min" queryTableFieldId="5" dataDxfId="1">
      <calculatedColumnFormula>IF(acumulado_absoluto[[#This Row],[contar]]&gt;2,SUM(SMALL(acumulado_absoluto[[#This Row],[Ene 2024]:[May 2024]],1),SMALL(acumulado_absoluto[[#This Row],[Ene 2024]:[May 2024]],2)),"#N/A")</calculatedColumnFormula>
    </tableColumn>
    <tableColumn id="1" xr3:uid="{8F5B7473-D9D6-4278-BE59-B9B9E489DA88}" uniqueName="1" name="min2" queryTableFieldId="6" dataDxfId="0">
      <calculatedColumnFormula>acumulado_absoluto[[#This Row],[min]]</calculatedColumnFormula>
    </tableColumn>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62"/>
    <tableColumn id="2" xr3:uid="{DA5AD0F9-3C4A-4B14-A66A-EBE608E14AA8}" uniqueName="2" name="Ene 2024" queryTableFieldId="2" dataDxfId="61"/>
    <tableColumn id="3" xr3:uid="{B787E4BE-874B-4009-BA0D-80194F8C68DE}" uniqueName="3" name="Feb 2024" queryTableFieldId="3" dataDxfId="60"/>
    <tableColumn id="4" xr3:uid="{A7428946-38B4-4AB4-9D18-6C838A9D5D0A}" uniqueName="4" name="Mar 2024" queryTableFieldId="4" dataDxfId="59"/>
    <tableColumn id="7" xr3:uid="{5EB3169B-8C9C-4FEA-A8EE-C2B6CA065642}" uniqueName="7" name="Abr 2024" queryTableFieldId="6"/>
    <tableColumn id="6" xr3:uid="{7F64FAE5-E722-4B80-ADFA-5A66E4A2C6B0}" uniqueName="6" name="porras" queryTableFieldId="5" dataDxfId="58">
      <calculatedColumnFormula>COUNTA(acumulado_porcentaje_SIN_MAYO[[#This Row],[Ene 2024]:[Abr 2024]])</calculatedColumnFormula>
    </tableColumn>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67" tableType="queryTable" totalsRowShown="0">
  <autoFilter ref="A1:C67" xr:uid="{BEFB6CA3-7FEF-4445-A951-D80FD188F387}"/>
  <tableColumns count="3">
    <tableColumn id="4" xr3:uid="{C17A4293-7835-4681-A02B-6A7DA0D49887}" uniqueName="4" name="Nombre" queryTableFieldId="1" dataDxfId="57"/>
    <tableColumn id="2" xr3:uid="{14F77757-EE54-4FB2-9C68-4DD49DBC430F}" uniqueName="2" name="Apellidos" queryTableFieldId="2" dataDxfId="56"/>
    <tableColumn id="3" xr3:uid="{363B3867-DD54-4836-9944-787B922003EA}" uniqueName="3" name="Nick (o nombre corto)" queryTableFieldId="3" dataDxfId="55"/>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ctrlProp" Target="../ctrlProps/ctrlProp6.xml"/><Relationship Id="rId7" Type="http://schemas.openxmlformats.org/officeDocument/2006/relationships/table" Target="../tables/table15.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ctrlProp" Target="../ctrlProps/ctrlProp9.xml"/><Relationship Id="rId7"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19.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13.xml"/><Relationship Id="rId7" Type="http://schemas.openxmlformats.org/officeDocument/2006/relationships/table" Target="../tables/table20.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table" Target="../tables/table24.xml"/><Relationship Id="rId1" Type="http://schemas.openxmlformats.org/officeDocument/2006/relationships/table" Target="../tables/table23.xml"/><Relationship Id="rId4" Type="http://schemas.openxmlformats.org/officeDocument/2006/relationships/table" Target="../tables/table2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table" Target="../tables/table28.xml"/><Relationship Id="rId1" Type="http://schemas.openxmlformats.org/officeDocument/2006/relationships/table" Target="../tables/table27.xml"/><Relationship Id="rId5" Type="http://schemas.openxmlformats.org/officeDocument/2006/relationships/table" Target="../tables/table31.xml"/><Relationship Id="rId4" Type="http://schemas.openxmlformats.org/officeDocument/2006/relationships/table" Target="../tables/table30.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187"/>
  <sheetViews>
    <sheetView topLeftCell="A118" workbookViewId="0">
      <selection activeCell="C121" sqref="C121"/>
    </sheetView>
  </sheetViews>
  <sheetFormatPr baseColWidth="10" defaultRowHeight="12" x14ac:dyDescent="0.2"/>
  <cols>
    <col min="1" max="1" width="16" bestFit="1" customWidth="1"/>
    <col min="2" max="2" width="14.140625" bestFit="1" customWidth="1"/>
    <col min="3" max="3" width="18.710937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81.140625" bestFit="1" customWidth="1"/>
    <col min="10" max="10" width="20.85546875" bestFit="1" customWidth="1"/>
  </cols>
  <sheetData>
    <row r="1" spans="1:8" x14ac:dyDescent="0.2">
      <c r="A1" t="s">
        <v>16</v>
      </c>
      <c r="B1" t="s">
        <v>233</v>
      </c>
      <c r="C1" t="s">
        <v>485</v>
      </c>
      <c r="D1" t="s">
        <v>17</v>
      </c>
      <c r="E1" t="s">
        <v>18</v>
      </c>
      <c r="F1" t="s">
        <v>19</v>
      </c>
      <c r="G1" t="s">
        <v>20</v>
      </c>
      <c r="H1" t="s">
        <v>21</v>
      </c>
    </row>
    <row r="2" spans="1:8" x14ac:dyDescent="0.2">
      <c r="A2" s="20">
        <v>45413.819594907407</v>
      </c>
      <c r="B2" t="s">
        <v>342</v>
      </c>
      <c r="C2" t="s">
        <v>211</v>
      </c>
      <c r="D2" t="s">
        <v>118</v>
      </c>
      <c r="E2" t="s">
        <v>565</v>
      </c>
      <c r="F2" t="s">
        <v>668</v>
      </c>
      <c r="G2" t="s">
        <v>118</v>
      </c>
      <c r="H2" t="s">
        <v>213</v>
      </c>
    </row>
    <row r="3" spans="1:8" x14ac:dyDescent="0.2">
      <c r="A3" s="20">
        <v>45412.670046296298</v>
      </c>
      <c r="B3" t="s">
        <v>145</v>
      </c>
      <c r="C3" t="s">
        <v>380</v>
      </c>
      <c r="D3" t="s">
        <v>118</v>
      </c>
      <c r="E3" t="s">
        <v>565</v>
      </c>
      <c r="F3" t="s">
        <v>422</v>
      </c>
      <c r="G3" t="s">
        <v>661</v>
      </c>
      <c r="H3" t="s">
        <v>145</v>
      </c>
    </row>
    <row r="4" spans="1:8" x14ac:dyDescent="0.2">
      <c r="A4" s="20">
        <v>45412.104548611111</v>
      </c>
      <c r="B4" t="s">
        <v>28</v>
      </c>
      <c r="C4" t="s">
        <v>323</v>
      </c>
      <c r="D4" t="s">
        <v>118</v>
      </c>
      <c r="E4" t="s">
        <v>565</v>
      </c>
      <c r="F4" t="s">
        <v>665</v>
      </c>
      <c r="G4" t="s">
        <v>662</v>
      </c>
      <c r="H4" t="s">
        <v>2</v>
      </c>
    </row>
    <row r="5" spans="1:8" x14ac:dyDescent="0.2">
      <c r="A5" s="20">
        <v>45412.006655092591</v>
      </c>
      <c r="B5" t="s">
        <v>124</v>
      </c>
      <c r="C5" t="s">
        <v>166</v>
      </c>
      <c r="D5" t="s">
        <v>118</v>
      </c>
      <c r="E5" t="s">
        <v>565</v>
      </c>
      <c r="F5" t="s">
        <v>663</v>
      </c>
      <c r="G5" t="s">
        <v>118</v>
      </c>
      <c r="H5" t="s">
        <v>124</v>
      </c>
    </row>
    <row r="6" spans="1:8" x14ac:dyDescent="0.2">
      <c r="A6" s="20">
        <v>45411.880879629629</v>
      </c>
      <c r="B6" t="s">
        <v>28</v>
      </c>
      <c r="C6" t="s">
        <v>441</v>
      </c>
      <c r="D6" t="s">
        <v>118</v>
      </c>
      <c r="E6" t="s">
        <v>565</v>
      </c>
      <c r="F6" t="s">
        <v>574</v>
      </c>
      <c r="G6" t="s">
        <v>575</v>
      </c>
      <c r="H6" t="s">
        <v>535</v>
      </c>
    </row>
    <row r="7" spans="1:8" x14ac:dyDescent="0.2">
      <c r="A7" s="20">
        <v>45411.801793981482</v>
      </c>
      <c r="B7" t="s">
        <v>525</v>
      </c>
      <c r="C7" t="s">
        <v>526</v>
      </c>
      <c r="D7" t="s">
        <v>118</v>
      </c>
      <c r="E7" t="s">
        <v>565</v>
      </c>
      <c r="F7" t="s">
        <v>465</v>
      </c>
      <c r="G7" t="s">
        <v>576</v>
      </c>
      <c r="H7" t="s">
        <v>525</v>
      </c>
    </row>
    <row r="8" spans="1:8" x14ac:dyDescent="0.2">
      <c r="A8" s="20">
        <v>45411.658067129632</v>
      </c>
      <c r="B8" t="s">
        <v>135</v>
      </c>
      <c r="C8" t="s">
        <v>389</v>
      </c>
      <c r="D8" t="s">
        <v>118</v>
      </c>
      <c r="E8" t="s">
        <v>565</v>
      </c>
      <c r="F8" t="s">
        <v>577</v>
      </c>
      <c r="G8" t="s">
        <v>578</v>
      </c>
      <c r="H8" t="s">
        <v>456</v>
      </c>
    </row>
    <row r="9" spans="1:8" x14ac:dyDescent="0.2">
      <c r="A9" s="20">
        <v>45411.593726851854</v>
      </c>
      <c r="B9" t="s">
        <v>579</v>
      </c>
      <c r="C9" t="s">
        <v>580</v>
      </c>
      <c r="D9" t="s">
        <v>118</v>
      </c>
      <c r="E9" t="s">
        <v>565</v>
      </c>
      <c r="F9" t="s">
        <v>581</v>
      </c>
      <c r="G9" t="s">
        <v>582</v>
      </c>
      <c r="H9" t="s">
        <v>583</v>
      </c>
    </row>
    <row r="10" spans="1:8" x14ac:dyDescent="0.2">
      <c r="A10" s="20">
        <v>45411.494826388887</v>
      </c>
      <c r="B10" t="s">
        <v>305</v>
      </c>
      <c r="C10" t="s">
        <v>306</v>
      </c>
      <c r="D10" t="s">
        <v>118</v>
      </c>
      <c r="E10" t="s">
        <v>565</v>
      </c>
      <c r="F10" t="s">
        <v>584</v>
      </c>
      <c r="G10" t="s">
        <v>585</v>
      </c>
      <c r="H10" t="s">
        <v>309</v>
      </c>
    </row>
    <row r="11" spans="1:8" x14ac:dyDescent="0.2">
      <c r="A11" s="20">
        <v>45411.448599537034</v>
      </c>
      <c r="B11" t="s">
        <v>72</v>
      </c>
      <c r="C11" t="s">
        <v>124</v>
      </c>
      <c r="D11" t="s">
        <v>118</v>
      </c>
      <c r="E11" t="s">
        <v>565</v>
      </c>
      <c r="F11" t="s">
        <v>586</v>
      </c>
      <c r="G11" t="s">
        <v>587</v>
      </c>
      <c r="H11" t="s">
        <v>542</v>
      </c>
    </row>
    <row r="12" spans="1:8" x14ac:dyDescent="0.2">
      <c r="A12" s="20">
        <v>45411.402326388888</v>
      </c>
      <c r="B12" t="s">
        <v>298</v>
      </c>
      <c r="C12" t="s">
        <v>386</v>
      </c>
      <c r="D12" t="s">
        <v>118</v>
      </c>
      <c r="E12" t="s">
        <v>565</v>
      </c>
      <c r="F12" t="s">
        <v>588</v>
      </c>
      <c r="G12" t="s">
        <v>118</v>
      </c>
      <c r="H12" t="s">
        <v>467</v>
      </c>
    </row>
    <row r="13" spans="1:8" x14ac:dyDescent="0.2">
      <c r="A13" s="20">
        <v>45411.400370370371</v>
      </c>
      <c r="B13" t="s">
        <v>175</v>
      </c>
      <c r="C13" t="s">
        <v>23</v>
      </c>
      <c r="D13" t="s">
        <v>118</v>
      </c>
      <c r="E13" t="s">
        <v>565</v>
      </c>
      <c r="F13" t="s">
        <v>589</v>
      </c>
      <c r="G13" t="s">
        <v>590</v>
      </c>
      <c r="H13" t="s">
        <v>178</v>
      </c>
    </row>
    <row r="14" spans="1:8" x14ac:dyDescent="0.2">
      <c r="A14" s="20">
        <v>45411.34547453704</v>
      </c>
      <c r="B14" t="s">
        <v>204</v>
      </c>
      <c r="C14" t="s">
        <v>378</v>
      </c>
      <c r="D14" t="s">
        <v>118</v>
      </c>
      <c r="E14" t="s">
        <v>565</v>
      </c>
      <c r="F14" t="s">
        <v>591</v>
      </c>
      <c r="G14" t="s">
        <v>592</v>
      </c>
      <c r="H14" t="s">
        <v>37</v>
      </c>
    </row>
    <row r="15" spans="1:8" x14ac:dyDescent="0.2">
      <c r="A15" s="20">
        <v>45410.599421296298</v>
      </c>
      <c r="B15" t="s">
        <v>115</v>
      </c>
      <c r="C15" t="s">
        <v>391</v>
      </c>
      <c r="D15" t="s">
        <v>118</v>
      </c>
      <c r="E15" t="s">
        <v>565</v>
      </c>
      <c r="F15" t="s">
        <v>593</v>
      </c>
      <c r="G15" t="s">
        <v>118</v>
      </c>
      <c r="H15" t="s">
        <v>194</v>
      </c>
    </row>
    <row r="16" spans="1:8" x14ac:dyDescent="0.2">
      <c r="A16" s="20">
        <v>45410.509571759256</v>
      </c>
      <c r="B16" t="s">
        <v>200</v>
      </c>
      <c r="C16" t="s">
        <v>201</v>
      </c>
      <c r="D16" t="s">
        <v>118</v>
      </c>
      <c r="E16" t="s">
        <v>565</v>
      </c>
      <c r="F16" t="s">
        <v>594</v>
      </c>
      <c r="G16" t="s">
        <v>118</v>
      </c>
      <c r="H16" t="s">
        <v>595</v>
      </c>
    </row>
    <row r="17" spans="1:8" x14ac:dyDescent="0.2">
      <c r="A17" s="20">
        <v>45410.506620370368</v>
      </c>
      <c r="B17" t="s">
        <v>76</v>
      </c>
      <c r="C17" t="s">
        <v>77</v>
      </c>
      <c r="D17" t="s">
        <v>118</v>
      </c>
      <c r="E17" t="s">
        <v>565</v>
      </c>
      <c r="F17" t="s">
        <v>596</v>
      </c>
      <c r="G17" t="s">
        <v>597</v>
      </c>
      <c r="H17" t="s">
        <v>76</v>
      </c>
    </row>
    <row r="18" spans="1:8" x14ac:dyDescent="0.2">
      <c r="A18" s="20">
        <v>45409.480254629627</v>
      </c>
      <c r="B18" t="s">
        <v>598</v>
      </c>
      <c r="C18" t="s">
        <v>599</v>
      </c>
      <c r="D18" t="s">
        <v>118</v>
      </c>
      <c r="E18" t="s">
        <v>565</v>
      </c>
      <c r="F18" t="s">
        <v>600</v>
      </c>
      <c r="G18" t="s">
        <v>118</v>
      </c>
      <c r="H18" t="s">
        <v>601</v>
      </c>
    </row>
    <row r="19" spans="1:8" x14ac:dyDescent="0.2">
      <c r="A19" s="20">
        <v>45409.40861111111</v>
      </c>
      <c r="B19" t="s">
        <v>28</v>
      </c>
      <c r="C19" t="s">
        <v>390</v>
      </c>
      <c r="D19" t="s">
        <v>118</v>
      </c>
      <c r="E19" t="s">
        <v>565</v>
      </c>
      <c r="F19" t="s">
        <v>602</v>
      </c>
      <c r="G19" t="s">
        <v>118</v>
      </c>
      <c r="H19" t="s">
        <v>242</v>
      </c>
    </row>
    <row r="20" spans="1:8" x14ac:dyDescent="0.2">
      <c r="A20" s="20">
        <v>45408.033993055556</v>
      </c>
      <c r="B20" t="s">
        <v>603</v>
      </c>
      <c r="C20" t="s">
        <v>604</v>
      </c>
      <c r="D20" t="s">
        <v>118</v>
      </c>
      <c r="E20" t="s">
        <v>565</v>
      </c>
      <c r="F20" t="s">
        <v>605</v>
      </c>
      <c r="G20" t="s">
        <v>118</v>
      </c>
      <c r="H20" t="s">
        <v>603</v>
      </c>
    </row>
    <row r="21" spans="1:8" x14ac:dyDescent="0.2">
      <c r="A21" s="20">
        <v>45407.698101851849</v>
      </c>
      <c r="B21" t="s">
        <v>383</v>
      </c>
      <c r="C21" t="s">
        <v>326</v>
      </c>
      <c r="D21" t="s">
        <v>118</v>
      </c>
      <c r="E21" t="s">
        <v>565</v>
      </c>
      <c r="F21" t="s">
        <v>606</v>
      </c>
      <c r="G21" t="s">
        <v>118</v>
      </c>
      <c r="H21" t="s">
        <v>328</v>
      </c>
    </row>
    <row r="22" spans="1:8" x14ac:dyDescent="0.2">
      <c r="A22" s="20">
        <v>45407.691041666665</v>
      </c>
      <c r="B22" t="s">
        <v>112</v>
      </c>
      <c r="C22" t="s">
        <v>395</v>
      </c>
      <c r="D22" t="s">
        <v>118</v>
      </c>
      <c r="E22" t="s">
        <v>565</v>
      </c>
      <c r="F22" t="s">
        <v>607</v>
      </c>
      <c r="G22" t="s">
        <v>608</v>
      </c>
      <c r="H22" t="s">
        <v>112</v>
      </c>
    </row>
    <row r="23" spans="1:8" x14ac:dyDescent="0.2">
      <c r="A23" s="20">
        <v>45407.675312500003</v>
      </c>
      <c r="B23" t="s">
        <v>609</v>
      </c>
      <c r="C23" t="s">
        <v>610</v>
      </c>
      <c r="D23" t="s">
        <v>118</v>
      </c>
      <c r="E23" t="s">
        <v>565</v>
      </c>
      <c r="F23" t="s">
        <v>611</v>
      </c>
      <c r="G23" t="s">
        <v>118</v>
      </c>
      <c r="H23" t="s">
        <v>612</v>
      </c>
    </row>
    <row r="24" spans="1:8" x14ac:dyDescent="0.2">
      <c r="A24" s="20">
        <v>45407.649259259262</v>
      </c>
      <c r="B24" t="s">
        <v>385</v>
      </c>
      <c r="C24" t="s">
        <v>379</v>
      </c>
      <c r="D24" t="s">
        <v>118</v>
      </c>
      <c r="E24" t="s">
        <v>565</v>
      </c>
      <c r="F24" t="s">
        <v>613</v>
      </c>
      <c r="G24" t="s">
        <v>614</v>
      </c>
      <c r="H24" t="s">
        <v>615</v>
      </c>
    </row>
    <row r="25" spans="1:8" x14ac:dyDescent="0.2">
      <c r="A25" s="20">
        <v>45407.607916666668</v>
      </c>
      <c r="B25" t="s">
        <v>130</v>
      </c>
      <c r="C25" t="s">
        <v>86</v>
      </c>
      <c r="D25" t="s">
        <v>118</v>
      </c>
      <c r="E25" t="s">
        <v>565</v>
      </c>
      <c r="F25" t="s">
        <v>616</v>
      </c>
      <c r="G25" t="s">
        <v>617</v>
      </c>
      <c r="H25" t="s">
        <v>462</v>
      </c>
    </row>
    <row r="26" spans="1:8" x14ac:dyDescent="0.2">
      <c r="A26" s="20">
        <v>45407.460613425923</v>
      </c>
      <c r="B26" t="s">
        <v>72</v>
      </c>
      <c r="C26" t="s">
        <v>618</v>
      </c>
      <c r="D26" t="s">
        <v>118</v>
      </c>
      <c r="E26" t="s">
        <v>565</v>
      </c>
      <c r="F26" t="s">
        <v>619</v>
      </c>
      <c r="G26" t="s">
        <v>620</v>
      </c>
      <c r="H26" t="s">
        <v>621</v>
      </c>
    </row>
    <row r="27" spans="1:8" x14ac:dyDescent="0.2">
      <c r="A27" s="20">
        <v>45407.428831018522</v>
      </c>
      <c r="B27" t="s">
        <v>382</v>
      </c>
      <c r="C27" t="s">
        <v>182</v>
      </c>
      <c r="D27" t="s">
        <v>118</v>
      </c>
      <c r="E27" t="s">
        <v>565</v>
      </c>
      <c r="F27" t="s">
        <v>622</v>
      </c>
      <c r="G27" t="s">
        <v>118</v>
      </c>
      <c r="H27" t="s">
        <v>623</v>
      </c>
    </row>
    <row r="28" spans="1:8" x14ac:dyDescent="0.2">
      <c r="A28" s="20">
        <v>45407.398020833331</v>
      </c>
      <c r="B28" t="s">
        <v>138</v>
      </c>
      <c r="C28" t="s">
        <v>139</v>
      </c>
      <c r="D28" t="s">
        <v>118</v>
      </c>
      <c r="E28" t="s">
        <v>565</v>
      </c>
      <c r="F28" t="s">
        <v>624</v>
      </c>
      <c r="G28" t="s">
        <v>625</v>
      </c>
      <c r="H28" t="s">
        <v>451</v>
      </c>
    </row>
    <row r="29" spans="1:8" x14ac:dyDescent="0.2">
      <c r="A29" s="20">
        <v>45407.333564814813</v>
      </c>
      <c r="B29" t="s">
        <v>384</v>
      </c>
      <c r="C29" t="s">
        <v>315</v>
      </c>
      <c r="D29" t="s">
        <v>118</v>
      </c>
      <c r="E29" t="s">
        <v>565</v>
      </c>
      <c r="F29" t="s">
        <v>549</v>
      </c>
      <c r="G29" t="s">
        <v>118</v>
      </c>
      <c r="H29" t="s">
        <v>317</v>
      </c>
    </row>
    <row r="30" spans="1:8" x14ac:dyDescent="0.2">
      <c r="A30" s="20">
        <v>45406.956793981481</v>
      </c>
      <c r="B30" t="s">
        <v>626</v>
      </c>
      <c r="C30" t="s">
        <v>627</v>
      </c>
      <c r="D30" t="s">
        <v>118</v>
      </c>
      <c r="E30" t="s">
        <v>565</v>
      </c>
      <c r="F30" t="s">
        <v>439</v>
      </c>
      <c r="G30" t="s">
        <v>628</v>
      </c>
      <c r="H30" t="s">
        <v>629</v>
      </c>
    </row>
    <row r="31" spans="1:8" x14ac:dyDescent="0.2">
      <c r="A31" s="20">
        <v>45406.920335648145</v>
      </c>
      <c r="B31" t="s">
        <v>630</v>
      </c>
      <c r="C31" t="s">
        <v>631</v>
      </c>
      <c r="D31" t="s">
        <v>118</v>
      </c>
      <c r="E31" t="s">
        <v>565</v>
      </c>
      <c r="F31" t="s">
        <v>419</v>
      </c>
      <c r="G31" t="s">
        <v>118</v>
      </c>
      <c r="H31" t="s">
        <v>630</v>
      </c>
    </row>
    <row r="32" spans="1:8" x14ac:dyDescent="0.2">
      <c r="A32" s="20">
        <v>45406.907986111109</v>
      </c>
      <c r="B32" t="s">
        <v>357</v>
      </c>
      <c r="C32" t="s">
        <v>358</v>
      </c>
      <c r="D32" t="s">
        <v>118</v>
      </c>
      <c r="E32" t="s">
        <v>565</v>
      </c>
      <c r="F32" t="s">
        <v>632</v>
      </c>
      <c r="G32" t="s">
        <v>118</v>
      </c>
      <c r="H32" t="s">
        <v>361</v>
      </c>
    </row>
    <row r="33" spans="1:8" x14ac:dyDescent="0.2">
      <c r="A33" s="20">
        <v>45406.907708333332</v>
      </c>
      <c r="B33" t="s">
        <v>204</v>
      </c>
      <c r="C33" t="s">
        <v>515</v>
      </c>
      <c r="D33" t="s">
        <v>118</v>
      </c>
      <c r="E33" t="s">
        <v>565</v>
      </c>
      <c r="F33" t="s">
        <v>633</v>
      </c>
      <c r="G33" t="s">
        <v>634</v>
      </c>
      <c r="H33" t="s">
        <v>351</v>
      </c>
    </row>
    <row r="34" spans="1:8" x14ac:dyDescent="0.2">
      <c r="A34" s="20">
        <v>45406.90525462963</v>
      </c>
      <c r="B34" t="s">
        <v>160</v>
      </c>
      <c r="C34" t="s">
        <v>635</v>
      </c>
      <c r="D34" t="s">
        <v>118</v>
      </c>
      <c r="E34" t="s">
        <v>565</v>
      </c>
      <c r="F34" t="s">
        <v>636</v>
      </c>
      <c r="G34" t="s">
        <v>637</v>
      </c>
      <c r="H34" t="s">
        <v>638</v>
      </c>
    </row>
    <row r="35" spans="1:8" x14ac:dyDescent="0.2">
      <c r="A35" s="20">
        <v>45406.860115740739</v>
      </c>
      <c r="B35" t="s">
        <v>103</v>
      </c>
      <c r="C35" t="s">
        <v>104</v>
      </c>
      <c r="D35" t="s">
        <v>118</v>
      </c>
      <c r="E35" t="s">
        <v>565</v>
      </c>
      <c r="F35" t="s">
        <v>639</v>
      </c>
      <c r="G35" t="s">
        <v>118</v>
      </c>
      <c r="H35" t="s">
        <v>103</v>
      </c>
    </row>
    <row r="36" spans="1:8" x14ac:dyDescent="0.2">
      <c r="A36" s="20">
        <v>45406.8281712963</v>
      </c>
      <c r="B36" t="s">
        <v>160</v>
      </c>
      <c r="C36" t="s">
        <v>640</v>
      </c>
      <c r="D36" t="s">
        <v>118</v>
      </c>
      <c r="E36" t="s">
        <v>565</v>
      </c>
      <c r="F36" t="s">
        <v>641</v>
      </c>
      <c r="G36" t="s">
        <v>118</v>
      </c>
      <c r="H36" t="s">
        <v>642</v>
      </c>
    </row>
    <row r="37" spans="1:8" x14ac:dyDescent="0.2">
      <c r="A37" s="20">
        <v>45406.824918981481</v>
      </c>
      <c r="B37" t="s">
        <v>195</v>
      </c>
      <c r="C37" t="s">
        <v>196</v>
      </c>
      <c r="D37" t="s">
        <v>118</v>
      </c>
      <c r="E37" t="s">
        <v>565</v>
      </c>
      <c r="F37" t="s">
        <v>643</v>
      </c>
      <c r="G37" t="s">
        <v>644</v>
      </c>
      <c r="H37" t="s">
        <v>199</v>
      </c>
    </row>
    <row r="38" spans="1:8" x14ac:dyDescent="0.2">
      <c r="A38" s="20">
        <v>45406.823078703703</v>
      </c>
      <c r="B38" t="s">
        <v>160</v>
      </c>
      <c r="C38" t="s">
        <v>332</v>
      </c>
      <c r="D38" t="s">
        <v>118</v>
      </c>
      <c r="E38" t="s">
        <v>565</v>
      </c>
      <c r="F38" t="s">
        <v>645</v>
      </c>
      <c r="G38" t="s">
        <v>646</v>
      </c>
      <c r="H38" t="s">
        <v>647</v>
      </c>
    </row>
    <row r="39" spans="1:8" x14ac:dyDescent="0.2">
      <c r="A39" s="20">
        <v>45406.822442129633</v>
      </c>
      <c r="B39" t="s">
        <v>67</v>
      </c>
      <c r="C39" t="s">
        <v>68</v>
      </c>
      <c r="D39" t="s">
        <v>118</v>
      </c>
      <c r="E39" t="s">
        <v>565</v>
      </c>
      <c r="F39" t="s">
        <v>648</v>
      </c>
      <c r="G39" t="s">
        <v>649</v>
      </c>
      <c r="H39" t="s">
        <v>171</v>
      </c>
    </row>
    <row r="40" spans="1:8" x14ac:dyDescent="0.2">
      <c r="A40" s="20">
        <v>45406.777581018519</v>
      </c>
      <c r="B40" t="s">
        <v>72</v>
      </c>
      <c r="C40" t="s">
        <v>564</v>
      </c>
      <c r="D40" t="s">
        <v>118</v>
      </c>
      <c r="E40" t="s">
        <v>565</v>
      </c>
      <c r="F40" t="s">
        <v>566</v>
      </c>
      <c r="G40" t="s">
        <v>567</v>
      </c>
      <c r="H40" t="s">
        <v>568</v>
      </c>
    </row>
    <row r="41" spans="1:8" x14ac:dyDescent="0.2">
      <c r="A41" s="20">
        <v>45406.767824074072</v>
      </c>
      <c r="B41" t="s">
        <v>28</v>
      </c>
      <c r="C41" t="s">
        <v>29</v>
      </c>
      <c r="D41" t="s">
        <v>118</v>
      </c>
      <c r="E41" t="s">
        <v>565</v>
      </c>
      <c r="F41" t="s">
        <v>569</v>
      </c>
      <c r="G41" t="s">
        <v>118</v>
      </c>
      <c r="H41" t="s">
        <v>471</v>
      </c>
    </row>
    <row r="42" spans="1:8" x14ac:dyDescent="0.2">
      <c r="A42" s="20">
        <v>45406.767256944448</v>
      </c>
      <c r="B42" t="s">
        <v>120</v>
      </c>
      <c r="C42" t="s">
        <v>121</v>
      </c>
      <c r="D42" t="s">
        <v>118</v>
      </c>
      <c r="E42" t="s">
        <v>565</v>
      </c>
      <c r="F42" t="s">
        <v>491</v>
      </c>
      <c r="G42" t="s">
        <v>118</v>
      </c>
      <c r="H42" t="s">
        <v>123</v>
      </c>
    </row>
    <row r="43" spans="1:8" x14ac:dyDescent="0.2">
      <c r="A43" s="20">
        <v>45406.434571759259</v>
      </c>
      <c r="B43" t="s">
        <v>124</v>
      </c>
      <c r="C43" t="s">
        <v>125</v>
      </c>
      <c r="D43" t="s">
        <v>118</v>
      </c>
      <c r="E43" t="s">
        <v>565</v>
      </c>
      <c r="F43" t="s">
        <v>570</v>
      </c>
      <c r="G43" t="s">
        <v>571</v>
      </c>
      <c r="H43" t="s">
        <v>563</v>
      </c>
    </row>
    <row r="44" spans="1:8" x14ac:dyDescent="0.2">
      <c r="A44" s="20">
        <v>45400.576053240744</v>
      </c>
      <c r="B44" t="s">
        <v>131</v>
      </c>
      <c r="C44" t="s">
        <v>132</v>
      </c>
      <c r="D44" t="s">
        <v>118</v>
      </c>
      <c r="E44" t="s">
        <v>565</v>
      </c>
      <c r="F44" t="s">
        <v>572</v>
      </c>
      <c r="G44" t="s">
        <v>573</v>
      </c>
      <c r="H44" t="s">
        <v>464</v>
      </c>
    </row>
    <row r="45" spans="1:8" x14ac:dyDescent="0.2">
      <c r="A45" s="20">
        <v>45382.794340277775</v>
      </c>
      <c r="B45" t="s">
        <v>200</v>
      </c>
      <c r="C45" t="s">
        <v>201</v>
      </c>
      <c r="D45" t="s">
        <v>118</v>
      </c>
      <c r="E45" t="s">
        <v>146</v>
      </c>
      <c r="F45" t="s">
        <v>548</v>
      </c>
      <c r="G45" t="s">
        <v>118</v>
      </c>
      <c r="H45" t="s">
        <v>203</v>
      </c>
    </row>
    <row r="46" spans="1:8" x14ac:dyDescent="0.2">
      <c r="A46" s="20">
        <v>45382.498784722222</v>
      </c>
      <c r="B46" t="s">
        <v>525</v>
      </c>
      <c r="C46" t="s">
        <v>526</v>
      </c>
      <c r="D46" t="s">
        <v>118</v>
      </c>
      <c r="E46" t="s">
        <v>146</v>
      </c>
      <c r="F46" t="s">
        <v>527</v>
      </c>
      <c r="G46" t="s">
        <v>528</v>
      </c>
      <c r="H46" t="s">
        <v>525</v>
      </c>
    </row>
    <row r="47" spans="1:8" x14ac:dyDescent="0.2">
      <c r="A47" s="20">
        <v>45382.031504629631</v>
      </c>
      <c r="B47" t="s">
        <v>28</v>
      </c>
      <c r="C47" t="s">
        <v>323</v>
      </c>
      <c r="D47" t="s">
        <v>118</v>
      </c>
      <c r="E47" t="s">
        <v>146</v>
      </c>
      <c r="F47" t="s">
        <v>529</v>
      </c>
      <c r="G47" t="s">
        <v>530</v>
      </c>
      <c r="H47" t="s">
        <v>2</v>
      </c>
    </row>
    <row r="48" spans="1:8" x14ac:dyDescent="0.2">
      <c r="A48" s="20">
        <v>45381.989479166667</v>
      </c>
      <c r="B48" t="s">
        <v>342</v>
      </c>
      <c r="C48" t="s">
        <v>211</v>
      </c>
      <c r="D48" t="s">
        <v>118</v>
      </c>
      <c r="E48" t="s">
        <v>146</v>
      </c>
      <c r="F48" t="s">
        <v>534</v>
      </c>
      <c r="G48" t="s">
        <v>118</v>
      </c>
      <c r="H48" t="s">
        <v>213</v>
      </c>
    </row>
    <row r="49" spans="1:8" x14ac:dyDescent="0.2">
      <c r="A49" s="20">
        <v>45381.771481481483</v>
      </c>
      <c r="B49" t="s">
        <v>28</v>
      </c>
      <c r="C49" t="s">
        <v>441</v>
      </c>
      <c r="D49" t="s">
        <v>118</v>
      </c>
      <c r="E49" t="s">
        <v>146</v>
      </c>
      <c r="F49" t="s">
        <v>524</v>
      </c>
      <c r="G49" t="s">
        <v>118</v>
      </c>
      <c r="H49" t="s">
        <v>535</v>
      </c>
    </row>
    <row r="50" spans="1:8" x14ac:dyDescent="0.2">
      <c r="A50" s="20">
        <v>45381.456250000003</v>
      </c>
      <c r="B50" t="s">
        <v>124</v>
      </c>
      <c r="C50" t="s">
        <v>166</v>
      </c>
      <c r="D50" t="s">
        <v>118</v>
      </c>
      <c r="E50" t="s">
        <v>146</v>
      </c>
      <c r="F50" t="s">
        <v>536</v>
      </c>
      <c r="G50" t="s">
        <v>118</v>
      </c>
      <c r="H50" t="s">
        <v>124</v>
      </c>
    </row>
    <row r="51" spans="1:8" x14ac:dyDescent="0.2">
      <c r="A51" s="20">
        <v>45381.121782407405</v>
      </c>
      <c r="B51" t="s">
        <v>531</v>
      </c>
      <c r="C51" t="s">
        <v>293</v>
      </c>
      <c r="D51" t="s">
        <v>118</v>
      </c>
      <c r="E51" t="s">
        <v>146</v>
      </c>
      <c r="F51" t="s">
        <v>532</v>
      </c>
      <c r="G51" t="s">
        <v>118</v>
      </c>
      <c r="H51" t="s">
        <v>531</v>
      </c>
    </row>
    <row r="52" spans="1:8" x14ac:dyDescent="0.2">
      <c r="A52" s="20">
        <v>45381.093217592592</v>
      </c>
      <c r="B52" t="s">
        <v>28</v>
      </c>
      <c r="C52" t="s">
        <v>390</v>
      </c>
      <c r="D52" t="s">
        <v>118</v>
      </c>
      <c r="E52" t="s">
        <v>146</v>
      </c>
      <c r="F52" t="s">
        <v>533</v>
      </c>
      <c r="G52" t="s">
        <v>118</v>
      </c>
      <c r="H52" t="s">
        <v>242</v>
      </c>
    </row>
    <row r="53" spans="1:8" x14ac:dyDescent="0.2">
      <c r="A53" s="20">
        <v>45380.456597222219</v>
      </c>
      <c r="B53" t="s">
        <v>175</v>
      </c>
      <c r="C53" t="s">
        <v>23</v>
      </c>
      <c r="D53" t="s">
        <v>118</v>
      </c>
      <c r="E53" t="s">
        <v>146</v>
      </c>
      <c r="F53" t="s">
        <v>539</v>
      </c>
      <c r="G53" t="s">
        <v>540</v>
      </c>
      <c r="H53" t="s">
        <v>178</v>
      </c>
    </row>
    <row r="54" spans="1:8" x14ac:dyDescent="0.2">
      <c r="A54" s="20">
        <v>45380.05872685185</v>
      </c>
      <c r="B54" t="s">
        <v>135</v>
      </c>
      <c r="C54" t="s">
        <v>389</v>
      </c>
      <c r="D54" t="s">
        <v>118</v>
      </c>
      <c r="E54" t="s">
        <v>146</v>
      </c>
      <c r="F54" t="s">
        <v>537</v>
      </c>
      <c r="G54" t="s">
        <v>538</v>
      </c>
      <c r="H54" t="s">
        <v>456</v>
      </c>
    </row>
    <row r="55" spans="1:8" x14ac:dyDescent="0.2">
      <c r="A55" s="20">
        <v>45378.957407407404</v>
      </c>
      <c r="B55" t="s">
        <v>305</v>
      </c>
      <c r="C55" t="s">
        <v>306</v>
      </c>
      <c r="D55" t="s">
        <v>118</v>
      </c>
      <c r="E55" t="s">
        <v>146</v>
      </c>
      <c r="F55" t="s">
        <v>549</v>
      </c>
      <c r="G55" t="s">
        <v>492</v>
      </c>
      <c r="H55" t="s">
        <v>309</v>
      </c>
    </row>
    <row r="56" spans="1:8" x14ac:dyDescent="0.2">
      <c r="A56" s="20">
        <v>45378.904641203706</v>
      </c>
      <c r="B56" t="s">
        <v>124</v>
      </c>
      <c r="C56" t="s">
        <v>125</v>
      </c>
      <c r="D56" t="s">
        <v>118</v>
      </c>
      <c r="E56" t="s">
        <v>146</v>
      </c>
      <c r="F56" t="s">
        <v>493</v>
      </c>
      <c r="G56" t="s">
        <v>494</v>
      </c>
      <c r="H56" t="s">
        <v>128</v>
      </c>
    </row>
    <row r="57" spans="1:8" x14ac:dyDescent="0.2">
      <c r="A57" s="20">
        <v>45378.721030092594</v>
      </c>
      <c r="B57" t="s">
        <v>76</v>
      </c>
      <c r="C57" t="s">
        <v>77</v>
      </c>
      <c r="D57" t="s">
        <v>118</v>
      </c>
      <c r="E57" t="s">
        <v>146</v>
      </c>
      <c r="F57" t="s">
        <v>495</v>
      </c>
      <c r="G57" t="s">
        <v>496</v>
      </c>
      <c r="H57" t="s">
        <v>76</v>
      </c>
    </row>
    <row r="58" spans="1:8" x14ac:dyDescent="0.2">
      <c r="A58" s="20">
        <v>45378.518819444442</v>
      </c>
      <c r="B58" t="s">
        <v>382</v>
      </c>
      <c r="C58" t="s">
        <v>182</v>
      </c>
      <c r="D58" t="s">
        <v>118</v>
      </c>
      <c r="E58" t="s">
        <v>146</v>
      </c>
      <c r="F58" t="s">
        <v>497</v>
      </c>
      <c r="G58" t="s">
        <v>118</v>
      </c>
      <c r="H58" t="s">
        <v>331</v>
      </c>
    </row>
    <row r="59" spans="1:8" x14ac:dyDescent="0.2">
      <c r="A59" s="20">
        <v>45378.500856481478</v>
      </c>
      <c r="B59" t="s">
        <v>195</v>
      </c>
      <c r="C59" t="s">
        <v>196</v>
      </c>
      <c r="D59" t="s">
        <v>118</v>
      </c>
      <c r="E59" t="s">
        <v>146</v>
      </c>
      <c r="F59" t="s">
        <v>498</v>
      </c>
      <c r="G59" t="s">
        <v>499</v>
      </c>
      <c r="H59" t="s">
        <v>199</v>
      </c>
    </row>
    <row r="60" spans="1:8" x14ac:dyDescent="0.2">
      <c r="A60" s="20">
        <v>45377.987604166665</v>
      </c>
      <c r="B60" t="s">
        <v>130</v>
      </c>
      <c r="C60" t="s">
        <v>86</v>
      </c>
      <c r="D60" t="s">
        <v>118</v>
      </c>
      <c r="E60" t="s">
        <v>146</v>
      </c>
      <c r="F60" t="s">
        <v>505</v>
      </c>
      <c r="G60" t="s">
        <v>118</v>
      </c>
      <c r="H60" t="s">
        <v>462</v>
      </c>
    </row>
    <row r="61" spans="1:8" x14ac:dyDescent="0.2">
      <c r="A61" s="20">
        <v>45377.818877314814</v>
      </c>
      <c r="B61" t="s">
        <v>357</v>
      </c>
      <c r="C61" t="s">
        <v>358</v>
      </c>
      <c r="D61" t="s">
        <v>118</v>
      </c>
      <c r="E61" t="s">
        <v>146</v>
      </c>
      <c r="F61" t="s">
        <v>506</v>
      </c>
      <c r="G61" t="s">
        <v>118</v>
      </c>
      <c r="H61" t="s">
        <v>364</v>
      </c>
    </row>
    <row r="62" spans="1:8" x14ac:dyDescent="0.2">
      <c r="A62" s="20">
        <v>45377.735034722224</v>
      </c>
      <c r="B62" t="s">
        <v>298</v>
      </c>
      <c r="C62" t="s">
        <v>386</v>
      </c>
      <c r="D62" t="s">
        <v>118</v>
      </c>
      <c r="E62" t="s">
        <v>146</v>
      </c>
      <c r="F62" t="s">
        <v>550</v>
      </c>
      <c r="G62" t="s">
        <v>118</v>
      </c>
      <c r="H62" t="s">
        <v>467</v>
      </c>
    </row>
    <row r="63" spans="1:8" x14ac:dyDescent="0.2">
      <c r="A63" s="20">
        <v>45377.675949074073</v>
      </c>
      <c r="B63" t="s">
        <v>120</v>
      </c>
      <c r="C63" t="s">
        <v>121</v>
      </c>
      <c r="D63" t="s">
        <v>118</v>
      </c>
      <c r="E63" t="s">
        <v>146</v>
      </c>
      <c r="F63" t="s">
        <v>491</v>
      </c>
      <c r="G63" t="s">
        <v>118</v>
      </c>
      <c r="H63" t="s">
        <v>123</v>
      </c>
    </row>
    <row r="64" spans="1:8" x14ac:dyDescent="0.2">
      <c r="A64" s="20">
        <v>45377.403796296298</v>
      </c>
      <c r="B64" t="s">
        <v>67</v>
      </c>
      <c r="C64" t="s">
        <v>68</v>
      </c>
      <c r="D64" t="s">
        <v>118</v>
      </c>
      <c r="E64" t="s">
        <v>146</v>
      </c>
      <c r="F64" t="s">
        <v>500</v>
      </c>
      <c r="G64" t="s">
        <v>501</v>
      </c>
      <c r="H64" t="s">
        <v>171</v>
      </c>
    </row>
    <row r="65" spans="1:8" x14ac:dyDescent="0.2">
      <c r="A65" s="20">
        <v>45377.40047453704</v>
      </c>
      <c r="B65" t="s">
        <v>72</v>
      </c>
      <c r="C65" t="s">
        <v>124</v>
      </c>
      <c r="D65" t="s">
        <v>118</v>
      </c>
      <c r="E65" t="s">
        <v>146</v>
      </c>
      <c r="F65" t="s">
        <v>502</v>
      </c>
      <c r="G65" t="s">
        <v>503</v>
      </c>
      <c r="H65" t="s">
        <v>504</v>
      </c>
    </row>
    <row r="66" spans="1:8" x14ac:dyDescent="0.2">
      <c r="A66" s="20">
        <v>45376.900763888887</v>
      </c>
      <c r="B66" t="s">
        <v>383</v>
      </c>
      <c r="C66" t="s">
        <v>326</v>
      </c>
      <c r="D66" t="s">
        <v>118</v>
      </c>
      <c r="E66" t="s">
        <v>146</v>
      </c>
      <c r="F66" t="s">
        <v>514</v>
      </c>
      <c r="G66" t="s">
        <v>118</v>
      </c>
      <c r="H66" t="s">
        <v>328</v>
      </c>
    </row>
    <row r="67" spans="1:8" x14ac:dyDescent="0.2">
      <c r="A67" s="20">
        <v>45376.736666666664</v>
      </c>
      <c r="B67" t="s">
        <v>204</v>
      </c>
      <c r="C67" t="s">
        <v>515</v>
      </c>
      <c r="D67" t="s">
        <v>118</v>
      </c>
      <c r="E67" t="s">
        <v>146</v>
      </c>
      <c r="F67" t="s">
        <v>516</v>
      </c>
      <c r="G67" t="s">
        <v>517</v>
      </c>
      <c r="H67" t="s">
        <v>351</v>
      </c>
    </row>
    <row r="68" spans="1:8" x14ac:dyDescent="0.2">
      <c r="A68" s="20">
        <v>45376.714166666665</v>
      </c>
      <c r="B68" t="s">
        <v>385</v>
      </c>
      <c r="C68" t="s">
        <v>379</v>
      </c>
      <c r="D68" t="s">
        <v>118</v>
      </c>
      <c r="E68" t="s">
        <v>146</v>
      </c>
      <c r="F68" t="s">
        <v>518</v>
      </c>
      <c r="G68" t="s">
        <v>519</v>
      </c>
      <c r="H68" t="s">
        <v>520</v>
      </c>
    </row>
    <row r="69" spans="1:8" x14ac:dyDescent="0.2">
      <c r="A69" s="20">
        <v>45376.675266203703</v>
      </c>
      <c r="B69" t="s">
        <v>521</v>
      </c>
      <c r="C69" t="s">
        <v>522</v>
      </c>
      <c r="D69" t="s">
        <v>118</v>
      </c>
      <c r="E69" t="s">
        <v>146</v>
      </c>
      <c r="F69" t="s">
        <v>507</v>
      </c>
      <c r="G69" t="s">
        <v>118</v>
      </c>
      <c r="H69" t="s">
        <v>523</v>
      </c>
    </row>
    <row r="70" spans="1:8" x14ac:dyDescent="0.2">
      <c r="A70" s="20">
        <v>45376.405150462961</v>
      </c>
      <c r="B70" t="s">
        <v>131</v>
      </c>
      <c r="C70" t="s">
        <v>132</v>
      </c>
      <c r="D70" t="s">
        <v>118</v>
      </c>
      <c r="E70" t="s">
        <v>146</v>
      </c>
      <c r="F70" t="s">
        <v>508</v>
      </c>
      <c r="G70" t="s">
        <v>118</v>
      </c>
      <c r="H70" t="s">
        <v>464</v>
      </c>
    </row>
    <row r="71" spans="1:8" x14ac:dyDescent="0.2">
      <c r="A71" s="20">
        <v>45376.402581018519</v>
      </c>
      <c r="B71" t="s">
        <v>112</v>
      </c>
      <c r="C71" t="s">
        <v>395</v>
      </c>
      <c r="D71" t="s">
        <v>118</v>
      </c>
      <c r="E71" t="s">
        <v>146</v>
      </c>
      <c r="F71" t="s">
        <v>509</v>
      </c>
      <c r="G71" t="s">
        <v>118</v>
      </c>
      <c r="H71" t="s">
        <v>510</v>
      </c>
    </row>
    <row r="72" spans="1:8" x14ac:dyDescent="0.2">
      <c r="A72" s="20">
        <v>45376.390185185184</v>
      </c>
      <c r="B72" t="s">
        <v>103</v>
      </c>
      <c r="C72" t="s">
        <v>104</v>
      </c>
      <c r="D72" t="s">
        <v>118</v>
      </c>
      <c r="E72" t="s">
        <v>146</v>
      </c>
      <c r="F72" t="s">
        <v>511</v>
      </c>
      <c r="G72" t="s">
        <v>118</v>
      </c>
      <c r="H72" t="s">
        <v>103</v>
      </c>
    </row>
    <row r="73" spans="1:8" x14ac:dyDescent="0.2">
      <c r="A73" s="20">
        <v>45376.347546296296</v>
      </c>
      <c r="B73" t="s">
        <v>28</v>
      </c>
      <c r="C73" t="s">
        <v>29</v>
      </c>
      <c r="D73" t="s">
        <v>118</v>
      </c>
      <c r="E73" t="s">
        <v>146</v>
      </c>
      <c r="F73" t="s">
        <v>512</v>
      </c>
      <c r="G73" t="s">
        <v>513</v>
      </c>
      <c r="H73" t="s">
        <v>271</v>
      </c>
    </row>
    <row r="74" spans="1:8" x14ac:dyDescent="0.2">
      <c r="A74" s="20">
        <v>45351.02076388889</v>
      </c>
      <c r="B74" t="s">
        <v>124</v>
      </c>
      <c r="C74" t="s">
        <v>166</v>
      </c>
      <c r="D74" t="s">
        <v>118</v>
      </c>
      <c r="E74" t="s">
        <v>417</v>
      </c>
      <c r="F74" t="s">
        <v>418</v>
      </c>
      <c r="G74" t="s">
        <v>118</v>
      </c>
      <c r="H74" t="s">
        <v>124</v>
      </c>
    </row>
    <row r="75" spans="1:8" x14ac:dyDescent="0.2">
      <c r="A75" s="20">
        <v>45350.99145833333</v>
      </c>
      <c r="B75" t="s">
        <v>342</v>
      </c>
      <c r="C75" t="s">
        <v>211</v>
      </c>
      <c r="D75" t="s">
        <v>118</v>
      </c>
      <c r="E75" t="s">
        <v>417</v>
      </c>
      <c r="F75" t="s">
        <v>419</v>
      </c>
      <c r="G75" t="s">
        <v>118</v>
      </c>
      <c r="H75" t="s">
        <v>420</v>
      </c>
    </row>
    <row r="76" spans="1:8" x14ac:dyDescent="0.2">
      <c r="A76" s="20">
        <v>45350.949861111112</v>
      </c>
      <c r="B76" t="s">
        <v>200</v>
      </c>
      <c r="C76" t="s">
        <v>201</v>
      </c>
      <c r="D76" t="s">
        <v>118</v>
      </c>
      <c r="E76" t="s">
        <v>417</v>
      </c>
      <c r="F76" t="s">
        <v>421</v>
      </c>
      <c r="G76" t="s">
        <v>118</v>
      </c>
      <c r="H76" t="s">
        <v>203</v>
      </c>
    </row>
    <row r="77" spans="1:8" x14ac:dyDescent="0.2">
      <c r="A77" s="20">
        <v>45350.926423611112</v>
      </c>
      <c r="B77" t="s">
        <v>175</v>
      </c>
      <c r="C77" t="s">
        <v>23</v>
      </c>
      <c r="D77" t="s">
        <v>118</v>
      </c>
      <c r="E77" t="s">
        <v>417</v>
      </c>
      <c r="F77" t="s">
        <v>422</v>
      </c>
      <c r="G77" t="s">
        <v>423</v>
      </c>
      <c r="H77" t="s">
        <v>178</v>
      </c>
    </row>
    <row r="78" spans="1:8" x14ac:dyDescent="0.2">
      <c r="A78" s="20">
        <v>45350.895486111112</v>
      </c>
      <c r="B78" t="s">
        <v>424</v>
      </c>
      <c r="C78" t="s">
        <v>424</v>
      </c>
      <c r="D78" t="s">
        <v>118</v>
      </c>
      <c r="E78" t="s">
        <v>417</v>
      </c>
      <c r="F78" t="s">
        <v>425</v>
      </c>
      <c r="G78" t="s">
        <v>426</v>
      </c>
      <c r="H78" t="s">
        <v>424</v>
      </c>
    </row>
    <row r="79" spans="1:8" x14ac:dyDescent="0.2">
      <c r="A79" s="20">
        <v>45350.842199074075</v>
      </c>
      <c r="B79" t="s">
        <v>531</v>
      </c>
      <c r="C79" t="s">
        <v>293</v>
      </c>
      <c r="D79" t="s">
        <v>118</v>
      </c>
      <c r="E79" t="s">
        <v>417</v>
      </c>
      <c r="F79" t="s">
        <v>427</v>
      </c>
      <c r="G79" t="s">
        <v>118</v>
      </c>
      <c r="H79" t="s">
        <v>428</v>
      </c>
    </row>
    <row r="80" spans="1:8" x14ac:dyDescent="0.2">
      <c r="A80" s="20">
        <v>45350.741678240738</v>
      </c>
      <c r="B80" t="s">
        <v>76</v>
      </c>
      <c r="C80" t="s">
        <v>77</v>
      </c>
      <c r="D80" t="s">
        <v>118</v>
      </c>
      <c r="E80" t="s">
        <v>417</v>
      </c>
      <c r="F80" t="s">
        <v>429</v>
      </c>
      <c r="G80" t="s">
        <v>430</v>
      </c>
      <c r="H80" t="s">
        <v>76</v>
      </c>
    </row>
    <row r="81" spans="1:8" x14ac:dyDescent="0.2">
      <c r="A81" s="20">
        <v>45350.474490740744</v>
      </c>
      <c r="B81" t="s">
        <v>195</v>
      </c>
      <c r="C81" t="s">
        <v>196</v>
      </c>
      <c r="D81" t="s">
        <v>118</v>
      </c>
      <c r="E81" t="s">
        <v>417</v>
      </c>
      <c r="F81" t="s">
        <v>431</v>
      </c>
      <c r="G81" t="s">
        <v>432</v>
      </c>
      <c r="H81" t="s">
        <v>199</v>
      </c>
    </row>
    <row r="82" spans="1:8" x14ac:dyDescent="0.2">
      <c r="A82" s="20">
        <v>45350.451516203706</v>
      </c>
      <c r="B82" t="s">
        <v>124</v>
      </c>
      <c r="C82" t="s">
        <v>125</v>
      </c>
      <c r="D82" t="s">
        <v>118</v>
      </c>
      <c r="E82" t="s">
        <v>417</v>
      </c>
      <c r="F82" t="s">
        <v>433</v>
      </c>
      <c r="G82" t="s">
        <v>434</v>
      </c>
      <c r="H82" t="s">
        <v>124</v>
      </c>
    </row>
    <row r="83" spans="1:8" x14ac:dyDescent="0.2">
      <c r="A83" s="20">
        <v>45350.436064814814</v>
      </c>
      <c r="B83" t="s">
        <v>435</v>
      </c>
      <c r="C83" t="s">
        <v>436</v>
      </c>
      <c r="D83" t="s">
        <v>118</v>
      </c>
      <c r="E83" t="s">
        <v>417</v>
      </c>
      <c r="F83" t="s">
        <v>437</v>
      </c>
      <c r="G83" t="s">
        <v>438</v>
      </c>
      <c r="H83" t="s">
        <v>435</v>
      </c>
    </row>
    <row r="84" spans="1:8" x14ac:dyDescent="0.2">
      <c r="A84" s="20">
        <v>45350.062245370369</v>
      </c>
      <c r="B84" t="s">
        <v>28</v>
      </c>
      <c r="C84" t="s">
        <v>323</v>
      </c>
      <c r="D84" t="s">
        <v>118</v>
      </c>
      <c r="E84" t="s">
        <v>417</v>
      </c>
      <c r="F84" t="s">
        <v>439</v>
      </c>
      <c r="G84" t="s">
        <v>440</v>
      </c>
      <c r="H84" t="s">
        <v>2</v>
      </c>
    </row>
    <row r="85" spans="1:8" x14ac:dyDescent="0.2">
      <c r="A85" s="20">
        <v>45350.04478009259</v>
      </c>
      <c r="B85" t="s">
        <v>28</v>
      </c>
      <c r="C85" t="s">
        <v>441</v>
      </c>
      <c r="D85" t="s">
        <v>118</v>
      </c>
      <c r="E85" t="s">
        <v>417</v>
      </c>
      <c r="F85" t="s">
        <v>442</v>
      </c>
      <c r="G85" t="s">
        <v>443</v>
      </c>
      <c r="H85" t="s">
        <v>444</v>
      </c>
    </row>
    <row r="86" spans="1:8" x14ac:dyDescent="0.2">
      <c r="A86" s="20">
        <v>45349.576631944445</v>
      </c>
      <c r="B86" t="s">
        <v>382</v>
      </c>
      <c r="C86" t="s">
        <v>182</v>
      </c>
      <c r="D86" t="s">
        <v>118</v>
      </c>
      <c r="E86" t="s">
        <v>417</v>
      </c>
      <c r="F86" t="s">
        <v>445</v>
      </c>
      <c r="G86" t="s">
        <v>118</v>
      </c>
      <c r="H86" t="s">
        <v>331</v>
      </c>
    </row>
    <row r="87" spans="1:8" x14ac:dyDescent="0.2">
      <c r="A87" s="20">
        <v>45348.74318287037</v>
      </c>
      <c r="B87" t="s">
        <v>388</v>
      </c>
      <c r="C87" t="s">
        <v>148</v>
      </c>
      <c r="D87" t="s">
        <v>118</v>
      </c>
      <c r="E87" t="s">
        <v>417</v>
      </c>
      <c r="F87" t="s">
        <v>446</v>
      </c>
      <c r="G87" t="s">
        <v>118</v>
      </c>
      <c r="H87" t="s">
        <v>388</v>
      </c>
    </row>
    <row r="88" spans="1:8" x14ac:dyDescent="0.2">
      <c r="A88" s="20">
        <v>45348.647581018522</v>
      </c>
      <c r="B88" t="s">
        <v>160</v>
      </c>
      <c r="C88" t="s">
        <v>447</v>
      </c>
      <c r="D88" t="s">
        <v>118</v>
      </c>
      <c r="E88" t="s">
        <v>417</v>
      </c>
      <c r="F88" t="s">
        <v>448</v>
      </c>
      <c r="G88" t="s">
        <v>118</v>
      </c>
      <c r="H88" t="s">
        <v>449</v>
      </c>
    </row>
    <row r="89" spans="1:8" x14ac:dyDescent="0.2">
      <c r="A89" s="20">
        <v>45348.514166666668</v>
      </c>
      <c r="B89" t="s">
        <v>138</v>
      </c>
      <c r="C89" t="s">
        <v>139</v>
      </c>
      <c r="D89" t="s">
        <v>118</v>
      </c>
      <c r="E89" t="s">
        <v>417</v>
      </c>
      <c r="F89" t="s">
        <v>450</v>
      </c>
      <c r="G89" t="s">
        <v>118</v>
      </c>
      <c r="H89" t="s">
        <v>451</v>
      </c>
    </row>
    <row r="90" spans="1:8" x14ac:dyDescent="0.2">
      <c r="A90" s="20">
        <v>45347.630613425928</v>
      </c>
      <c r="B90" t="s">
        <v>357</v>
      </c>
      <c r="C90" t="s">
        <v>358</v>
      </c>
      <c r="D90" t="s">
        <v>118</v>
      </c>
      <c r="E90" t="s">
        <v>417</v>
      </c>
      <c r="F90" t="s">
        <v>452</v>
      </c>
      <c r="G90" t="s">
        <v>118</v>
      </c>
      <c r="H90" t="s">
        <v>453</v>
      </c>
    </row>
    <row r="91" spans="1:8" x14ac:dyDescent="0.2">
      <c r="A91" s="20">
        <v>45347.522094907406</v>
      </c>
      <c r="B91" t="s">
        <v>135</v>
      </c>
      <c r="C91" t="s">
        <v>389</v>
      </c>
      <c r="D91" t="s">
        <v>118</v>
      </c>
      <c r="E91" t="s">
        <v>417</v>
      </c>
      <c r="F91" t="s">
        <v>454</v>
      </c>
      <c r="G91" t="s">
        <v>455</v>
      </c>
      <c r="H91" t="s">
        <v>456</v>
      </c>
    </row>
    <row r="92" spans="1:8" x14ac:dyDescent="0.2">
      <c r="A92" s="20">
        <v>45347.082615740743</v>
      </c>
      <c r="B92" t="s">
        <v>120</v>
      </c>
      <c r="C92" t="s">
        <v>121</v>
      </c>
      <c r="D92" t="s">
        <v>118</v>
      </c>
      <c r="E92" t="s">
        <v>417</v>
      </c>
      <c r="F92" t="s">
        <v>457</v>
      </c>
      <c r="G92" t="s">
        <v>118</v>
      </c>
      <c r="H92" t="s">
        <v>458</v>
      </c>
    </row>
    <row r="93" spans="1:8" x14ac:dyDescent="0.2">
      <c r="A93" s="20">
        <v>45347.001666666663</v>
      </c>
      <c r="B93" t="s">
        <v>204</v>
      </c>
      <c r="C93" t="s">
        <v>515</v>
      </c>
      <c r="D93" t="s">
        <v>118</v>
      </c>
      <c r="E93" t="s">
        <v>417</v>
      </c>
      <c r="F93" t="s">
        <v>459</v>
      </c>
      <c r="G93" t="s">
        <v>460</v>
      </c>
      <c r="H93" t="s">
        <v>351</v>
      </c>
    </row>
    <row r="94" spans="1:8" x14ac:dyDescent="0.2">
      <c r="A94" s="20">
        <v>45346.929282407407</v>
      </c>
      <c r="B94" t="s">
        <v>130</v>
      </c>
      <c r="C94" t="s">
        <v>86</v>
      </c>
      <c r="D94" t="s">
        <v>118</v>
      </c>
      <c r="E94" t="s">
        <v>417</v>
      </c>
      <c r="F94" t="s">
        <v>477</v>
      </c>
      <c r="G94" t="s">
        <v>461</v>
      </c>
      <c r="H94" t="s">
        <v>462</v>
      </c>
    </row>
    <row r="95" spans="1:8" x14ac:dyDescent="0.2">
      <c r="A95" s="20">
        <v>45346.848576388889</v>
      </c>
      <c r="B95" t="s">
        <v>131</v>
      </c>
      <c r="C95" t="s">
        <v>132</v>
      </c>
      <c r="D95" t="s">
        <v>118</v>
      </c>
      <c r="E95" t="s">
        <v>417</v>
      </c>
      <c r="F95" t="s">
        <v>463</v>
      </c>
      <c r="G95" t="s">
        <v>118</v>
      </c>
      <c r="H95" t="s">
        <v>464</v>
      </c>
    </row>
    <row r="96" spans="1:8" x14ac:dyDescent="0.2">
      <c r="A96" s="20">
        <v>45346.843807870369</v>
      </c>
      <c r="B96" t="s">
        <v>298</v>
      </c>
      <c r="C96" t="s">
        <v>386</v>
      </c>
      <c r="D96" t="s">
        <v>118</v>
      </c>
      <c r="E96" t="s">
        <v>417</v>
      </c>
      <c r="F96" t="s">
        <v>465</v>
      </c>
      <c r="G96" t="s">
        <v>466</v>
      </c>
      <c r="H96" t="s">
        <v>467</v>
      </c>
    </row>
    <row r="97" spans="1:8" x14ac:dyDescent="0.2">
      <c r="A97" s="20">
        <v>45346.840046296296</v>
      </c>
      <c r="B97" t="s">
        <v>385</v>
      </c>
      <c r="C97" t="s">
        <v>379</v>
      </c>
      <c r="D97" t="s">
        <v>118</v>
      </c>
      <c r="E97" t="s">
        <v>417</v>
      </c>
      <c r="F97" t="s">
        <v>468</v>
      </c>
      <c r="G97" t="s">
        <v>469</v>
      </c>
      <c r="H97" t="s">
        <v>102</v>
      </c>
    </row>
    <row r="98" spans="1:8" x14ac:dyDescent="0.2">
      <c r="A98" s="20">
        <v>45346.8200462963</v>
      </c>
      <c r="B98" t="s">
        <v>28</v>
      </c>
      <c r="C98" t="s">
        <v>29</v>
      </c>
      <c r="D98" t="s">
        <v>118</v>
      </c>
      <c r="E98" t="s">
        <v>417</v>
      </c>
      <c r="F98" t="s">
        <v>470</v>
      </c>
      <c r="G98" t="s">
        <v>118</v>
      </c>
      <c r="H98" t="s">
        <v>471</v>
      </c>
    </row>
    <row r="99" spans="1:8" x14ac:dyDescent="0.2">
      <c r="A99" s="20">
        <v>45323.772314814814</v>
      </c>
      <c r="B99" t="s">
        <v>204</v>
      </c>
      <c r="C99" t="s">
        <v>378</v>
      </c>
      <c r="D99" t="s">
        <v>118</v>
      </c>
      <c r="E99" t="s">
        <v>266</v>
      </c>
      <c r="F99" t="s">
        <v>366</v>
      </c>
      <c r="G99" t="s">
        <v>367</v>
      </c>
      <c r="H99" t="s">
        <v>37</v>
      </c>
    </row>
    <row r="100" spans="1:8" x14ac:dyDescent="0.2">
      <c r="A100" s="20">
        <v>45321.981203703705</v>
      </c>
      <c r="B100" t="s">
        <v>342</v>
      </c>
      <c r="C100" t="s">
        <v>211</v>
      </c>
      <c r="D100" t="s">
        <v>118</v>
      </c>
      <c r="E100" t="s">
        <v>266</v>
      </c>
      <c r="F100" t="s">
        <v>343</v>
      </c>
      <c r="G100" t="s">
        <v>118</v>
      </c>
      <c r="H100" t="s">
        <v>344</v>
      </c>
    </row>
    <row r="101" spans="1:8" x14ac:dyDescent="0.2">
      <c r="A101" s="20">
        <v>45321.837905092594</v>
      </c>
      <c r="B101" t="s">
        <v>188</v>
      </c>
      <c r="C101" t="s">
        <v>189</v>
      </c>
      <c r="D101" t="s">
        <v>118</v>
      </c>
      <c r="E101" t="s">
        <v>266</v>
      </c>
      <c r="F101" t="s">
        <v>345</v>
      </c>
      <c r="G101" t="s">
        <v>346</v>
      </c>
      <c r="H101" t="s">
        <v>188</v>
      </c>
    </row>
    <row r="102" spans="1:8" x14ac:dyDescent="0.2">
      <c r="A102" s="20">
        <v>45321.810567129629</v>
      </c>
      <c r="B102" t="s">
        <v>200</v>
      </c>
      <c r="C102" t="s">
        <v>201</v>
      </c>
      <c r="D102" t="s">
        <v>118</v>
      </c>
      <c r="E102" t="s">
        <v>266</v>
      </c>
      <c r="F102" t="s">
        <v>347</v>
      </c>
      <c r="G102" t="s">
        <v>348</v>
      </c>
      <c r="H102" t="s">
        <v>203</v>
      </c>
    </row>
    <row r="103" spans="1:8" x14ac:dyDescent="0.2">
      <c r="A103" s="20">
        <v>45321.803402777776</v>
      </c>
      <c r="B103" t="s">
        <v>204</v>
      </c>
      <c r="C103" t="s">
        <v>515</v>
      </c>
      <c r="D103" t="s">
        <v>118</v>
      </c>
      <c r="E103" t="s">
        <v>266</v>
      </c>
      <c r="F103" t="s">
        <v>349</v>
      </c>
      <c r="G103" t="s">
        <v>350</v>
      </c>
      <c r="H103" t="s">
        <v>351</v>
      </c>
    </row>
    <row r="104" spans="1:8" x14ac:dyDescent="0.2">
      <c r="A104" s="20">
        <v>45321.800138888888</v>
      </c>
      <c r="B104" t="s">
        <v>124</v>
      </c>
      <c r="C104" t="s">
        <v>166</v>
      </c>
      <c r="D104" t="s">
        <v>118</v>
      </c>
      <c r="E104" t="s">
        <v>266</v>
      </c>
      <c r="F104" t="s">
        <v>352</v>
      </c>
      <c r="G104" t="s">
        <v>118</v>
      </c>
      <c r="H104" t="s">
        <v>124</v>
      </c>
    </row>
    <row r="105" spans="1:8" x14ac:dyDescent="0.2">
      <c r="A105" s="20">
        <v>45321.741238425922</v>
      </c>
      <c r="B105" t="s">
        <v>72</v>
      </c>
      <c r="C105" t="s">
        <v>553</v>
      </c>
      <c r="D105" t="s">
        <v>118</v>
      </c>
      <c r="E105" t="s">
        <v>266</v>
      </c>
      <c r="F105" t="s">
        <v>354</v>
      </c>
      <c r="G105" t="s">
        <v>118</v>
      </c>
      <c r="H105" t="s">
        <v>353</v>
      </c>
    </row>
    <row r="106" spans="1:8" x14ac:dyDescent="0.2">
      <c r="A106" s="20">
        <v>45321.740046296298</v>
      </c>
      <c r="B106" t="s">
        <v>76</v>
      </c>
      <c r="C106" t="s">
        <v>77</v>
      </c>
      <c r="D106" t="s">
        <v>118</v>
      </c>
      <c r="E106" t="s">
        <v>266</v>
      </c>
      <c r="F106" t="s">
        <v>355</v>
      </c>
      <c r="G106" t="s">
        <v>356</v>
      </c>
      <c r="H106" t="s">
        <v>76</v>
      </c>
    </row>
    <row r="107" spans="1:8" x14ac:dyDescent="0.2">
      <c r="A107" s="20">
        <v>45321.702766203707</v>
      </c>
      <c r="B107" t="s">
        <v>357</v>
      </c>
      <c r="C107" t="s">
        <v>358</v>
      </c>
      <c r="D107" t="s">
        <v>118</v>
      </c>
      <c r="E107" t="s">
        <v>266</v>
      </c>
      <c r="F107" t="s">
        <v>359</v>
      </c>
      <c r="G107" t="s">
        <v>360</v>
      </c>
      <c r="H107" t="s">
        <v>361</v>
      </c>
    </row>
    <row r="108" spans="1:8" x14ac:dyDescent="0.2">
      <c r="A108" s="20">
        <v>45321.521817129629</v>
      </c>
      <c r="B108" t="s">
        <v>160</v>
      </c>
      <c r="C108" t="s">
        <v>332</v>
      </c>
      <c r="D108" t="s">
        <v>118</v>
      </c>
      <c r="E108" t="s">
        <v>266</v>
      </c>
      <c r="F108" t="s">
        <v>333</v>
      </c>
      <c r="G108" t="s">
        <v>334</v>
      </c>
      <c r="H108" t="s">
        <v>335</v>
      </c>
    </row>
    <row r="109" spans="1:8" x14ac:dyDescent="0.2">
      <c r="A109" s="20">
        <v>45320.830590277779</v>
      </c>
      <c r="B109" t="s">
        <v>382</v>
      </c>
      <c r="C109" t="s">
        <v>182</v>
      </c>
      <c r="D109" t="s">
        <v>118</v>
      </c>
      <c r="E109" t="s">
        <v>266</v>
      </c>
      <c r="F109" t="s">
        <v>154</v>
      </c>
      <c r="G109" t="s">
        <v>118</v>
      </c>
      <c r="H109" t="s">
        <v>331</v>
      </c>
    </row>
    <row r="110" spans="1:8" x14ac:dyDescent="0.2">
      <c r="A110" s="20">
        <v>45320.815127314818</v>
      </c>
      <c r="B110" t="s">
        <v>175</v>
      </c>
      <c r="C110" t="s">
        <v>23</v>
      </c>
      <c r="D110" t="s">
        <v>118</v>
      </c>
      <c r="E110" t="s">
        <v>266</v>
      </c>
      <c r="F110" t="s">
        <v>329</v>
      </c>
      <c r="G110" t="s">
        <v>330</v>
      </c>
      <c r="H110" t="s">
        <v>178</v>
      </c>
    </row>
    <row r="111" spans="1:8" x14ac:dyDescent="0.2">
      <c r="A111" s="20">
        <v>45320.243738425925</v>
      </c>
      <c r="B111" t="s">
        <v>383</v>
      </c>
      <c r="C111" t="s">
        <v>326</v>
      </c>
      <c r="D111" t="s">
        <v>118</v>
      </c>
      <c r="E111" t="s">
        <v>266</v>
      </c>
      <c r="F111" t="s">
        <v>327</v>
      </c>
      <c r="G111" t="s">
        <v>118</v>
      </c>
      <c r="H111" t="s">
        <v>328</v>
      </c>
    </row>
    <row r="112" spans="1:8" x14ac:dyDescent="0.2">
      <c r="A112" s="20">
        <v>45320.076574074075</v>
      </c>
      <c r="B112" t="s">
        <v>28</v>
      </c>
      <c r="C112" t="s">
        <v>323</v>
      </c>
      <c r="D112" t="s">
        <v>118</v>
      </c>
      <c r="E112" t="s">
        <v>266</v>
      </c>
      <c r="F112" t="s">
        <v>324</v>
      </c>
      <c r="G112" t="s">
        <v>325</v>
      </c>
      <c r="H112" t="s">
        <v>2</v>
      </c>
    </row>
    <row r="113" spans="1:8" x14ac:dyDescent="0.2">
      <c r="A113" s="20">
        <v>45319.976145833331</v>
      </c>
      <c r="B113" t="s">
        <v>195</v>
      </c>
      <c r="C113" t="s">
        <v>196</v>
      </c>
      <c r="D113" t="s">
        <v>118</v>
      </c>
      <c r="E113" t="s">
        <v>266</v>
      </c>
      <c r="F113" t="s">
        <v>321</v>
      </c>
      <c r="G113" t="s">
        <v>322</v>
      </c>
      <c r="H113" t="s">
        <v>199</v>
      </c>
    </row>
    <row r="114" spans="1:8" x14ac:dyDescent="0.2">
      <c r="A114" s="20">
        <v>45319.806828703702</v>
      </c>
      <c r="B114" t="s">
        <v>145</v>
      </c>
      <c r="C114" t="s">
        <v>380</v>
      </c>
      <c r="D114" t="s">
        <v>118</v>
      </c>
      <c r="E114" t="s">
        <v>266</v>
      </c>
      <c r="F114" t="s">
        <v>318</v>
      </c>
      <c r="G114" t="s">
        <v>319</v>
      </c>
      <c r="H114" t="s">
        <v>320</v>
      </c>
    </row>
    <row r="115" spans="1:8" x14ac:dyDescent="0.2">
      <c r="A115" s="20">
        <v>45319.366562499999</v>
      </c>
      <c r="B115" t="s">
        <v>384</v>
      </c>
      <c r="C115" t="s">
        <v>315</v>
      </c>
      <c r="D115" t="s">
        <v>118</v>
      </c>
      <c r="E115" t="s">
        <v>266</v>
      </c>
      <c r="F115" t="s">
        <v>316</v>
      </c>
      <c r="G115" t="s">
        <v>118</v>
      </c>
      <c r="H115" t="s">
        <v>317</v>
      </c>
    </row>
    <row r="116" spans="1:8" x14ac:dyDescent="0.2">
      <c r="A116" s="20">
        <v>45319.066504629627</v>
      </c>
      <c r="B116" t="s">
        <v>385</v>
      </c>
      <c r="C116" t="s">
        <v>379</v>
      </c>
      <c r="D116" t="s">
        <v>118</v>
      </c>
      <c r="E116" t="s">
        <v>266</v>
      </c>
      <c r="F116" t="s">
        <v>313</v>
      </c>
      <c r="G116" t="s">
        <v>314</v>
      </c>
      <c r="H116" t="s">
        <v>90</v>
      </c>
    </row>
    <row r="117" spans="1:8" x14ac:dyDescent="0.2">
      <c r="A117" s="20">
        <v>45318.504988425928</v>
      </c>
      <c r="B117" t="s">
        <v>305</v>
      </c>
      <c r="C117" t="s">
        <v>306</v>
      </c>
      <c r="D117" t="s">
        <v>118</v>
      </c>
      <c r="E117" t="s">
        <v>266</v>
      </c>
      <c r="F117" t="s">
        <v>307</v>
      </c>
      <c r="G117" t="s">
        <v>308</v>
      </c>
      <c r="H117" t="s">
        <v>309</v>
      </c>
    </row>
    <row r="118" spans="1:8" x14ac:dyDescent="0.2">
      <c r="A118" s="20">
        <v>45318.457280092596</v>
      </c>
      <c r="B118" t="s">
        <v>301</v>
      </c>
      <c r="C118" t="s">
        <v>302</v>
      </c>
      <c r="D118" t="s">
        <v>118</v>
      </c>
      <c r="E118" t="s">
        <v>266</v>
      </c>
      <c r="F118" t="s">
        <v>303</v>
      </c>
      <c r="G118" t="s">
        <v>304</v>
      </c>
      <c r="H118" t="s">
        <v>301</v>
      </c>
    </row>
    <row r="119" spans="1:8" x14ac:dyDescent="0.2">
      <c r="A119" s="20">
        <v>45318.359120370369</v>
      </c>
      <c r="B119" t="s">
        <v>298</v>
      </c>
      <c r="C119" t="s">
        <v>386</v>
      </c>
      <c r="D119" t="s">
        <v>118</v>
      </c>
      <c r="E119" t="s">
        <v>266</v>
      </c>
      <c r="F119" t="s">
        <v>299</v>
      </c>
      <c r="G119" t="s">
        <v>118</v>
      </c>
      <c r="H119" t="s">
        <v>300</v>
      </c>
    </row>
    <row r="120" spans="1:8" x14ac:dyDescent="0.2">
      <c r="A120" s="20">
        <v>45317.949618055558</v>
      </c>
      <c r="B120" t="s">
        <v>130</v>
      </c>
      <c r="C120" t="s">
        <v>86</v>
      </c>
      <c r="D120" t="s">
        <v>118</v>
      </c>
      <c r="E120" t="s">
        <v>266</v>
      </c>
      <c r="F120" t="s">
        <v>297</v>
      </c>
      <c r="G120" t="s">
        <v>118</v>
      </c>
      <c r="H120" t="s">
        <v>130</v>
      </c>
    </row>
    <row r="121" spans="1:8" x14ac:dyDescent="0.2">
      <c r="A121" s="20">
        <v>45317.738321759258</v>
      </c>
      <c r="B121" t="s">
        <v>120</v>
      </c>
      <c r="C121" t="s">
        <v>121</v>
      </c>
      <c r="D121" t="s">
        <v>118</v>
      </c>
      <c r="E121" t="s">
        <v>266</v>
      </c>
      <c r="F121" t="s">
        <v>296</v>
      </c>
      <c r="G121" t="s">
        <v>118</v>
      </c>
      <c r="H121" t="s">
        <v>123</v>
      </c>
    </row>
    <row r="122" spans="1:8" x14ac:dyDescent="0.2">
      <c r="A122" s="20">
        <v>45317.382870370369</v>
      </c>
      <c r="B122" t="s">
        <v>531</v>
      </c>
      <c r="C122" t="s">
        <v>293</v>
      </c>
      <c r="D122" t="s">
        <v>118</v>
      </c>
      <c r="E122" t="s">
        <v>266</v>
      </c>
      <c r="F122" t="s">
        <v>294</v>
      </c>
      <c r="G122" t="s">
        <v>118</v>
      </c>
      <c r="H122" t="s">
        <v>295</v>
      </c>
    </row>
    <row r="123" spans="1:8" x14ac:dyDescent="0.2">
      <c r="A123" s="20">
        <v>45317.004953703705</v>
      </c>
      <c r="B123" t="s">
        <v>290</v>
      </c>
      <c r="C123" t="s">
        <v>387</v>
      </c>
      <c r="D123" t="s">
        <v>118</v>
      </c>
      <c r="E123" t="s">
        <v>266</v>
      </c>
      <c r="F123" t="s">
        <v>291</v>
      </c>
      <c r="G123" t="s">
        <v>118</v>
      </c>
      <c r="H123" t="s">
        <v>290</v>
      </c>
    </row>
    <row r="124" spans="1:8" x14ac:dyDescent="0.2">
      <c r="A124" s="20">
        <v>45317.002812500003</v>
      </c>
      <c r="B124" t="s">
        <v>204</v>
      </c>
      <c r="C124" t="s">
        <v>286</v>
      </c>
      <c r="D124" t="s">
        <v>118</v>
      </c>
      <c r="E124" t="s">
        <v>266</v>
      </c>
      <c r="F124" t="s">
        <v>287</v>
      </c>
      <c r="G124" t="s">
        <v>288</v>
      </c>
      <c r="H124" t="s">
        <v>289</v>
      </c>
    </row>
    <row r="125" spans="1:8" x14ac:dyDescent="0.2">
      <c r="A125" s="20">
        <v>45316.993101851855</v>
      </c>
      <c r="B125" t="s">
        <v>124</v>
      </c>
      <c r="C125" t="s">
        <v>125</v>
      </c>
      <c r="D125" t="s">
        <v>118</v>
      </c>
      <c r="E125" t="s">
        <v>266</v>
      </c>
      <c r="F125" t="s">
        <v>284</v>
      </c>
      <c r="G125" t="s">
        <v>285</v>
      </c>
      <c r="H125" t="s">
        <v>128</v>
      </c>
    </row>
    <row r="126" spans="1:8" x14ac:dyDescent="0.2">
      <c r="A126" s="20">
        <v>45316.916180555556</v>
      </c>
      <c r="B126" t="s">
        <v>103</v>
      </c>
      <c r="C126" t="s">
        <v>104</v>
      </c>
      <c r="D126" t="s">
        <v>118</v>
      </c>
      <c r="E126" t="s">
        <v>266</v>
      </c>
      <c r="F126" t="s">
        <v>283</v>
      </c>
      <c r="G126" t="s">
        <v>118</v>
      </c>
      <c r="H126" t="s">
        <v>103</v>
      </c>
    </row>
    <row r="127" spans="1:8" x14ac:dyDescent="0.2">
      <c r="A127" s="20">
        <v>45316.907199074078</v>
      </c>
      <c r="B127" t="s">
        <v>131</v>
      </c>
      <c r="C127" t="s">
        <v>132</v>
      </c>
      <c r="D127" t="s">
        <v>118</v>
      </c>
      <c r="E127" t="s">
        <v>266</v>
      </c>
      <c r="F127" t="s">
        <v>281</v>
      </c>
      <c r="G127" t="s">
        <v>118</v>
      </c>
      <c r="H127" t="s">
        <v>282</v>
      </c>
    </row>
    <row r="128" spans="1:8" x14ac:dyDescent="0.2">
      <c r="A128" s="20">
        <v>45316.556284722225</v>
      </c>
      <c r="B128" t="s">
        <v>388</v>
      </c>
      <c r="C128" t="s">
        <v>148</v>
      </c>
      <c r="D128" t="s">
        <v>118</v>
      </c>
      <c r="E128" t="s">
        <v>266</v>
      </c>
      <c r="F128" t="s">
        <v>279</v>
      </c>
      <c r="G128" t="s">
        <v>118</v>
      </c>
      <c r="H128" t="s">
        <v>280</v>
      </c>
    </row>
    <row r="129" spans="1:8" x14ac:dyDescent="0.2">
      <c r="A129" s="20">
        <v>45316.547268518516</v>
      </c>
      <c r="B129" t="s">
        <v>72</v>
      </c>
      <c r="C129" t="s">
        <v>73</v>
      </c>
      <c r="D129" t="s">
        <v>118</v>
      </c>
      <c r="E129" t="s">
        <v>266</v>
      </c>
      <c r="F129" t="s">
        <v>276</v>
      </c>
      <c r="G129" t="s">
        <v>277</v>
      </c>
      <c r="H129" t="s">
        <v>278</v>
      </c>
    </row>
    <row r="130" spans="1:8" x14ac:dyDescent="0.2">
      <c r="A130" s="20">
        <v>45316.542824074073</v>
      </c>
      <c r="B130" t="s">
        <v>138</v>
      </c>
      <c r="C130" t="s">
        <v>139</v>
      </c>
      <c r="D130" t="s">
        <v>118</v>
      </c>
      <c r="E130" t="s">
        <v>266</v>
      </c>
      <c r="F130" t="s">
        <v>274</v>
      </c>
      <c r="G130" t="s">
        <v>118</v>
      </c>
      <c r="H130" t="s">
        <v>275</v>
      </c>
    </row>
    <row r="131" spans="1:8" x14ac:dyDescent="0.2">
      <c r="A131" s="20">
        <v>45316.463750000003</v>
      </c>
      <c r="B131" t="s">
        <v>135</v>
      </c>
      <c r="C131" t="s">
        <v>389</v>
      </c>
      <c r="D131" t="s">
        <v>118</v>
      </c>
      <c r="E131" t="s">
        <v>266</v>
      </c>
      <c r="F131" t="s">
        <v>272</v>
      </c>
      <c r="G131" t="s">
        <v>273</v>
      </c>
      <c r="H131" t="s">
        <v>42</v>
      </c>
    </row>
    <row r="132" spans="1:8" x14ac:dyDescent="0.2">
      <c r="A132" s="20">
        <v>45316.33934027778</v>
      </c>
      <c r="B132" t="s">
        <v>28</v>
      </c>
      <c r="C132" t="s">
        <v>29</v>
      </c>
      <c r="D132" t="s">
        <v>118</v>
      </c>
      <c r="E132" t="s">
        <v>266</v>
      </c>
      <c r="F132" t="s">
        <v>269</v>
      </c>
      <c r="G132" t="s">
        <v>270</v>
      </c>
      <c r="H132" t="s">
        <v>271</v>
      </c>
    </row>
    <row r="133" spans="1:8" x14ac:dyDescent="0.2">
      <c r="A133" s="20">
        <v>45315.717592592591</v>
      </c>
      <c r="B133" t="s">
        <v>264</v>
      </c>
      <c r="C133" t="s">
        <v>265</v>
      </c>
      <c r="D133" t="s">
        <v>118</v>
      </c>
      <c r="E133" t="s">
        <v>266</v>
      </c>
      <c r="F133" t="s">
        <v>267</v>
      </c>
      <c r="G133" t="s">
        <v>118</v>
      </c>
      <c r="H133" t="s">
        <v>264</v>
      </c>
    </row>
    <row r="134" spans="1:8" x14ac:dyDescent="0.2">
      <c r="A134" s="20">
        <v>45308.841666666667</v>
      </c>
      <c r="B134" t="s">
        <v>160</v>
      </c>
      <c r="C134" t="s">
        <v>260</v>
      </c>
      <c r="D134" t="s">
        <v>118</v>
      </c>
      <c r="E134" t="s">
        <v>99</v>
      </c>
      <c r="F134" t="s">
        <v>261</v>
      </c>
      <c r="G134" t="s">
        <v>262</v>
      </c>
      <c r="H134" t="s">
        <v>263</v>
      </c>
    </row>
    <row r="135" spans="1:8" x14ac:dyDescent="0.2">
      <c r="A135" s="20">
        <v>45292.95820601852</v>
      </c>
      <c r="B135" t="s">
        <v>28</v>
      </c>
      <c r="C135" t="s">
        <v>390</v>
      </c>
      <c r="D135" t="s">
        <v>118</v>
      </c>
      <c r="E135" t="s">
        <v>99</v>
      </c>
      <c r="F135" t="s">
        <v>259</v>
      </c>
      <c r="G135" t="s">
        <v>241</v>
      </c>
      <c r="H135" t="s">
        <v>242</v>
      </c>
    </row>
    <row r="136" spans="1:8" x14ac:dyDescent="0.2">
      <c r="A136" s="20">
        <v>45292.790462962963</v>
      </c>
      <c r="B136" t="s">
        <v>256</v>
      </c>
      <c r="C136" t="s">
        <v>257</v>
      </c>
      <c r="D136" t="s">
        <v>118</v>
      </c>
      <c r="E136" t="s">
        <v>99</v>
      </c>
      <c r="F136" t="s">
        <v>258</v>
      </c>
      <c r="G136" t="s">
        <v>118</v>
      </c>
      <c r="H136" t="s">
        <v>240</v>
      </c>
    </row>
    <row r="137" spans="1:8" x14ac:dyDescent="0.2">
      <c r="A137" s="20">
        <v>45292.578611111108</v>
      </c>
      <c r="B137" t="s">
        <v>72</v>
      </c>
      <c r="C137" t="s">
        <v>553</v>
      </c>
      <c r="D137" t="s">
        <v>118</v>
      </c>
      <c r="E137" t="s">
        <v>99</v>
      </c>
      <c r="F137" t="s">
        <v>255</v>
      </c>
      <c r="G137" t="s">
        <v>118</v>
      </c>
      <c r="H137" t="s">
        <v>238</v>
      </c>
    </row>
    <row r="138" spans="1:8" x14ac:dyDescent="0.2">
      <c r="A138" s="20">
        <v>45290.998888888891</v>
      </c>
      <c r="B138" t="s">
        <v>342</v>
      </c>
      <c r="C138" t="s">
        <v>211</v>
      </c>
      <c r="D138" t="s">
        <v>118</v>
      </c>
      <c r="E138" t="s">
        <v>99</v>
      </c>
      <c r="F138" t="s">
        <v>212</v>
      </c>
      <c r="G138" t="s">
        <v>118</v>
      </c>
      <c r="H138" t="s">
        <v>213</v>
      </c>
    </row>
    <row r="139" spans="1:8" x14ac:dyDescent="0.2">
      <c r="A139" s="20">
        <v>45290.920243055552</v>
      </c>
      <c r="B139" t="s">
        <v>207</v>
      </c>
      <c r="C139" t="s">
        <v>208</v>
      </c>
      <c r="D139" t="s">
        <v>118</v>
      </c>
      <c r="E139" t="s">
        <v>99</v>
      </c>
      <c r="F139" t="s">
        <v>209</v>
      </c>
      <c r="G139" t="s">
        <v>210</v>
      </c>
      <c r="H139" t="s">
        <v>207</v>
      </c>
    </row>
    <row r="140" spans="1:8" x14ac:dyDescent="0.2">
      <c r="A140" s="20">
        <v>45290.901643518519</v>
      </c>
      <c r="B140" t="s">
        <v>204</v>
      </c>
      <c r="C140" t="s">
        <v>378</v>
      </c>
      <c r="D140" t="s">
        <v>118</v>
      </c>
      <c r="E140" t="s">
        <v>99</v>
      </c>
      <c r="F140" t="s">
        <v>205</v>
      </c>
      <c r="G140" t="s">
        <v>206</v>
      </c>
      <c r="H140" t="s">
        <v>37</v>
      </c>
    </row>
    <row r="141" spans="1:8" x14ac:dyDescent="0.2">
      <c r="A141" s="20">
        <v>45290.842523148145</v>
      </c>
      <c r="B141" t="s">
        <v>200</v>
      </c>
      <c r="C141" t="s">
        <v>201</v>
      </c>
      <c r="D141" t="s">
        <v>118</v>
      </c>
      <c r="E141" t="s">
        <v>99</v>
      </c>
      <c r="F141" t="s">
        <v>202</v>
      </c>
      <c r="G141" t="s">
        <v>118</v>
      </c>
      <c r="H141" t="s">
        <v>203</v>
      </c>
    </row>
    <row r="142" spans="1:8" x14ac:dyDescent="0.2">
      <c r="A142" s="20">
        <v>45290.582708333335</v>
      </c>
      <c r="B142" t="s">
        <v>195</v>
      </c>
      <c r="C142" t="s">
        <v>196</v>
      </c>
      <c r="D142" t="s">
        <v>118</v>
      </c>
      <c r="E142" t="s">
        <v>99</v>
      </c>
      <c r="F142" t="s">
        <v>197</v>
      </c>
      <c r="G142" t="s">
        <v>198</v>
      </c>
      <c r="H142" t="s">
        <v>199</v>
      </c>
    </row>
    <row r="143" spans="1:8" x14ac:dyDescent="0.2">
      <c r="A143" s="20">
        <v>45290.557592592595</v>
      </c>
      <c r="B143" t="s">
        <v>115</v>
      </c>
      <c r="C143" t="s">
        <v>391</v>
      </c>
      <c r="D143" t="s">
        <v>118</v>
      </c>
      <c r="E143" t="s">
        <v>99</v>
      </c>
      <c r="F143" t="s">
        <v>192</v>
      </c>
      <c r="G143" t="s">
        <v>193</v>
      </c>
      <c r="H143" t="s">
        <v>194</v>
      </c>
    </row>
    <row r="144" spans="1:8" x14ac:dyDescent="0.2">
      <c r="A144" s="20">
        <v>45290.553182870368</v>
      </c>
      <c r="B144" t="s">
        <v>188</v>
      </c>
      <c r="C144" t="s">
        <v>189</v>
      </c>
      <c r="D144" t="s">
        <v>118</v>
      </c>
      <c r="E144" t="s">
        <v>99</v>
      </c>
      <c r="F144" t="s">
        <v>190</v>
      </c>
      <c r="G144" t="s">
        <v>118</v>
      </c>
      <c r="H144" t="s">
        <v>191</v>
      </c>
    </row>
    <row r="145" spans="1:8" x14ac:dyDescent="0.2">
      <c r="A145">
        <v>45290.494930555556</v>
      </c>
      <c r="B145" t="s">
        <v>28</v>
      </c>
      <c r="C145" t="s">
        <v>185</v>
      </c>
      <c r="D145" t="s">
        <v>118</v>
      </c>
      <c r="E145" t="s">
        <v>99</v>
      </c>
      <c r="F145" t="s">
        <v>186</v>
      </c>
      <c r="G145" t="s">
        <v>118</v>
      </c>
      <c r="H145" t="s">
        <v>187</v>
      </c>
    </row>
    <row r="146" spans="1:8" x14ac:dyDescent="0.2">
      <c r="A146">
        <v>45290.419479166667</v>
      </c>
      <c r="B146" t="s">
        <v>382</v>
      </c>
      <c r="C146" t="s">
        <v>182</v>
      </c>
      <c r="D146" t="s">
        <v>118</v>
      </c>
      <c r="E146" t="s">
        <v>99</v>
      </c>
      <c r="F146" t="s">
        <v>183</v>
      </c>
      <c r="G146" t="s">
        <v>118</v>
      </c>
      <c r="H146" t="s">
        <v>184</v>
      </c>
    </row>
    <row r="147" spans="1:8" x14ac:dyDescent="0.2">
      <c r="A147">
        <v>45289.776620370372</v>
      </c>
      <c r="B147" t="s">
        <v>392</v>
      </c>
      <c r="C147" t="s">
        <v>393</v>
      </c>
      <c r="D147" t="s">
        <v>118</v>
      </c>
      <c r="E147" t="s">
        <v>99</v>
      </c>
      <c r="F147" t="s">
        <v>179</v>
      </c>
      <c r="G147" t="s">
        <v>180</v>
      </c>
      <c r="H147" t="s">
        <v>181</v>
      </c>
    </row>
    <row r="148" spans="1:8" x14ac:dyDescent="0.2">
      <c r="A148">
        <v>45289.317233796297</v>
      </c>
      <c r="B148" t="s">
        <v>175</v>
      </c>
      <c r="C148" t="s">
        <v>23</v>
      </c>
      <c r="D148" t="s">
        <v>118</v>
      </c>
      <c r="E148" t="s">
        <v>99</v>
      </c>
      <c r="F148" t="s">
        <v>176</v>
      </c>
      <c r="G148" t="s">
        <v>177</v>
      </c>
      <c r="H148" t="s">
        <v>178</v>
      </c>
    </row>
    <row r="149" spans="1:8" x14ac:dyDescent="0.2">
      <c r="A149">
        <v>45289.047546296293</v>
      </c>
      <c r="B149" t="s">
        <v>28</v>
      </c>
      <c r="C149" t="s">
        <v>323</v>
      </c>
      <c r="D149" t="s">
        <v>118</v>
      </c>
      <c r="E149" t="s">
        <v>99</v>
      </c>
      <c r="F149" t="s">
        <v>173</v>
      </c>
      <c r="G149" t="s">
        <v>174</v>
      </c>
      <c r="H149" t="s">
        <v>2</v>
      </c>
    </row>
    <row r="150" spans="1:8" x14ac:dyDescent="0.2">
      <c r="A150">
        <v>45288.396469907406</v>
      </c>
      <c r="B150" t="s">
        <v>67</v>
      </c>
      <c r="C150" t="s">
        <v>68</v>
      </c>
      <c r="D150" t="s">
        <v>118</v>
      </c>
      <c r="E150" t="s">
        <v>99</v>
      </c>
      <c r="F150" t="s">
        <v>169</v>
      </c>
      <c r="G150" t="s">
        <v>170</v>
      </c>
      <c r="H150" t="s">
        <v>171</v>
      </c>
    </row>
    <row r="151" spans="1:8" x14ac:dyDescent="0.2">
      <c r="A151">
        <v>45288.008425925924</v>
      </c>
      <c r="B151" t="s">
        <v>124</v>
      </c>
      <c r="C151" t="s">
        <v>166</v>
      </c>
      <c r="D151" t="s">
        <v>118</v>
      </c>
      <c r="E151" t="s">
        <v>99</v>
      </c>
      <c r="F151" t="s">
        <v>167</v>
      </c>
      <c r="G151" t="s">
        <v>118</v>
      </c>
      <c r="H151" t="s">
        <v>168</v>
      </c>
    </row>
    <row r="152" spans="1:8" x14ac:dyDescent="0.2">
      <c r="A152">
        <v>45287.630069444444</v>
      </c>
      <c r="B152" t="s">
        <v>145</v>
      </c>
      <c r="C152" t="s">
        <v>380</v>
      </c>
      <c r="D152" t="s">
        <v>118</v>
      </c>
      <c r="E152" t="s">
        <v>99</v>
      </c>
      <c r="F152" t="s">
        <v>164</v>
      </c>
      <c r="G152" t="s">
        <v>165</v>
      </c>
      <c r="H152" t="s">
        <v>147</v>
      </c>
    </row>
    <row r="153" spans="1:8" x14ac:dyDescent="0.2">
      <c r="A153">
        <v>45287.622916666667</v>
      </c>
      <c r="B153" t="s">
        <v>160</v>
      </c>
      <c r="C153" t="s">
        <v>332</v>
      </c>
      <c r="D153" t="s">
        <v>118</v>
      </c>
      <c r="E153" t="s">
        <v>99</v>
      </c>
      <c r="F153" t="s">
        <v>161</v>
      </c>
      <c r="G153" t="s">
        <v>162</v>
      </c>
      <c r="H153" t="s">
        <v>163</v>
      </c>
    </row>
    <row r="154" spans="1:8" x14ac:dyDescent="0.2">
      <c r="A154">
        <v>45287.567766203705</v>
      </c>
      <c r="B154" t="s">
        <v>46</v>
      </c>
      <c r="C154" t="s">
        <v>47</v>
      </c>
      <c r="D154" t="s">
        <v>118</v>
      </c>
      <c r="E154" t="s">
        <v>99</v>
      </c>
      <c r="F154" t="s">
        <v>157</v>
      </c>
      <c r="G154" t="s">
        <v>158</v>
      </c>
      <c r="H154" t="s">
        <v>159</v>
      </c>
    </row>
    <row r="155" spans="1:8" x14ac:dyDescent="0.2">
      <c r="A155">
        <v>45287.557025462964</v>
      </c>
      <c r="B155" t="s">
        <v>28</v>
      </c>
      <c r="C155" t="s">
        <v>29</v>
      </c>
      <c r="D155" t="s">
        <v>118</v>
      </c>
      <c r="E155" t="s">
        <v>99</v>
      </c>
      <c r="F155" t="s">
        <v>154</v>
      </c>
      <c r="G155" t="s">
        <v>155</v>
      </c>
      <c r="H155" t="s">
        <v>156</v>
      </c>
    </row>
    <row r="156" spans="1:8" x14ac:dyDescent="0.2">
      <c r="A156">
        <v>45287.555706018517</v>
      </c>
      <c r="B156" t="s">
        <v>8</v>
      </c>
      <c r="C156" t="s">
        <v>152</v>
      </c>
      <c r="D156" t="s">
        <v>118</v>
      </c>
      <c r="E156" t="s">
        <v>99</v>
      </c>
      <c r="F156" t="s">
        <v>153</v>
      </c>
      <c r="G156" t="s">
        <v>118</v>
      </c>
      <c r="H156" t="s">
        <v>8</v>
      </c>
    </row>
    <row r="157" spans="1:8" x14ac:dyDescent="0.2">
      <c r="A157">
        <v>45287.524317129632</v>
      </c>
      <c r="B157" t="s">
        <v>388</v>
      </c>
      <c r="C157" t="s">
        <v>148</v>
      </c>
      <c r="D157" t="s">
        <v>118</v>
      </c>
      <c r="E157" t="s">
        <v>99</v>
      </c>
      <c r="F157" t="s">
        <v>149</v>
      </c>
      <c r="G157" t="s">
        <v>150</v>
      </c>
      <c r="H157" t="s">
        <v>151</v>
      </c>
    </row>
    <row r="158" spans="1:8" x14ac:dyDescent="0.2">
      <c r="A158">
        <v>45287.507048611114</v>
      </c>
      <c r="B158" t="s">
        <v>76</v>
      </c>
      <c r="C158" t="s">
        <v>77</v>
      </c>
      <c r="D158" t="s">
        <v>118</v>
      </c>
      <c r="E158" t="s">
        <v>99</v>
      </c>
      <c r="F158" t="s">
        <v>143</v>
      </c>
      <c r="G158" t="s">
        <v>144</v>
      </c>
      <c r="H158" t="s">
        <v>76</v>
      </c>
    </row>
    <row r="159" spans="1:8" x14ac:dyDescent="0.2">
      <c r="A159">
        <v>45287.436030092591</v>
      </c>
      <c r="B159" t="s">
        <v>138</v>
      </c>
      <c r="C159" t="s">
        <v>139</v>
      </c>
      <c r="D159" t="s">
        <v>118</v>
      </c>
      <c r="E159" t="s">
        <v>99</v>
      </c>
      <c r="F159" t="s">
        <v>140</v>
      </c>
      <c r="G159" t="s">
        <v>141</v>
      </c>
      <c r="H159" t="s">
        <v>142</v>
      </c>
    </row>
    <row r="160" spans="1:8" x14ac:dyDescent="0.2">
      <c r="A160">
        <v>45286.765601851854</v>
      </c>
      <c r="B160" t="s">
        <v>135</v>
      </c>
      <c r="C160" t="s">
        <v>389</v>
      </c>
      <c r="D160" t="s">
        <v>118</v>
      </c>
      <c r="E160" t="s">
        <v>99</v>
      </c>
      <c r="F160" t="s">
        <v>136</v>
      </c>
      <c r="G160" t="s">
        <v>137</v>
      </c>
      <c r="H160" t="s">
        <v>42</v>
      </c>
    </row>
    <row r="161" spans="1:8" x14ac:dyDescent="0.2">
      <c r="A161">
        <v>45284.588472222225</v>
      </c>
      <c r="B161" t="s">
        <v>131</v>
      </c>
      <c r="C161" t="s">
        <v>132</v>
      </c>
      <c r="D161" t="s">
        <v>118</v>
      </c>
      <c r="E161" t="s">
        <v>99</v>
      </c>
      <c r="F161" t="s">
        <v>133</v>
      </c>
      <c r="G161" t="s">
        <v>118</v>
      </c>
      <c r="H161" t="s">
        <v>134</v>
      </c>
    </row>
    <row r="162" spans="1:8" x14ac:dyDescent="0.2">
      <c r="A162">
        <v>45284.322118055556</v>
      </c>
      <c r="B162" t="s">
        <v>130</v>
      </c>
      <c r="C162" t="s">
        <v>86</v>
      </c>
      <c r="D162" t="s">
        <v>118</v>
      </c>
      <c r="E162" t="s">
        <v>99</v>
      </c>
      <c r="F162" t="s">
        <v>129</v>
      </c>
      <c r="G162" t="s">
        <v>118</v>
      </c>
      <c r="H162" t="s">
        <v>130</v>
      </c>
    </row>
    <row r="163" spans="1:8" x14ac:dyDescent="0.2">
      <c r="A163">
        <v>45284.07</v>
      </c>
      <c r="B163" t="s">
        <v>124</v>
      </c>
      <c r="C163" t="s">
        <v>125</v>
      </c>
      <c r="D163" t="s">
        <v>118</v>
      </c>
      <c r="E163" t="s">
        <v>99</v>
      </c>
      <c r="F163" t="s">
        <v>126</v>
      </c>
      <c r="G163" t="s">
        <v>127</v>
      </c>
      <c r="H163" t="s">
        <v>128</v>
      </c>
    </row>
    <row r="164" spans="1:8" x14ac:dyDescent="0.2">
      <c r="A164">
        <v>45283.995694444442</v>
      </c>
      <c r="B164" t="s">
        <v>120</v>
      </c>
      <c r="C164" t="s">
        <v>121</v>
      </c>
      <c r="D164" t="s">
        <v>118</v>
      </c>
      <c r="E164" t="s">
        <v>99</v>
      </c>
      <c r="F164" t="s">
        <v>122</v>
      </c>
      <c r="G164" t="s">
        <v>118</v>
      </c>
      <c r="H164" t="s">
        <v>123</v>
      </c>
    </row>
    <row r="165" spans="1:8" x14ac:dyDescent="0.2">
      <c r="A165">
        <v>45283.682013888887</v>
      </c>
      <c r="B165" t="s">
        <v>115</v>
      </c>
      <c r="C165" t="s">
        <v>394</v>
      </c>
      <c r="D165" t="s">
        <v>118</v>
      </c>
      <c r="E165" t="s">
        <v>99</v>
      </c>
      <c r="F165" t="s">
        <v>116</v>
      </c>
      <c r="G165" t="s">
        <v>118</v>
      </c>
      <c r="H165" t="s">
        <v>117</v>
      </c>
    </row>
    <row r="166" spans="1:8" x14ac:dyDescent="0.2">
      <c r="A166">
        <v>45283.64875</v>
      </c>
      <c r="B166" t="s">
        <v>112</v>
      </c>
      <c r="C166" t="s">
        <v>395</v>
      </c>
      <c r="D166" t="s">
        <v>118</v>
      </c>
      <c r="E166" t="s">
        <v>99</v>
      </c>
      <c r="F166" t="s">
        <v>113</v>
      </c>
      <c r="G166" t="s">
        <v>118</v>
      </c>
      <c r="H166" t="s">
        <v>114</v>
      </c>
    </row>
    <row r="167" spans="1:8" x14ac:dyDescent="0.2">
      <c r="A167">
        <v>45283.532418981478</v>
      </c>
      <c r="B167" t="s">
        <v>107</v>
      </c>
      <c r="C167" t="s">
        <v>108</v>
      </c>
      <c r="D167" t="s">
        <v>118</v>
      </c>
      <c r="E167" t="s">
        <v>99</v>
      </c>
      <c r="F167" t="s">
        <v>109</v>
      </c>
      <c r="G167" t="s">
        <v>110</v>
      </c>
      <c r="H167" t="s">
        <v>111</v>
      </c>
    </row>
    <row r="168" spans="1:8" x14ac:dyDescent="0.2">
      <c r="A168">
        <v>45283.365474537037</v>
      </c>
      <c r="B168" t="s">
        <v>103</v>
      </c>
      <c r="C168" t="s">
        <v>104</v>
      </c>
      <c r="D168" t="s">
        <v>118</v>
      </c>
      <c r="E168" t="s">
        <v>99</v>
      </c>
      <c r="F168" t="s">
        <v>105</v>
      </c>
      <c r="G168" t="s">
        <v>118</v>
      </c>
      <c r="H168" t="s">
        <v>106</v>
      </c>
    </row>
    <row r="169" spans="1:8" x14ac:dyDescent="0.2">
      <c r="A169">
        <v>45283.361006944448</v>
      </c>
      <c r="B169" t="s">
        <v>385</v>
      </c>
      <c r="C169" t="s">
        <v>379</v>
      </c>
      <c r="D169" t="s">
        <v>118</v>
      </c>
      <c r="E169" t="s">
        <v>99</v>
      </c>
      <c r="F169" t="s">
        <v>100</v>
      </c>
      <c r="G169" t="s">
        <v>101</v>
      </c>
      <c r="H169" t="s">
        <v>102</v>
      </c>
    </row>
    <row r="170" spans="1:8" x14ac:dyDescent="0.2">
      <c r="A170">
        <v>45278.658449074072</v>
      </c>
      <c r="B170" t="s">
        <v>94</v>
      </c>
      <c r="C170" t="s">
        <v>95</v>
      </c>
      <c r="D170" t="s">
        <v>96</v>
      </c>
      <c r="E170" t="s">
        <v>57</v>
      </c>
      <c r="F170" t="s">
        <v>97</v>
      </c>
      <c r="G170" t="s">
        <v>98</v>
      </c>
      <c r="H170" t="s">
        <v>118</v>
      </c>
    </row>
    <row r="171" spans="1:8" x14ac:dyDescent="0.2">
      <c r="A171">
        <v>45261.792870370373</v>
      </c>
      <c r="B171" t="s">
        <v>396</v>
      </c>
      <c r="C171" t="s">
        <v>379</v>
      </c>
      <c r="D171" t="s">
        <v>91</v>
      </c>
      <c r="E171" t="s">
        <v>25</v>
      </c>
      <c r="F171" t="s">
        <v>92</v>
      </c>
      <c r="G171" t="s">
        <v>93</v>
      </c>
      <c r="H171" t="s">
        <v>118</v>
      </c>
    </row>
    <row r="172" spans="1:8" x14ac:dyDescent="0.2">
      <c r="A172">
        <v>45260.915312500001</v>
      </c>
      <c r="B172" t="s">
        <v>130</v>
      </c>
      <c r="C172" t="s">
        <v>86</v>
      </c>
      <c r="D172" t="s">
        <v>87</v>
      </c>
      <c r="E172" t="s">
        <v>25</v>
      </c>
      <c r="F172" t="s">
        <v>88</v>
      </c>
      <c r="G172" t="s">
        <v>89</v>
      </c>
      <c r="H172" t="s">
        <v>118</v>
      </c>
    </row>
    <row r="173" spans="1:8" x14ac:dyDescent="0.2">
      <c r="A173">
        <v>45260.507997685185</v>
      </c>
      <c r="B173" t="s">
        <v>397</v>
      </c>
      <c r="C173" t="s">
        <v>83</v>
      </c>
      <c r="D173" t="s">
        <v>84</v>
      </c>
      <c r="E173" t="s">
        <v>25</v>
      </c>
      <c r="F173" t="s">
        <v>85</v>
      </c>
      <c r="G173" t="s">
        <v>119</v>
      </c>
      <c r="H173" t="s">
        <v>118</v>
      </c>
    </row>
    <row r="174" spans="1:8" x14ac:dyDescent="0.2">
      <c r="A174">
        <v>45260.092152777775</v>
      </c>
      <c r="B174" t="s">
        <v>28</v>
      </c>
      <c r="C174" t="s">
        <v>172</v>
      </c>
      <c r="D174" t="s">
        <v>80</v>
      </c>
      <c r="E174" t="s">
        <v>25</v>
      </c>
      <c r="F174" t="s">
        <v>81</v>
      </c>
      <c r="G174" t="s">
        <v>82</v>
      </c>
      <c r="H174" t="s">
        <v>118</v>
      </c>
    </row>
    <row r="175" spans="1:8" x14ac:dyDescent="0.2">
      <c r="A175">
        <v>45259.776666666665</v>
      </c>
      <c r="B175" t="s">
        <v>76</v>
      </c>
      <c r="C175" t="s">
        <v>77</v>
      </c>
      <c r="D175" t="s">
        <v>118</v>
      </c>
      <c r="E175" t="s">
        <v>25</v>
      </c>
      <c r="F175" t="s">
        <v>78</v>
      </c>
      <c r="G175" t="s">
        <v>79</v>
      </c>
      <c r="H175" t="s">
        <v>118</v>
      </c>
    </row>
    <row r="176" spans="1:8" x14ac:dyDescent="0.2">
      <c r="A176">
        <v>45259.677465277775</v>
      </c>
      <c r="B176" t="s">
        <v>72</v>
      </c>
      <c r="C176" t="s">
        <v>73</v>
      </c>
      <c r="D176" t="s">
        <v>118</v>
      </c>
      <c r="E176" t="s">
        <v>25</v>
      </c>
      <c r="F176" t="s">
        <v>74</v>
      </c>
      <c r="G176" t="s">
        <v>75</v>
      </c>
      <c r="H176" t="s">
        <v>118</v>
      </c>
    </row>
    <row r="177" spans="1:8" x14ac:dyDescent="0.2">
      <c r="A177">
        <v>45259.546273148146</v>
      </c>
      <c r="B177" t="s">
        <v>67</v>
      </c>
      <c r="C177" t="s">
        <v>68</v>
      </c>
      <c r="D177" t="s">
        <v>69</v>
      </c>
      <c r="E177" t="s">
        <v>25</v>
      </c>
      <c r="F177" t="s">
        <v>70</v>
      </c>
      <c r="G177" t="s">
        <v>71</v>
      </c>
      <c r="H177" t="s">
        <v>118</v>
      </c>
    </row>
    <row r="178" spans="1:8" x14ac:dyDescent="0.2">
      <c r="A178">
        <v>45258.841527777775</v>
      </c>
      <c r="B178" t="s">
        <v>64</v>
      </c>
      <c r="C178" t="s">
        <v>398</v>
      </c>
      <c r="D178" t="s">
        <v>65</v>
      </c>
      <c r="E178" t="s">
        <v>25</v>
      </c>
      <c r="F178" t="s">
        <v>66</v>
      </c>
      <c r="G178" t="s">
        <v>118</v>
      </c>
      <c r="H178" t="s">
        <v>118</v>
      </c>
    </row>
    <row r="179" spans="1:8" x14ac:dyDescent="0.2">
      <c r="A179">
        <v>45258.596354166664</v>
      </c>
      <c r="B179" t="s">
        <v>60</v>
      </c>
      <c r="C179" t="s">
        <v>61</v>
      </c>
      <c r="D179" t="s">
        <v>62</v>
      </c>
      <c r="E179" t="s">
        <v>25</v>
      </c>
      <c r="F179" t="s">
        <v>63</v>
      </c>
      <c r="G179" t="s">
        <v>118</v>
      </c>
      <c r="H179" t="s">
        <v>118</v>
      </c>
    </row>
    <row r="180" spans="1:8" x14ac:dyDescent="0.2">
      <c r="A180">
        <v>45258.501655092594</v>
      </c>
      <c r="B180" t="s">
        <v>54</v>
      </c>
      <c r="C180" t="s">
        <v>55</v>
      </c>
      <c r="D180" t="s">
        <v>56</v>
      </c>
      <c r="E180" t="s">
        <v>57</v>
      </c>
      <c r="F180" t="s">
        <v>58</v>
      </c>
      <c r="G180" t="s">
        <v>59</v>
      </c>
      <c r="H180" t="s">
        <v>118</v>
      </c>
    </row>
    <row r="181" spans="1:8" x14ac:dyDescent="0.2">
      <c r="A181">
        <v>45258.395405092589</v>
      </c>
      <c r="B181" t="s">
        <v>138</v>
      </c>
      <c r="C181" t="s">
        <v>51</v>
      </c>
      <c r="D181" t="s">
        <v>52</v>
      </c>
      <c r="E181" t="s">
        <v>25</v>
      </c>
      <c r="F181" t="s">
        <v>53</v>
      </c>
      <c r="G181" t="s">
        <v>118</v>
      </c>
      <c r="H181" t="s">
        <v>118</v>
      </c>
    </row>
    <row r="182" spans="1:8" x14ac:dyDescent="0.2">
      <c r="A182">
        <v>45258.363553240742</v>
      </c>
      <c r="B182" t="s">
        <v>46</v>
      </c>
      <c r="C182" t="s">
        <v>47</v>
      </c>
      <c r="D182" t="s">
        <v>48</v>
      </c>
      <c r="E182" t="s">
        <v>25</v>
      </c>
      <c r="F182" t="s">
        <v>49</v>
      </c>
      <c r="G182" t="s">
        <v>50</v>
      </c>
      <c r="H182" t="s">
        <v>118</v>
      </c>
    </row>
    <row r="183" spans="1:8" x14ac:dyDescent="0.2">
      <c r="A183">
        <v>45258.352916666663</v>
      </c>
      <c r="B183" t="s">
        <v>135</v>
      </c>
      <c r="C183" t="s">
        <v>389</v>
      </c>
      <c r="D183" t="s">
        <v>43</v>
      </c>
      <c r="E183" t="s">
        <v>25</v>
      </c>
      <c r="F183" t="s">
        <v>44</v>
      </c>
      <c r="G183" t="s">
        <v>45</v>
      </c>
      <c r="H183" t="s">
        <v>118</v>
      </c>
    </row>
    <row r="184" spans="1:8" x14ac:dyDescent="0.2">
      <c r="A184">
        <v>45257.696655092594</v>
      </c>
      <c r="B184" t="s">
        <v>37</v>
      </c>
      <c r="C184" t="s">
        <v>38</v>
      </c>
      <c r="D184" t="s">
        <v>39</v>
      </c>
      <c r="E184" t="s">
        <v>25</v>
      </c>
      <c r="F184" t="s">
        <v>40</v>
      </c>
      <c r="G184" t="s">
        <v>41</v>
      </c>
      <c r="H184" t="s">
        <v>118</v>
      </c>
    </row>
    <row r="185" spans="1:8" x14ac:dyDescent="0.2">
      <c r="A185">
        <v>45257.586273148147</v>
      </c>
      <c r="B185" t="s">
        <v>33</v>
      </c>
      <c r="C185" t="s">
        <v>34</v>
      </c>
      <c r="D185" t="s">
        <v>118</v>
      </c>
      <c r="E185" t="s">
        <v>25</v>
      </c>
      <c r="F185" t="s">
        <v>35</v>
      </c>
      <c r="G185" t="s">
        <v>36</v>
      </c>
      <c r="H185" t="s">
        <v>118</v>
      </c>
    </row>
    <row r="186" spans="1:8" x14ac:dyDescent="0.2">
      <c r="A186">
        <v>45257.418854166666</v>
      </c>
      <c r="B186" t="s">
        <v>28</v>
      </c>
      <c r="C186" t="s">
        <v>29</v>
      </c>
      <c r="D186" t="s">
        <v>30</v>
      </c>
      <c r="E186" t="s">
        <v>25</v>
      </c>
      <c r="F186" t="s">
        <v>31</v>
      </c>
      <c r="G186" t="s">
        <v>32</v>
      </c>
      <c r="H186" t="s">
        <v>118</v>
      </c>
    </row>
    <row r="187" spans="1:8" x14ac:dyDescent="0.2">
      <c r="A187">
        <v>45255.743344907409</v>
      </c>
      <c r="B187" t="s">
        <v>22</v>
      </c>
      <c r="C187" t="s">
        <v>23</v>
      </c>
      <c r="D187" t="s">
        <v>24</v>
      </c>
      <c r="E187" t="s">
        <v>25</v>
      </c>
      <c r="F187" t="s">
        <v>26</v>
      </c>
      <c r="G187" t="s">
        <v>27</v>
      </c>
      <c r="H187"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X152"/>
  <sheetViews>
    <sheetView zoomScale="130" zoomScaleNormal="130" workbookViewId="0">
      <selection activeCell="Q3" sqref="Q3"/>
    </sheetView>
  </sheetViews>
  <sheetFormatPr baseColWidth="10" defaultRowHeight="12" x14ac:dyDescent="0.2"/>
  <cols>
    <col min="1" max="1" width="10" bestFit="1" customWidth="1"/>
    <col min="2" max="2" width="10.85546875"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7.140625" customWidth="1"/>
    <col min="12" max="12" width="0.85546875" customWidth="1"/>
    <col min="13" max="13" width="9.85546875" customWidth="1"/>
    <col min="14" max="14" width="9.28515625" style="4" bestFit="1" customWidth="1"/>
    <col min="15" max="15" width="1.28515625" customWidth="1"/>
    <col min="16" max="16" width="10" style="4" bestFit="1" customWidth="1"/>
    <col min="17" max="17" width="9.28515625" style="4" bestFit="1" customWidth="1"/>
    <col min="22" max="22" width="13.7109375" customWidth="1"/>
  </cols>
  <sheetData>
    <row r="1" spans="1:24" x14ac:dyDescent="0.2">
      <c r="A1" s="77" t="s">
        <v>341</v>
      </c>
      <c r="B1" s="77"/>
      <c r="D1" s="76" t="s">
        <v>237</v>
      </c>
      <c r="E1" s="76"/>
      <c r="G1" s="76" t="s">
        <v>368</v>
      </c>
      <c r="H1" s="76"/>
      <c r="J1" s="76" t="s">
        <v>476</v>
      </c>
      <c r="K1" s="76"/>
      <c r="M1" s="76" t="s">
        <v>551</v>
      </c>
      <c r="N1" s="76"/>
      <c r="P1" s="76" t="s">
        <v>664</v>
      </c>
      <c r="Q1" s="76"/>
      <c r="V1" t="s">
        <v>486</v>
      </c>
      <c r="W1" s="4">
        <f>MIN(omie[valor])</f>
        <v>0.44</v>
      </c>
      <c r="X1" s="5">
        <f>INDEX(omie[fecha],MATCH(W1,omie[valor],0))</f>
        <v>45387</v>
      </c>
    </row>
    <row r="2" spans="1:24" x14ac:dyDescent="0.2">
      <c r="A2" s="77"/>
      <c r="B2" s="77"/>
      <c r="D2" s="76"/>
      <c r="E2" s="76"/>
      <c r="G2" s="76"/>
      <c r="H2" s="76"/>
      <c r="J2" s="76"/>
      <c r="K2" s="76"/>
      <c r="M2" s="76"/>
      <c r="N2" s="76"/>
      <c r="P2" s="76"/>
      <c r="Q2" s="76"/>
    </row>
    <row r="3" spans="1:24" x14ac:dyDescent="0.2">
      <c r="A3" s="77"/>
      <c r="B3" s="77"/>
      <c r="D3" s="15" t="s">
        <v>14</v>
      </c>
      <c r="E3" s="25">
        <f>ROUND(AVERAGE(omie_enero[valor]),2)</f>
        <v>74.099999999999994</v>
      </c>
      <c r="G3" s="15" t="s">
        <v>14</v>
      </c>
      <c r="H3" s="25">
        <f>ROUND(AVERAGE(omie_febrero[valor]),2)</f>
        <v>40</v>
      </c>
      <c r="J3" s="15" t="s">
        <v>14</v>
      </c>
      <c r="K3" s="25">
        <f>ROUND(AVERAGE(omie_marzo[valor]),2)</f>
        <v>20.28</v>
      </c>
      <c r="M3" s="15" t="s">
        <v>14</v>
      </c>
      <c r="N3" s="25">
        <f>ROUND(AVERAGE(omie_abril[valor]),2)</f>
        <v>13.67</v>
      </c>
      <c r="P3" s="15" t="s">
        <v>14</v>
      </c>
      <c r="Q3" s="25">
        <f>ROUND(AVERAGE(omie_mayo[valor]),2)</f>
        <v>31.44</v>
      </c>
    </row>
    <row r="4" spans="1:24" x14ac:dyDescent="0.2">
      <c r="A4" s="2" t="s">
        <v>10</v>
      </c>
      <c r="B4" s="2" t="s">
        <v>11</v>
      </c>
      <c r="D4" s="4" t="s">
        <v>10</v>
      </c>
      <c r="E4" s="4" t="s">
        <v>11</v>
      </c>
      <c r="G4" s="4" t="s">
        <v>10</v>
      </c>
      <c r="H4" s="4" t="s">
        <v>11</v>
      </c>
      <c r="I4"/>
      <c r="J4" s="4" t="s">
        <v>10</v>
      </c>
      <c r="K4" s="4" t="s">
        <v>11</v>
      </c>
      <c r="M4" s="4" t="s">
        <v>10</v>
      </c>
      <c r="N4" s="4" t="s">
        <v>11</v>
      </c>
      <c r="P4" s="4" t="s">
        <v>10</v>
      </c>
      <c r="Q4" s="4" t="s">
        <v>11</v>
      </c>
    </row>
    <row r="5" spans="1:24" x14ac:dyDescent="0.2">
      <c r="A5" s="5">
        <v>45439</v>
      </c>
      <c r="B5" s="4">
        <v>30.84</v>
      </c>
      <c r="D5" s="24">
        <v>45292</v>
      </c>
      <c r="E5" s="21">
        <v>36.24</v>
      </c>
      <c r="G5" s="5">
        <v>45323</v>
      </c>
      <c r="H5" s="4">
        <v>70.95</v>
      </c>
      <c r="I5"/>
      <c r="J5" s="24">
        <v>45352</v>
      </c>
      <c r="K5">
        <v>2.14</v>
      </c>
      <c r="M5" s="5">
        <v>45383</v>
      </c>
      <c r="N5" s="4">
        <v>2.76</v>
      </c>
      <c r="P5" s="5">
        <v>45413</v>
      </c>
      <c r="Q5" s="115">
        <v>12.53</v>
      </c>
    </row>
    <row r="6" spans="1:24" x14ac:dyDescent="0.2">
      <c r="A6" s="5">
        <v>45438</v>
      </c>
      <c r="B6" s="4">
        <v>25.42</v>
      </c>
      <c r="D6" s="24">
        <v>45293</v>
      </c>
      <c r="E6" s="21">
        <v>40.909999999999997</v>
      </c>
      <c r="G6" s="5">
        <v>45324</v>
      </c>
      <c r="H6" s="4">
        <v>65.319999999999993</v>
      </c>
      <c r="J6" s="24">
        <v>45353</v>
      </c>
      <c r="K6">
        <v>4.16</v>
      </c>
      <c r="M6" s="5">
        <v>45384</v>
      </c>
      <c r="N6" s="4">
        <v>9.85</v>
      </c>
      <c r="P6" s="5">
        <v>45414</v>
      </c>
      <c r="Q6" s="115">
        <v>15.6</v>
      </c>
    </row>
    <row r="7" spans="1:24" x14ac:dyDescent="0.2">
      <c r="A7" s="5">
        <v>45437</v>
      </c>
      <c r="B7" s="4">
        <v>43.71</v>
      </c>
      <c r="D7" s="24">
        <v>45294</v>
      </c>
      <c r="E7" s="21">
        <v>55.08</v>
      </c>
      <c r="G7" s="5">
        <v>45325</v>
      </c>
      <c r="H7" s="4">
        <v>60.32</v>
      </c>
      <c r="J7" s="24">
        <v>45354</v>
      </c>
      <c r="K7">
        <v>3.79</v>
      </c>
      <c r="M7" s="24">
        <v>45385</v>
      </c>
      <c r="N7" s="4">
        <v>9.0299999999999994</v>
      </c>
      <c r="P7" s="5">
        <v>45415</v>
      </c>
      <c r="Q7" s="115">
        <v>26.11</v>
      </c>
    </row>
    <row r="8" spans="1:24" x14ac:dyDescent="0.2">
      <c r="A8" s="5">
        <v>45436</v>
      </c>
      <c r="B8" s="4">
        <v>71.67</v>
      </c>
      <c r="D8" s="24">
        <v>45295</v>
      </c>
      <c r="E8" s="21">
        <v>91.36</v>
      </c>
      <c r="G8" s="5">
        <v>45326</v>
      </c>
      <c r="H8" s="4">
        <v>63.1</v>
      </c>
      <c r="J8" s="24">
        <v>45355</v>
      </c>
      <c r="K8">
        <v>7.95</v>
      </c>
      <c r="M8" s="24">
        <v>45386</v>
      </c>
      <c r="N8" s="4">
        <v>4</v>
      </c>
      <c r="P8" s="5">
        <v>45416</v>
      </c>
      <c r="Q8" s="115">
        <v>14.8</v>
      </c>
    </row>
    <row r="9" spans="1:24" x14ac:dyDescent="0.2">
      <c r="A9" s="5">
        <v>45435</v>
      </c>
      <c r="B9" s="4">
        <v>60.45</v>
      </c>
      <c r="D9" s="24">
        <v>45296</v>
      </c>
      <c r="E9" s="21">
        <v>68.62</v>
      </c>
      <c r="G9" s="5">
        <v>45327</v>
      </c>
      <c r="H9" s="4">
        <v>80.92</v>
      </c>
      <c r="J9" s="24">
        <v>45356</v>
      </c>
      <c r="K9">
        <v>33.450000000000003</v>
      </c>
      <c r="M9" s="24">
        <v>45387</v>
      </c>
      <c r="N9" s="4">
        <v>0.44</v>
      </c>
      <c r="P9" s="5">
        <v>45417</v>
      </c>
      <c r="Q9" s="115">
        <v>17.53</v>
      </c>
    </row>
    <row r="10" spans="1:24" x14ac:dyDescent="0.2">
      <c r="A10" s="5">
        <v>45434</v>
      </c>
      <c r="B10" s="4">
        <v>44.76</v>
      </c>
      <c r="D10" s="24">
        <v>45297</v>
      </c>
      <c r="E10" s="21">
        <v>43.97</v>
      </c>
      <c r="G10" s="5">
        <v>45328</v>
      </c>
      <c r="H10" s="4">
        <v>74.03</v>
      </c>
      <c r="J10" s="24">
        <v>45357</v>
      </c>
      <c r="K10">
        <v>45.97</v>
      </c>
      <c r="M10" s="24">
        <v>45388</v>
      </c>
      <c r="N10" s="4">
        <v>0.74</v>
      </c>
      <c r="P10" s="5">
        <v>45418</v>
      </c>
      <c r="Q10" s="115">
        <v>47.8</v>
      </c>
    </row>
    <row r="11" spans="1:24" x14ac:dyDescent="0.2">
      <c r="A11" s="5">
        <v>45433</v>
      </c>
      <c r="B11" s="4">
        <v>46.09</v>
      </c>
      <c r="D11" s="24">
        <v>45298</v>
      </c>
      <c r="E11" s="21">
        <v>76</v>
      </c>
      <c r="G11" s="5">
        <v>45329</v>
      </c>
      <c r="H11" s="4">
        <v>50.11</v>
      </c>
      <c r="J11" s="24">
        <v>45358</v>
      </c>
      <c r="K11">
        <v>8.52</v>
      </c>
      <c r="M11" s="24">
        <v>45389</v>
      </c>
      <c r="N11" s="4">
        <v>4.05</v>
      </c>
      <c r="P11" s="5">
        <v>45419</v>
      </c>
      <c r="Q11" s="115">
        <v>42.04</v>
      </c>
    </row>
    <row r="12" spans="1:24" x14ac:dyDescent="0.2">
      <c r="A12" s="5">
        <v>45432</v>
      </c>
      <c r="B12" s="4">
        <v>32.72</v>
      </c>
      <c r="D12" s="24">
        <v>45299</v>
      </c>
      <c r="E12" s="21">
        <v>105.51</v>
      </c>
      <c r="G12" s="5">
        <v>45330</v>
      </c>
      <c r="H12" s="4">
        <v>38.67</v>
      </c>
      <c r="J12" s="24">
        <v>45359</v>
      </c>
      <c r="K12">
        <v>1.67</v>
      </c>
      <c r="M12" s="24">
        <v>45390</v>
      </c>
      <c r="N12" s="4">
        <v>0.52</v>
      </c>
      <c r="P12" s="5">
        <v>45420</v>
      </c>
      <c r="Q12" s="115">
        <v>21.24</v>
      </c>
    </row>
    <row r="13" spans="1:24" x14ac:dyDescent="0.2">
      <c r="A13" s="5">
        <v>45431</v>
      </c>
      <c r="B13" s="4">
        <v>26.6</v>
      </c>
      <c r="D13" s="24">
        <v>45300</v>
      </c>
      <c r="E13" s="21">
        <v>113.83</v>
      </c>
      <c r="G13" s="5">
        <v>45331</v>
      </c>
      <c r="H13" s="4">
        <v>40.18</v>
      </c>
      <c r="J13" s="24">
        <v>45360</v>
      </c>
      <c r="K13">
        <v>0.59</v>
      </c>
      <c r="M13" s="24">
        <v>45391</v>
      </c>
      <c r="N13" s="4">
        <v>1.29</v>
      </c>
      <c r="P13" s="5">
        <v>45421</v>
      </c>
      <c r="Q13" s="115">
        <v>33.54</v>
      </c>
    </row>
    <row r="14" spans="1:24" x14ac:dyDescent="0.2">
      <c r="A14" s="5">
        <v>45430</v>
      </c>
      <c r="B14" s="4">
        <v>32.99</v>
      </c>
      <c r="D14" s="24">
        <v>45301</v>
      </c>
      <c r="E14" s="21">
        <v>100.88</v>
      </c>
      <c r="G14" s="5">
        <v>45332</v>
      </c>
      <c r="H14" s="4">
        <v>9.4700000000000006</v>
      </c>
      <c r="J14" s="24">
        <v>45361</v>
      </c>
      <c r="K14">
        <v>0.54</v>
      </c>
      <c r="M14" s="24">
        <v>45392</v>
      </c>
      <c r="N14" s="4">
        <v>4.3099999999999996</v>
      </c>
      <c r="P14" s="5">
        <v>45422</v>
      </c>
      <c r="Q14" s="115">
        <v>28.95</v>
      </c>
    </row>
    <row r="15" spans="1:24" x14ac:dyDescent="0.2">
      <c r="A15" s="5">
        <v>45429</v>
      </c>
      <c r="B15" s="4">
        <v>53.42</v>
      </c>
      <c r="D15" s="24">
        <v>45302</v>
      </c>
      <c r="E15" s="21">
        <v>96.97</v>
      </c>
      <c r="G15" s="5">
        <v>45333</v>
      </c>
      <c r="H15" s="4">
        <v>44.83</v>
      </c>
      <c r="J15" s="24">
        <v>45362</v>
      </c>
      <c r="K15">
        <v>14.63</v>
      </c>
      <c r="M15" s="24">
        <v>45393</v>
      </c>
      <c r="N15" s="4">
        <v>12.03</v>
      </c>
      <c r="P15" s="5">
        <v>45423</v>
      </c>
      <c r="Q15" s="115">
        <v>20.59</v>
      </c>
    </row>
    <row r="16" spans="1:24" x14ac:dyDescent="0.2">
      <c r="A16" s="5">
        <v>45428</v>
      </c>
      <c r="B16" s="4">
        <v>32.35</v>
      </c>
      <c r="D16" s="24">
        <v>45303</v>
      </c>
      <c r="E16" s="21">
        <v>97.56</v>
      </c>
      <c r="G16" s="5">
        <v>45334</v>
      </c>
      <c r="H16" s="4">
        <v>45.85</v>
      </c>
      <c r="J16" s="24">
        <v>45363</v>
      </c>
      <c r="K16">
        <v>42.28</v>
      </c>
      <c r="M16" s="24">
        <v>45394</v>
      </c>
      <c r="N16" s="4">
        <v>19.940000000000001</v>
      </c>
      <c r="P16" s="5">
        <v>45424</v>
      </c>
      <c r="Q16" s="115">
        <v>21.53</v>
      </c>
    </row>
    <row r="17" spans="1:17" x14ac:dyDescent="0.2">
      <c r="A17" s="5">
        <v>45427</v>
      </c>
      <c r="B17" s="4">
        <v>14.21</v>
      </c>
      <c r="D17" s="24">
        <v>45304</v>
      </c>
      <c r="E17" s="21">
        <v>87.35</v>
      </c>
      <c r="G17" s="5">
        <v>45335</v>
      </c>
      <c r="H17" s="4">
        <v>62.72</v>
      </c>
      <c r="J17" s="24">
        <v>45364</v>
      </c>
      <c r="K17">
        <v>42.36</v>
      </c>
      <c r="M17" s="24">
        <v>45395</v>
      </c>
      <c r="N17" s="4">
        <v>9.17</v>
      </c>
      <c r="P17" s="5">
        <v>45425</v>
      </c>
      <c r="Q17" s="115">
        <v>23.34</v>
      </c>
    </row>
    <row r="18" spans="1:17" x14ac:dyDescent="0.2">
      <c r="A18" s="5">
        <v>45426</v>
      </c>
      <c r="B18" s="4">
        <v>8.14</v>
      </c>
      <c r="D18" s="24">
        <v>45305</v>
      </c>
      <c r="E18" s="21">
        <v>75.13</v>
      </c>
      <c r="G18" s="5">
        <v>45336</v>
      </c>
      <c r="H18" s="4">
        <v>59.57</v>
      </c>
      <c r="J18" s="24">
        <v>45365</v>
      </c>
      <c r="K18">
        <v>35.99</v>
      </c>
      <c r="M18" s="24">
        <v>45396</v>
      </c>
      <c r="N18" s="4">
        <v>5.6</v>
      </c>
      <c r="P18" s="5">
        <v>45426</v>
      </c>
      <c r="Q18" s="115">
        <v>8.14</v>
      </c>
    </row>
    <row r="19" spans="1:17" x14ac:dyDescent="0.2">
      <c r="A19" s="5">
        <v>45425</v>
      </c>
      <c r="B19" s="4">
        <v>23.34</v>
      </c>
      <c r="D19" s="24">
        <v>45306</v>
      </c>
      <c r="E19" s="21">
        <v>87.56</v>
      </c>
      <c r="G19" s="5">
        <v>45337</v>
      </c>
      <c r="H19" s="4">
        <v>51.22</v>
      </c>
      <c r="J19" s="24">
        <v>45366</v>
      </c>
      <c r="K19">
        <v>37.729999999999997</v>
      </c>
      <c r="M19" s="24">
        <v>45397</v>
      </c>
      <c r="N19" s="4">
        <v>3.48</v>
      </c>
      <c r="P19" s="5">
        <v>45427</v>
      </c>
      <c r="Q19" s="115">
        <v>14.21</v>
      </c>
    </row>
    <row r="20" spans="1:17" x14ac:dyDescent="0.2">
      <c r="A20" s="5">
        <v>45424</v>
      </c>
      <c r="B20" s="4">
        <v>21.53</v>
      </c>
      <c r="D20" s="24">
        <v>45307</v>
      </c>
      <c r="E20" s="21">
        <v>90.12</v>
      </c>
      <c r="G20" s="5">
        <v>45338</v>
      </c>
      <c r="H20" s="4">
        <v>54.24</v>
      </c>
      <c r="J20" s="24">
        <v>45367</v>
      </c>
      <c r="K20">
        <v>31.61</v>
      </c>
      <c r="M20" s="24">
        <v>45398</v>
      </c>
      <c r="N20" s="4">
        <v>1.37</v>
      </c>
      <c r="P20" s="5">
        <v>45428</v>
      </c>
      <c r="Q20" s="115">
        <v>32.35</v>
      </c>
    </row>
    <row r="21" spans="1:17" x14ac:dyDescent="0.2">
      <c r="A21" s="5">
        <v>45423</v>
      </c>
      <c r="B21" s="4">
        <v>20.59</v>
      </c>
      <c r="D21" s="24">
        <v>45308</v>
      </c>
      <c r="E21" s="21">
        <v>26.96</v>
      </c>
      <c r="G21" s="5">
        <v>45339</v>
      </c>
      <c r="H21" s="4">
        <v>48.69</v>
      </c>
      <c r="J21" s="24">
        <v>45368</v>
      </c>
      <c r="K21">
        <v>28.05</v>
      </c>
      <c r="M21" s="24">
        <v>45399</v>
      </c>
      <c r="N21" s="4">
        <v>3.26</v>
      </c>
      <c r="P21" s="5">
        <v>45429</v>
      </c>
      <c r="Q21" s="115">
        <v>53.42</v>
      </c>
    </row>
    <row r="22" spans="1:17" x14ac:dyDescent="0.2">
      <c r="A22" s="5">
        <v>45422</v>
      </c>
      <c r="B22" s="4">
        <v>28.95</v>
      </c>
      <c r="D22" s="24">
        <v>45309</v>
      </c>
      <c r="E22" s="21">
        <v>46.84</v>
      </c>
      <c r="G22" s="5">
        <v>45340</v>
      </c>
      <c r="H22" s="4">
        <v>47.04</v>
      </c>
      <c r="J22" s="24">
        <v>45369</v>
      </c>
      <c r="K22">
        <v>61.34</v>
      </c>
      <c r="M22" s="24">
        <v>45400</v>
      </c>
      <c r="N22" s="4">
        <v>4.54</v>
      </c>
      <c r="P22" s="5">
        <v>45430</v>
      </c>
      <c r="Q22" s="115">
        <v>32.99</v>
      </c>
    </row>
    <row r="23" spans="1:17" x14ac:dyDescent="0.2">
      <c r="A23" s="5">
        <v>45421</v>
      </c>
      <c r="B23" s="4">
        <v>33.54</v>
      </c>
      <c r="D23" s="24">
        <v>45310</v>
      </c>
      <c r="E23" s="21">
        <v>70.87</v>
      </c>
      <c r="G23" s="5">
        <v>45341</v>
      </c>
      <c r="H23" s="4">
        <v>45.55</v>
      </c>
      <c r="J23" s="24">
        <v>45370</v>
      </c>
      <c r="K23">
        <v>65</v>
      </c>
      <c r="M23" s="24">
        <v>45401</v>
      </c>
      <c r="N23" s="4">
        <v>15.18</v>
      </c>
      <c r="P23" s="5">
        <v>45431</v>
      </c>
      <c r="Q23" s="115">
        <v>26.6</v>
      </c>
    </row>
    <row r="24" spans="1:17" x14ac:dyDescent="0.2">
      <c r="A24" s="5">
        <v>45420</v>
      </c>
      <c r="B24" s="4">
        <v>21.24</v>
      </c>
      <c r="D24" s="24">
        <v>45311</v>
      </c>
      <c r="E24" s="21">
        <v>80.53</v>
      </c>
      <c r="G24" s="5">
        <v>45342</v>
      </c>
      <c r="H24" s="4">
        <v>52.86</v>
      </c>
      <c r="J24" s="24">
        <v>45371</v>
      </c>
      <c r="K24">
        <v>56.94</v>
      </c>
      <c r="M24" s="24">
        <v>45402</v>
      </c>
      <c r="N24" s="4">
        <v>5.66</v>
      </c>
      <c r="P24" s="5">
        <v>45432</v>
      </c>
      <c r="Q24" s="115">
        <v>32.72</v>
      </c>
    </row>
    <row r="25" spans="1:17" x14ac:dyDescent="0.2">
      <c r="A25" s="5">
        <v>45419</v>
      </c>
      <c r="B25" s="4">
        <v>42.04</v>
      </c>
      <c r="D25" s="24">
        <v>45312</v>
      </c>
      <c r="E25" s="21">
        <v>64.400000000000006</v>
      </c>
      <c r="G25" s="5">
        <v>45343</v>
      </c>
      <c r="H25" s="4">
        <v>45.3</v>
      </c>
      <c r="J25" s="24">
        <v>45372</v>
      </c>
      <c r="K25">
        <v>35.9</v>
      </c>
      <c r="M25" s="24">
        <v>45403</v>
      </c>
      <c r="N25" s="4">
        <v>2.17</v>
      </c>
      <c r="P25" s="5">
        <v>45433</v>
      </c>
      <c r="Q25" s="115">
        <v>46.09</v>
      </c>
    </row>
    <row r="26" spans="1:17" x14ac:dyDescent="0.2">
      <c r="A26" s="5">
        <v>45418</v>
      </c>
      <c r="B26" s="4">
        <v>47.8</v>
      </c>
      <c r="D26" s="24">
        <v>45313</v>
      </c>
      <c r="E26" s="21">
        <v>67.92</v>
      </c>
      <c r="G26" s="5">
        <v>45344</v>
      </c>
      <c r="H26" s="4">
        <v>10.71</v>
      </c>
      <c r="J26" s="24">
        <v>45373</v>
      </c>
      <c r="K26">
        <v>22.4</v>
      </c>
      <c r="M26" s="24">
        <v>45404</v>
      </c>
      <c r="N26" s="4">
        <v>1.9</v>
      </c>
      <c r="P26" s="5">
        <v>45434</v>
      </c>
      <c r="Q26" s="115">
        <v>44.76</v>
      </c>
    </row>
    <row r="27" spans="1:17" x14ac:dyDescent="0.2">
      <c r="A27" s="5">
        <v>45417</v>
      </c>
      <c r="B27" s="4">
        <v>17.53</v>
      </c>
      <c r="D27" s="24">
        <v>45314</v>
      </c>
      <c r="E27" s="21">
        <v>78.02</v>
      </c>
      <c r="G27" s="5">
        <v>45345</v>
      </c>
      <c r="H27" s="4">
        <v>6.72</v>
      </c>
      <c r="J27" s="24">
        <v>45374</v>
      </c>
      <c r="K27">
        <v>2.0099999999999998</v>
      </c>
      <c r="M27" s="24">
        <v>45405</v>
      </c>
      <c r="N27" s="4">
        <v>5.84</v>
      </c>
      <c r="P27" s="5">
        <v>45435</v>
      </c>
      <c r="Q27" s="115">
        <v>60.45</v>
      </c>
    </row>
    <row r="28" spans="1:17" x14ac:dyDescent="0.2">
      <c r="A28" s="5">
        <v>45416</v>
      </c>
      <c r="B28" s="4">
        <v>14.8</v>
      </c>
      <c r="D28" s="24">
        <v>45315</v>
      </c>
      <c r="E28" s="21">
        <v>83.42</v>
      </c>
      <c r="G28" s="5">
        <v>45346</v>
      </c>
      <c r="H28" s="4">
        <v>6.94</v>
      </c>
      <c r="J28" s="24">
        <v>45375</v>
      </c>
      <c r="K28">
        <v>6.69</v>
      </c>
      <c r="M28" s="24">
        <v>45406</v>
      </c>
      <c r="N28" s="4">
        <v>18.57</v>
      </c>
      <c r="P28" s="5">
        <v>45436</v>
      </c>
      <c r="Q28" s="115">
        <v>71.67</v>
      </c>
    </row>
    <row r="29" spans="1:17" x14ac:dyDescent="0.2">
      <c r="A29" s="5">
        <v>45415</v>
      </c>
      <c r="B29" s="4">
        <v>26.11</v>
      </c>
      <c r="D29" s="24">
        <v>45316</v>
      </c>
      <c r="E29" s="21">
        <v>76.8</v>
      </c>
      <c r="G29" s="5">
        <v>45347</v>
      </c>
      <c r="H29" s="4">
        <v>3.06</v>
      </c>
      <c r="J29" s="24">
        <v>45376</v>
      </c>
      <c r="K29">
        <v>23.75</v>
      </c>
      <c r="M29" s="24">
        <v>45407</v>
      </c>
      <c r="N29" s="4">
        <v>41.44</v>
      </c>
      <c r="P29" s="5">
        <v>45437</v>
      </c>
      <c r="Q29" s="115">
        <v>43.71</v>
      </c>
    </row>
    <row r="30" spans="1:17" x14ac:dyDescent="0.2">
      <c r="A30" s="5">
        <v>45414</v>
      </c>
      <c r="B30" s="4">
        <v>15.6</v>
      </c>
      <c r="D30" s="24">
        <v>45317</v>
      </c>
      <c r="E30" s="21">
        <v>72.56</v>
      </c>
      <c r="G30" s="5">
        <v>45348</v>
      </c>
      <c r="H30" s="4">
        <v>3.82</v>
      </c>
      <c r="J30" s="24">
        <v>45377</v>
      </c>
      <c r="K30">
        <v>2.36</v>
      </c>
      <c r="M30" s="24">
        <v>45408</v>
      </c>
      <c r="N30" s="4">
        <v>57.49</v>
      </c>
      <c r="P30" s="5">
        <v>45438</v>
      </c>
      <c r="Q30" s="115">
        <v>25.42</v>
      </c>
    </row>
    <row r="31" spans="1:17" x14ac:dyDescent="0.2">
      <c r="A31" s="5">
        <v>45413</v>
      </c>
      <c r="B31" s="4">
        <v>12.53</v>
      </c>
      <c r="D31" s="24">
        <v>45318</v>
      </c>
      <c r="E31" s="21">
        <v>66.06</v>
      </c>
      <c r="G31" s="5">
        <v>45349</v>
      </c>
      <c r="H31" s="4">
        <v>3.66</v>
      </c>
      <c r="J31" s="24">
        <v>45378</v>
      </c>
      <c r="K31">
        <v>0.76</v>
      </c>
      <c r="M31" s="24">
        <v>45409</v>
      </c>
      <c r="N31" s="4">
        <v>25.02</v>
      </c>
      <c r="P31" s="5">
        <v>45439</v>
      </c>
      <c r="Q31" s="115">
        <v>30.84</v>
      </c>
    </row>
    <row r="32" spans="1:17" x14ac:dyDescent="0.2">
      <c r="A32" s="5">
        <v>45412</v>
      </c>
      <c r="B32" s="28">
        <v>53.44</v>
      </c>
      <c r="D32" s="24">
        <v>45319</v>
      </c>
      <c r="E32" s="21">
        <v>52.14</v>
      </c>
      <c r="G32" s="5">
        <v>45350</v>
      </c>
      <c r="H32" s="4">
        <v>9.35</v>
      </c>
      <c r="J32" s="24">
        <v>45379</v>
      </c>
      <c r="K32">
        <v>0.66</v>
      </c>
      <c r="M32" s="24">
        <v>45410</v>
      </c>
      <c r="N32" s="4">
        <v>28.72</v>
      </c>
    </row>
    <row r="33" spans="1:14" x14ac:dyDescent="0.2">
      <c r="A33" s="5">
        <v>45411</v>
      </c>
      <c r="B33" s="4">
        <v>58.27</v>
      </c>
      <c r="D33" s="24">
        <v>45320</v>
      </c>
      <c r="E33" s="21">
        <v>77.97</v>
      </c>
      <c r="G33" s="5">
        <v>45351</v>
      </c>
      <c r="H33" s="4">
        <v>4.8</v>
      </c>
      <c r="J33" s="24">
        <v>45380</v>
      </c>
      <c r="K33">
        <v>4.05</v>
      </c>
      <c r="M33" s="24">
        <v>45411</v>
      </c>
      <c r="N33" s="4">
        <v>58.27</v>
      </c>
    </row>
    <row r="34" spans="1:14" x14ac:dyDescent="0.2">
      <c r="A34" s="5">
        <v>45410</v>
      </c>
      <c r="B34" s="4">
        <v>28.72</v>
      </c>
      <c r="D34" s="24">
        <v>45321</v>
      </c>
      <c r="E34" s="21">
        <v>81.28</v>
      </c>
      <c r="G34" s="4"/>
      <c r="J34" s="24">
        <v>45381</v>
      </c>
      <c r="K34">
        <v>4.5199999999999996</v>
      </c>
      <c r="M34" s="24">
        <v>45412</v>
      </c>
      <c r="N34" s="4">
        <v>53.44</v>
      </c>
    </row>
    <row r="35" spans="1:14" x14ac:dyDescent="0.2">
      <c r="A35" s="5">
        <v>45409</v>
      </c>
      <c r="B35" s="4">
        <v>25.02</v>
      </c>
      <c r="D35" s="24">
        <v>45322</v>
      </c>
      <c r="E35" s="21">
        <v>84.26</v>
      </c>
      <c r="G35" s="4"/>
      <c r="J35" s="51">
        <v>45382</v>
      </c>
      <c r="K35" s="47">
        <v>0.83</v>
      </c>
    </row>
    <row r="36" spans="1:14" x14ac:dyDescent="0.2">
      <c r="A36" s="5">
        <v>45408</v>
      </c>
      <c r="B36" s="4">
        <v>57.49</v>
      </c>
      <c r="F36" s="21"/>
      <c r="G36" s="4"/>
      <c r="J36"/>
    </row>
    <row r="37" spans="1:14" x14ac:dyDescent="0.2">
      <c r="A37" s="5">
        <v>45407</v>
      </c>
      <c r="B37" s="4">
        <v>41.44</v>
      </c>
      <c r="G37" s="4"/>
      <c r="J37"/>
    </row>
    <row r="38" spans="1:14" x14ac:dyDescent="0.2">
      <c r="A38" s="5">
        <v>45406</v>
      </c>
      <c r="B38" s="4">
        <v>18.57</v>
      </c>
      <c r="G38" s="4"/>
      <c r="J38"/>
    </row>
    <row r="39" spans="1:14" x14ac:dyDescent="0.2">
      <c r="A39" s="5">
        <v>45405</v>
      </c>
      <c r="B39" s="4">
        <v>5.84</v>
      </c>
      <c r="G39" s="4"/>
      <c r="J39"/>
    </row>
    <row r="40" spans="1:14" x14ac:dyDescent="0.2">
      <c r="A40" s="5">
        <v>45404</v>
      </c>
      <c r="B40" s="4">
        <v>1.9</v>
      </c>
      <c r="G40" s="4"/>
      <c r="J40"/>
    </row>
    <row r="41" spans="1:14" x14ac:dyDescent="0.2">
      <c r="A41" s="5">
        <v>45403</v>
      </c>
      <c r="B41" s="4">
        <v>2.17</v>
      </c>
      <c r="G41" s="4"/>
      <c r="J41"/>
    </row>
    <row r="42" spans="1:14" x14ac:dyDescent="0.2">
      <c r="A42" s="5">
        <v>45402</v>
      </c>
      <c r="B42" s="4">
        <v>5.66</v>
      </c>
      <c r="G42" s="4"/>
      <c r="J42"/>
    </row>
    <row r="43" spans="1:14" x14ac:dyDescent="0.2">
      <c r="A43" s="5">
        <v>45401</v>
      </c>
      <c r="B43" s="4">
        <v>15.18</v>
      </c>
      <c r="G43" s="4"/>
      <c r="J43"/>
    </row>
    <row r="44" spans="1:14" x14ac:dyDescent="0.2">
      <c r="A44" s="5">
        <v>45400</v>
      </c>
      <c r="B44" s="4">
        <v>4.54</v>
      </c>
      <c r="G44" s="4"/>
      <c r="J44"/>
    </row>
    <row r="45" spans="1:14" x14ac:dyDescent="0.2">
      <c r="A45" s="5">
        <v>45399</v>
      </c>
      <c r="B45" s="4">
        <v>3.26</v>
      </c>
      <c r="G45" s="4"/>
      <c r="J45"/>
    </row>
    <row r="46" spans="1:14" x14ac:dyDescent="0.2">
      <c r="A46" s="5">
        <v>45398</v>
      </c>
      <c r="B46" s="4">
        <v>1.37</v>
      </c>
      <c r="G46" s="4"/>
      <c r="J46"/>
    </row>
    <row r="47" spans="1:14" x14ac:dyDescent="0.2">
      <c r="A47" s="5">
        <v>45397</v>
      </c>
      <c r="B47" s="4">
        <v>3.48</v>
      </c>
      <c r="G47" s="4"/>
      <c r="J47"/>
    </row>
    <row r="48" spans="1:14" x14ac:dyDescent="0.2">
      <c r="A48" s="5">
        <v>45396</v>
      </c>
      <c r="B48" s="4">
        <v>5.6</v>
      </c>
      <c r="G48" s="4"/>
      <c r="J48"/>
    </row>
    <row r="49" spans="1:10" x14ac:dyDescent="0.2">
      <c r="A49" s="5">
        <v>45395</v>
      </c>
      <c r="B49" s="4">
        <v>9.17</v>
      </c>
      <c r="G49" s="4"/>
      <c r="J49"/>
    </row>
    <row r="50" spans="1:10" x14ac:dyDescent="0.2">
      <c r="A50" s="5">
        <v>45394</v>
      </c>
      <c r="B50" s="4">
        <v>19.940000000000001</v>
      </c>
      <c r="G50" s="4"/>
      <c r="J50"/>
    </row>
    <row r="51" spans="1:10" x14ac:dyDescent="0.2">
      <c r="A51" s="5">
        <v>45393</v>
      </c>
      <c r="B51" s="4">
        <v>12.03</v>
      </c>
      <c r="G51" s="4"/>
      <c r="J51"/>
    </row>
    <row r="52" spans="1:10" x14ac:dyDescent="0.2">
      <c r="A52" s="5">
        <v>45392</v>
      </c>
      <c r="B52" s="4">
        <v>4.3099999999999996</v>
      </c>
      <c r="G52" s="4"/>
      <c r="J52"/>
    </row>
    <row r="53" spans="1:10" x14ac:dyDescent="0.2">
      <c r="A53" s="5">
        <v>45391</v>
      </c>
      <c r="B53" s="4">
        <v>1.29</v>
      </c>
      <c r="G53" s="4"/>
      <c r="J53"/>
    </row>
    <row r="54" spans="1:10" x14ac:dyDescent="0.2">
      <c r="A54" s="5">
        <v>45390</v>
      </c>
      <c r="B54" s="4">
        <v>0.52</v>
      </c>
      <c r="G54" s="4"/>
      <c r="J54"/>
    </row>
    <row r="55" spans="1:10" x14ac:dyDescent="0.2">
      <c r="A55" s="5">
        <v>45389</v>
      </c>
      <c r="B55" s="4">
        <v>4.05</v>
      </c>
      <c r="G55" s="4"/>
      <c r="J55"/>
    </row>
    <row r="56" spans="1:10" x14ac:dyDescent="0.2">
      <c r="A56" s="5">
        <v>45388</v>
      </c>
      <c r="B56" s="4">
        <v>0.74</v>
      </c>
      <c r="G56" s="4"/>
      <c r="J56"/>
    </row>
    <row r="57" spans="1:10" x14ac:dyDescent="0.2">
      <c r="A57" s="5">
        <v>45387</v>
      </c>
      <c r="B57" s="4">
        <v>0.44</v>
      </c>
      <c r="G57" s="4"/>
      <c r="J57"/>
    </row>
    <row r="58" spans="1:10" x14ac:dyDescent="0.2">
      <c r="A58" s="5">
        <v>45386</v>
      </c>
      <c r="B58" s="4">
        <v>4</v>
      </c>
      <c r="G58" s="4"/>
      <c r="J58"/>
    </row>
    <row r="59" spans="1:10" x14ac:dyDescent="0.2">
      <c r="A59" s="5">
        <v>45385</v>
      </c>
      <c r="B59" s="4">
        <v>9.0299999999999994</v>
      </c>
      <c r="G59" s="4"/>
      <c r="J59"/>
    </row>
    <row r="60" spans="1:10" x14ac:dyDescent="0.2">
      <c r="A60" s="5">
        <v>45384</v>
      </c>
      <c r="B60" s="4">
        <v>9.85</v>
      </c>
      <c r="G60" s="4"/>
      <c r="J60"/>
    </row>
    <row r="61" spans="1:10" x14ac:dyDescent="0.2">
      <c r="A61" s="5">
        <v>45383</v>
      </c>
      <c r="B61" s="4">
        <v>2.76</v>
      </c>
      <c r="G61" s="4"/>
      <c r="J61"/>
    </row>
    <row r="62" spans="1:10" x14ac:dyDescent="0.2">
      <c r="A62" s="5">
        <v>45382</v>
      </c>
      <c r="B62" s="4">
        <v>0.83</v>
      </c>
      <c r="G62" s="4"/>
      <c r="J62"/>
    </row>
    <row r="63" spans="1:10" x14ac:dyDescent="0.2">
      <c r="A63" s="5">
        <v>45381</v>
      </c>
      <c r="B63" s="4">
        <v>4.5199999999999996</v>
      </c>
      <c r="G63" s="4"/>
      <c r="J63"/>
    </row>
    <row r="64" spans="1:10" x14ac:dyDescent="0.2">
      <c r="A64" s="5">
        <v>45380</v>
      </c>
      <c r="B64" s="4">
        <v>4.05</v>
      </c>
      <c r="J64"/>
    </row>
    <row r="65" spans="1:2" x14ac:dyDescent="0.2">
      <c r="A65" s="5">
        <v>45379</v>
      </c>
      <c r="B65" s="4">
        <v>0.66</v>
      </c>
    </row>
    <row r="66" spans="1:2" x14ac:dyDescent="0.2">
      <c r="A66" s="5">
        <v>45378</v>
      </c>
      <c r="B66" s="4">
        <v>0.76</v>
      </c>
    </row>
    <row r="67" spans="1:2" x14ac:dyDescent="0.2">
      <c r="A67" s="5">
        <v>45377</v>
      </c>
      <c r="B67" s="4">
        <v>2.36</v>
      </c>
    </row>
    <row r="68" spans="1:2" x14ac:dyDescent="0.2">
      <c r="A68" s="5">
        <v>45376</v>
      </c>
      <c r="B68" s="4">
        <v>23.75</v>
      </c>
    </row>
    <row r="69" spans="1:2" x14ac:dyDescent="0.2">
      <c r="A69" s="5">
        <v>45375</v>
      </c>
      <c r="B69" s="4">
        <v>6.69</v>
      </c>
    </row>
    <row r="70" spans="1:2" x14ac:dyDescent="0.2">
      <c r="A70" s="5">
        <v>45374</v>
      </c>
      <c r="B70" s="4">
        <v>2.0099999999999998</v>
      </c>
    </row>
    <row r="71" spans="1:2" x14ac:dyDescent="0.2">
      <c r="A71" s="5">
        <v>45373</v>
      </c>
      <c r="B71" s="4">
        <v>22.4</v>
      </c>
    </row>
    <row r="72" spans="1:2" x14ac:dyDescent="0.2">
      <c r="A72" s="5">
        <v>45372</v>
      </c>
      <c r="B72" s="4">
        <v>35.9</v>
      </c>
    </row>
    <row r="73" spans="1:2" x14ac:dyDescent="0.2">
      <c r="A73" s="5">
        <v>45371</v>
      </c>
      <c r="B73" s="4">
        <v>56.94</v>
      </c>
    </row>
    <row r="74" spans="1:2" x14ac:dyDescent="0.2">
      <c r="A74" s="5">
        <v>45370</v>
      </c>
      <c r="B74" s="4">
        <v>65</v>
      </c>
    </row>
    <row r="75" spans="1:2" x14ac:dyDescent="0.2">
      <c r="A75" s="5">
        <v>45369</v>
      </c>
      <c r="B75" s="4">
        <v>61.34</v>
      </c>
    </row>
    <row r="76" spans="1:2" x14ac:dyDescent="0.2">
      <c r="A76" s="5">
        <v>45368</v>
      </c>
      <c r="B76" s="4">
        <v>28.05</v>
      </c>
    </row>
    <row r="77" spans="1:2" x14ac:dyDescent="0.2">
      <c r="A77" s="5">
        <v>45367</v>
      </c>
      <c r="B77" s="4">
        <v>31.61</v>
      </c>
    </row>
    <row r="78" spans="1:2" x14ac:dyDescent="0.2">
      <c r="A78" s="5">
        <v>45366</v>
      </c>
      <c r="B78" s="4">
        <v>37.729999999999997</v>
      </c>
    </row>
    <row r="79" spans="1:2" x14ac:dyDescent="0.2">
      <c r="A79" s="5">
        <v>45365</v>
      </c>
      <c r="B79" s="4">
        <v>35.99</v>
      </c>
    </row>
    <row r="80" spans="1:2" x14ac:dyDescent="0.2">
      <c r="A80" s="5">
        <v>45364</v>
      </c>
      <c r="B80" s="4">
        <v>42.36</v>
      </c>
    </row>
    <row r="81" spans="1:2" x14ac:dyDescent="0.2">
      <c r="A81" s="5">
        <v>45363</v>
      </c>
      <c r="B81" s="4">
        <v>42.28</v>
      </c>
    </row>
    <row r="82" spans="1:2" x14ac:dyDescent="0.2">
      <c r="A82" s="5">
        <v>45362</v>
      </c>
      <c r="B82" s="4">
        <v>14.63</v>
      </c>
    </row>
    <row r="83" spans="1:2" x14ac:dyDescent="0.2">
      <c r="A83" s="5">
        <v>45361</v>
      </c>
      <c r="B83" s="4">
        <v>0.54</v>
      </c>
    </row>
    <row r="84" spans="1:2" x14ac:dyDescent="0.2">
      <c r="A84" s="5">
        <v>45360</v>
      </c>
      <c r="B84" s="4">
        <v>0.59</v>
      </c>
    </row>
    <row r="85" spans="1:2" x14ac:dyDescent="0.2">
      <c r="A85" s="5">
        <v>45359</v>
      </c>
      <c r="B85" s="4">
        <v>1.67</v>
      </c>
    </row>
    <row r="86" spans="1:2" x14ac:dyDescent="0.2">
      <c r="A86" s="5">
        <v>45358</v>
      </c>
      <c r="B86" s="4">
        <v>8.52</v>
      </c>
    </row>
    <row r="87" spans="1:2" x14ac:dyDescent="0.2">
      <c r="A87" s="5">
        <v>45357</v>
      </c>
      <c r="B87" s="4">
        <v>45.97</v>
      </c>
    </row>
    <row r="88" spans="1:2" x14ac:dyDescent="0.2">
      <c r="A88" s="5">
        <v>45356</v>
      </c>
      <c r="B88" s="4">
        <v>33.450000000000003</v>
      </c>
    </row>
    <row r="89" spans="1:2" x14ac:dyDescent="0.2">
      <c r="A89" s="5">
        <v>45355</v>
      </c>
      <c r="B89" s="4">
        <v>7.95</v>
      </c>
    </row>
    <row r="90" spans="1:2" x14ac:dyDescent="0.2">
      <c r="A90" s="5">
        <v>45354</v>
      </c>
      <c r="B90" s="4">
        <v>3.79</v>
      </c>
    </row>
    <row r="91" spans="1:2" x14ac:dyDescent="0.2">
      <c r="A91" s="5">
        <v>45353</v>
      </c>
      <c r="B91" s="4">
        <v>4.16</v>
      </c>
    </row>
    <row r="92" spans="1:2" x14ac:dyDescent="0.2">
      <c r="A92" s="5">
        <v>45352</v>
      </c>
      <c r="B92" s="4">
        <v>2.14</v>
      </c>
    </row>
    <row r="93" spans="1:2" x14ac:dyDescent="0.2">
      <c r="A93" s="5">
        <v>45351</v>
      </c>
      <c r="B93" s="4">
        <v>4.8</v>
      </c>
    </row>
    <row r="94" spans="1:2" x14ac:dyDescent="0.2">
      <c r="A94" s="5">
        <v>45350</v>
      </c>
      <c r="B94" s="4">
        <v>9.35</v>
      </c>
    </row>
    <row r="95" spans="1:2" x14ac:dyDescent="0.2">
      <c r="A95" s="5">
        <v>45349</v>
      </c>
      <c r="B95" s="4">
        <v>3.66</v>
      </c>
    </row>
    <row r="96" spans="1:2" x14ac:dyDescent="0.2">
      <c r="A96" s="5">
        <v>45348</v>
      </c>
      <c r="B96" s="4">
        <v>3.82</v>
      </c>
    </row>
    <row r="97" spans="1:2" x14ac:dyDescent="0.2">
      <c r="A97" s="5">
        <v>45347</v>
      </c>
      <c r="B97" s="4">
        <v>3.06</v>
      </c>
    </row>
    <row r="98" spans="1:2" x14ac:dyDescent="0.2">
      <c r="A98">
        <v>45346</v>
      </c>
      <c r="B98">
        <v>6.94</v>
      </c>
    </row>
    <row r="99" spans="1:2" x14ac:dyDescent="0.2">
      <c r="A99">
        <v>45345</v>
      </c>
      <c r="B99">
        <v>6.72</v>
      </c>
    </row>
    <row r="100" spans="1:2" x14ac:dyDescent="0.2">
      <c r="A100">
        <v>45344</v>
      </c>
      <c r="B100">
        <v>10.71</v>
      </c>
    </row>
    <row r="101" spans="1:2" x14ac:dyDescent="0.2">
      <c r="A101">
        <v>45343</v>
      </c>
      <c r="B101">
        <v>45.3</v>
      </c>
    </row>
    <row r="102" spans="1:2" x14ac:dyDescent="0.2">
      <c r="A102">
        <v>45342</v>
      </c>
      <c r="B102">
        <v>52.86</v>
      </c>
    </row>
    <row r="103" spans="1:2" x14ac:dyDescent="0.2">
      <c r="A103">
        <v>45341</v>
      </c>
      <c r="B103">
        <v>45.55</v>
      </c>
    </row>
    <row r="104" spans="1:2" x14ac:dyDescent="0.2">
      <c r="A104">
        <v>45340</v>
      </c>
      <c r="B104">
        <v>47.04</v>
      </c>
    </row>
    <row r="105" spans="1:2" x14ac:dyDescent="0.2">
      <c r="A105">
        <v>45339</v>
      </c>
      <c r="B105">
        <v>48.69</v>
      </c>
    </row>
    <row r="106" spans="1:2" x14ac:dyDescent="0.2">
      <c r="A106">
        <v>45338</v>
      </c>
      <c r="B106">
        <v>54.24</v>
      </c>
    </row>
    <row r="107" spans="1:2" x14ac:dyDescent="0.2">
      <c r="A107">
        <v>45337</v>
      </c>
      <c r="B107">
        <v>51.22</v>
      </c>
    </row>
    <row r="108" spans="1:2" x14ac:dyDescent="0.2">
      <c r="A108">
        <v>45336</v>
      </c>
      <c r="B108">
        <v>59.57</v>
      </c>
    </row>
    <row r="109" spans="1:2" x14ac:dyDescent="0.2">
      <c r="A109">
        <v>45335</v>
      </c>
      <c r="B109">
        <v>62.72</v>
      </c>
    </row>
    <row r="110" spans="1:2" x14ac:dyDescent="0.2">
      <c r="A110">
        <v>45334</v>
      </c>
      <c r="B110">
        <v>45.85</v>
      </c>
    </row>
    <row r="111" spans="1:2" x14ac:dyDescent="0.2">
      <c r="A111">
        <v>45333</v>
      </c>
      <c r="B111">
        <v>44.83</v>
      </c>
    </row>
    <row r="112" spans="1:2" x14ac:dyDescent="0.2">
      <c r="A112">
        <v>45332</v>
      </c>
      <c r="B112">
        <v>9.4700000000000006</v>
      </c>
    </row>
    <row r="113" spans="1:2" x14ac:dyDescent="0.2">
      <c r="A113">
        <v>45331</v>
      </c>
      <c r="B113">
        <v>40.18</v>
      </c>
    </row>
    <row r="114" spans="1:2" x14ac:dyDescent="0.2">
      <c r="A114">
        <v>45330</v>
      </c>
      <c r="B114">
        <v>38.67</v>
      </c>
    </row>
    <row r="115" spans="1:2" x14ac:dyDescent="0.2">
      <c r="A115">
        <v>45329</v>
      </c>
      <c r="B115">
        <v>50.11</v>
      </c>
    </row>
    <row r="116" spans="1:2" x14ac:dyDescent="0.2">
      <c r="A116">
        <v>45328</v>
      </c>
      <c r="B116">
        <v>74.03</v>
      </c>
    </row>
    <row r="117" spans="1:2" x14ac:dyDescent="0.2">
      <c r="A117">
        <v>45327</v>
      </c>
      <c r="B117">
        <v>80.92</v>
      </c>
    </row>
    <row r="118" spans="1:2" x14ac:dyDescent="0.2">
      <c r="A118">
        <v>45326</v>
      </c>
      <c r="B118">
        <v>63.1</v>
      </c>
    </row>
    <row r="119" spans="1:2" x14ac:dyDescent="0.2">
      <c r="A119">
        <v>45325</v>
      </c>
      <c r="B119">
        <v>60.32</v>
      </c>
    </row>
    <row r="120" spans="1:2" x14ac:dyDescent="0.2">
      <c r="A120">
        <v>45324</v>
      </c>
      <c r="B120">
        <v>65.319999999999993</v>
      </c>
    </row>
    <row r="121" spans="1:2" x14ac:dyDescent="0.2">
      <c r="A121">
        <v>45323</v>
      </c>
      <c r="B121">
        <v>70.95</v>
      </c>
    </row>
    <row r="122" spans="1:2" x14ac:dyDescent="0.2">
      <c r="A122">
        <v>45322</v>
      </c>
      <c r="B122">
        <v>84.26</v>
      </c>
    </row>
    <row r="123" spans="1:2" x14ac:dyDescent="0.2">
      <c r="A123">
        <v>45321</v>
      </c>
      <c r="B123">
        <v>81.28</v>
      </c>
    </row>
    <row r="124" spans="1:2" x14ac:dyDescent="0.2">
      <c r="A124">
        <v>45320</v>
      </c>
      <c r="B124">
        <v>77.97</v>
      </c>
    </row>
    <row r="125" spans="1:2" x14ac:dyDescent="0.2">
      <c r="A125">
        <v>45319</v>
      </c>
      <c r="B125">
        <v>52.14</v>
      </c>
    </row>
    <row r="126" spans="1:2" x14ac:dyDescent="0.2">
      <c r="A126">
        <v>45318</v>
      </c>
      <c r="B126">
        <v>66.06</v>
      </c>
    </row>
    <row r="127" spans="1:2" x14ac:dyDescent="0.2">
      <c r="A127">
        <v>45317</v>
      </c>
      <c r="B127">
        <v>72.56</v>
      </c>
    </row>
    <row r="128" spans="1:2" x14ac:dyDescent="0.2">
      <c r="A128">
        <v>45316</v>
      </c>
      <c r="B128">
        <v>76.8</v>
      </c>
    </row>
    <row r="129" spans="1:2" x14ac:dyDescent="0.2">
      <c r="A129">
        <v>45315</v>
      </c>
      <c r="B129">
        <v>83.42</v>
      </c>
    </row>
    <row r="130" spans="1:2" x14ac:dyDescent="0.2">
      <c r="A130">
        <v>45314</v>
      </c>
      <c r="B130">
        <v>78.02</v>
      </c>
    </row>
    <row r="131" spans="1:2" x14ac:dyDescent="0.2">
      <c r="A131">
        <v>45313</v>
      </c>
      <c r="B131">
        <v>67.92</v>
      </c>
    </row>
    <row r="132" spans="1:2" x14ac:dyDescent="0.2">
      <c r="A132">
        <v>45312</v>
      </c>
      <c r="B132">
        <v>64.400000000000006</v>
      </c>
    </row>
    <row r="133" spans="1:2" x14ac:dyDescent="0.2">
      <c r="A133">
        <v>45311</v>
      </c>
      <c r="B133">
        <v>80.53</v>
      </c>
    </row>
    <row r="134" spans="1:2" x14ac:dyDescent="0.2">
      <c r="A134">
        <v>45310</v>
      </c>
      <c r="B134">
        <v>70.87</v>
      </c>
    </row>
    <row r="135" spans="1:2" x14ac:dyDescent="0.2">
      <c r="A135">
        <v>45309</v>
      </c>
      <c r="B135">
        <v>46.84</v>
      </c>
    </row>
    <row r="136" spans="1:2" x14ac:dyDescent="0.2">
      <c r="A136">
        <v>45308</v>
      </c>
      <c r="B136">
        <v>26.96</v>
      </c>
    </row>
    <row r="137" spans="1:2" x14ac:dyDescent="0.2">
      <c r="A137">
        <v>45307</v>
      </c>
      <c r="B137">
        <v>90.12</v>
      </c>
    </row>
    <row r="138" spans="1:2" x14ac:dyDescent="0.2">
      <c r="A138">
        <v>45306</v>
      </c>
      <c r="B138">
        <v>87.56</v>
      </c>
    </row>
    <row r="139" spans="1:2" x14ac:dyDescent="0.2">
      <c r="A139">
        <v>45305</v>
      </c>
      <c r="B139">
        <v>75.13</v>
      </c>
    </row>
    <row r="140" spans="1:2" x14ac:dyDescent="0.2">
      <c r="A140">
        <v>45304</v>
      </c>
      <c r="B140">
        <v>87.35</v>
      </c>
    </row>
    <row r="141" spans="1:2" x14ac:dyDescent="0.2">
      <c r="A141">
        <v>45303</v>
      </c>
      <c r="B141">
        <v>97.56</v>
      </c>
    </row>
    <row r="142" spans="1:2" x14ac:dyDescent="0.2">
      <c r="A142">
        <v>45302</v>
      </c>
      <c r="B142">
        <v>96.97</v>
      </c>
    </row>
    <row r="143" spans="1:2" x14ac:dyDescent="0.2">
      <c r="A143">
        <v>45301</v>
      </c>
      <c r="B143">
        <v>100.88</v>
      </c>
    </row>
    <row r="144" spans="1:2" x14ac:dyDescent="0.2">
      <c r="A144">
        <v>45300</v>
      </c>
      <c r="B144">
        <v>113.83</v>
      </c>
    </row>
    <row r="145" spans="1:2" x14ac:dyDescent="0.2">
      <c r="A145">
        <v>45299</v>
      </c>
      <c r="B145">
        <v>105.51</v>
      </c>
    </row>
    <row r="146" spans="1:2" x14ac:dyDescent="0.2">
      <c r="A146">
        <v>45298</v>
      </c>
      <c r="B146">
        <v>76</v>
      </c>
    </row>
    <row r="147" spans="1:2" x14ac:dyDescent="0.2">
      <c r="A147">
        <v>45297</v>
      </c>
      <c r="B147">
        <v>43.97</v>
      </c>
    </row>
    <row r="148" spans="1:2" x14ac:dyDescent="0.2">
      <c r="A148">
        <v>45296</v>
      </c>
      <c r="B148">
        <v>68.62</v>
      </c>
    </row>
    <row r="149" spans="1:2" x14ac:dyDescent="0.2">
      <c r="A149">
        <v>45295</v>
      </c>
      <c r="B149">
        <v>91.36</v>
      </c>
    </row>
    <row r="150" spans="1:2" x14ac:dyDescent="0.2">
      <c r="A150">
        <v>45294</v>
      </c>
      <c r="B150">
        <v>55.08</v>
      </c>
    </row>
    <row r="151" spans="1:2" x14ac:dyDescent="0.2">
      <c r="A151">
        <v>45293</v>
      </c>
      <c r="B151">
        <v>40.909999999999997</v>
      </c>
    </row>
    <row r="152" spans="1:2" x14ac:dyDescent="0.2">
      <c r="A152">
        <v>45292</v>
      </c>
      <c r="B152">
        <v>36.24</v>
      </c>
    </row>
  </sheetData>
  <sortState xmlns:xlrd2="http://schemas.microsoft.com/office/spreadsheetml/2017/richdata2" ref="E5:H38">
    <sortCondition ref="H4"/>
  </sortState>
  <mergeCells count="6">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21</xdr:col>
                    <xdr:colOff>38100</xdr:colOff>
                    <xdr:row>10</xdr:row>
                    <xdr:rowOff>9525</xdr:rowOff>
                  </from>
                  <to>
                    <xdr:col>23</xdr:col>
                    <xdr:colOff>304800</xdr:colOff>
                    <xdr:row>13</xdr:row>
                    <xdr:rowOff>85725</xdr:rowOff>
                  </to>
                </anchor>
              </controlPr>
            </control>
          </mc:Choice>
        </mc:AlternateContent>
      </controls>
    </mc:Choice>
  </mc:AlternateContent>
  <tableParts count="6">
    <tablePart r:id="rId4"/>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84" t="s">
        <v>246</v>
      </c>
      <c r="K1" s="85"/>
      <c r="L1" s="88" t="s">
        <v>3</v>
      </c>
      <c r="M1" s="94" t="s">
        <v>235</v>
      </c>
      <c r="N1" s="95"/>
      <c r="O1" s="92" t="s">
        <v>4</v>
      </c>
      <c r="P1" s="93"/>
      <c r="Q1" s="80" t="s">
        <v>246</v>
      </c>
      <c r="R1" s="80"/>
      <c r="S1" s="81"/>
      <c r="T1" s="79"/>
    </row>
    <row r="2" spans="1:20" ht="12" customHeight="1" x14ac:dyDescent="0.2">
      <c r="A2" t="s">
        <v>3</v>
      </c>
      <c r="B2" s="23" t="str">
        <f>A7</f>
        <v>Ene 2024</v>
      </c>
      <c r="C2" t="s">
        <v>243</v>
      </c>
      <c r="G2" s="15" t="s">
        <v>253</v>
      </c>
      <c r="H2" s="24">
        <f ca="1">TODAY()</f>
        <v>45438</v>
      </c>
      <c r="I2" s="24"/>
      <c r="J2" s="86"/>
      <c r="K2" s="81"/>
      <c r="L2" s="89"/>
      <c r="M2" s="96"/>
      <c r="N2" s="97"/>
      <c r="O2" s="92"/>
      <c r="P2" s="93"/>
      <c r="Q2" s="80"/>
      <c r="R2" s="80"/>
      <c r="S2" s="81"/>
      <c r="T2" s="79"/>
    </row>
    <row r="3" spans="1:20" ht="12" customHeight="1" x14ac:dyDescent="0.2">
      <c r="A3" t="s">
        <v>229</v>
      </c>
      <c r="B3" s="23">
        <f ca="1">IF(C3="",ROUND(AVERAGE(omie!E5:OFFSET(omie!E5,MATCH(B4,omie_enero[fecha],0)-1,0)),2),C3)</f>
        <v>74.099999999999994</v>
      </c>
      <c r="C3" s="26"/>
      <c r="G3" s="78" t="s">
        <v>248</v>
      </c>
      <c r="H3" s="78"/>
      <c r="I3" s="4"/>
      <c r="J3" s="86"/>
      <c r="K3" s="81"/>
      <c r="L3" s="90" t="s">
        <v>13</v>
      </c>
      <c r="M3" s="98">
        <f>H1</f>
        <v>31</v>
      </c>
      <c r="N3" s="98"/>
      <c r="O3" s="91">
        <f ca="1">B3</f>
        <v>74.099999999999994</v>
      </c>
      <c r="P3" s="91"/>
      <c r="Q3" s="80"/>
      <c r="R3" s="80"/>
      <c r="S3" s="81"/>
      <c r="T3" s="79"/>
    </row>
    <row r="4" spans="1:20" ht="12" customHeight="1" x14ac:dyDescent="0.2">
      <c r="A4" t="s">
        <v>6</v>
      </c>
      <c r="B4" s="3">
        <f>DATE(2024,1,H1)</f>
        <v>45322</v>
      </c>
      <c r="G4" t="s">
        <v>247</v>
      </c>
      <c r="H4" s="30">
        <f>[1]omie_dinamic_dia!$G$2</f>
        <v>27</v>
      </c>
      <c r="I4" s="42"/>
      <c r="J4" s="86"/>
      <c r="K4" s="81"/>
      <c r="L4" s="90"/>
      <c r="M4" s="98"/>
      <c r="N4" s="98"/>
      <c r="O4" s="91"/>
      <c r="P4" s="91"/>
      <c r="Q4" s="80"/>
      <c r="R4" s="80"/>
      <c r="S4" s="81"/>
      <c r="T4" s="79"/>
    </row>
    <row r="5" spans="1:20" ht="12" customHeight="1" x14ac:dyDescent="0.2">
      <c r="A5" t="s">
        <v>15</v>
      </c>
      <c r="B5" s="3">
        <f>MAX(omie_enero[fecha])</f>
        <v>45322</v>
      </c>
      <c r="J5" s="87"/>
      <c r="K5" s="83"/>
      <c r="L5" s="90"/>
      <c r="M5" s="98"/>
      <c r="N5" s="98"/>
      <c r="O5" s="91"/>
      <c r="P5" s="91"/>
      <c r="Q5" s="82"/>
      <c r="R5" s="82"/>
      <c r="S5" s="83"/>
      <c r="T5" s="79"/>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78"/>
      <c r="S20" s="78"/>
      <c r="T20" s="78"/>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78"/>
      <c r="S21" s="78"/>
      <c r="T21" s="78"/>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78"/>
      <c r="S22" s="78"/>
      <c r="T22" s="78"/>
    </row>
    <row r="23" spans="1:20"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24" priority="14">
      <formula>$K7=3</formula>
    </cfRule>
    <cfRule type="expression" dxfId="23" priority="15">
      <formula>$K7=2</formula>
    </cfRule>
    <cfRule type="expression" dxfId="22"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84" t="s">
        <v>246</v>
      </c>
      <c r="K1" s="85"/>
      <c r="L1" s="88" t="s">
        <v>3</v>
      </c>
      <c r="M1" s="94" t="s">
        <v>365</v>
      </c>
      <c r="N1" s="95"/>
      <c r="O1" s="92" t="s">
        <v>4</v>
      </c>
      <c r="P1" s="93"/>
      <c r="Q1" s="80" t="s">
        <v>246</v>
      </c>
      <c r="R1" s="80"/>
      <c r="S1" s="81"/>
      <c r="T1" s="79"/>
    </row>
    <row r="2" spans="1:20" ht="12" customHeight="1" x14ac:dyDescent="0.2">
      <c r="A2" t="s">
        <v>3</v>
      </c>
      <c r="B2" s="23" t="str">
        <f>A7</f>
        <v>Feb 2024</v>
      </c>
      <c r="C2" t="s">
        <v>243</v>
      </c>
      <c r="G2" s="15" t="s">
        <v>253</v>
      </c>
      <c r="H2" s="24">
        <f ca="1">TODAY()</f>
        <v>45438</v>
      </c>
      <c r="I2" s="24"/>
      <c r="J2" s="86"/>
      <c r="K2" s="81"/>
      <c r="L2" s="89"/>
      <c r="M2" s="96"/>
      <c r="N2" s="97"/>
      <c r="O2" s="92"/>
      <c r="P2" s="93"/>
      <c r="Q2" s="80"/>
      <c r="R2" s="80"/>
      <c r="S2" s="81"/>
      <c r="T2" s="79"/>
    </row>
    <row r="3" spans="1:20" ht="12" customHeight="1" x14ac:dyDescent="0.2">
      <c r="A3" t="s">
        <v>229</v>
      </c>
      <c r="B3" s="23">
        <f ca="1">IF(C3="",ROUND(AVERAGE(omie!H5:OFFSET(omie!H5,MATCH(B4,omie_febrero[fecha],0)-1,0)),2),C3)</f>
        <v>40</v>
      </c>
      <c r="C3" s="26"/>
      <c r="G3" t="s">
        <v>248</v>
      </c>
      <c r="J3" s="86"/>
      <c r="K3" s="81"/>
      <c r="L3" s="90" t="s">
        <v>13</v>
      </c>
      <c r="M3" s="98">
        <f>H1</f>
        <v>29</v>
      </c>
      <c r="N3" s="98"/>
      <c r="O3" s="91">
        <f ca="1">B3</f>
        <v>40</v>
      </c>
      <c r="P3" s="91"/>
      <c r="Q3" s="80"/>
      <c r="R3" s="80"/>
      <c r="S3" s="81"/>
      <c r="T3" s="79"/>
    </row>
    <row r="4" spans="1:20" ht="12" customHeight="1" x14ac:dyDescent="0.2">
      <c r="A4" t="s">
        <v>6</v>
      </c>
      <c r="B4" s="3">
        <f>DATE(2024,2,H1)</f>
        <v>45351</v>
      </c>
      <c r="G4" t="s">
        <v>247</v>
      </c>
      <c r="H4" s="30">
        <f>[1]omie_dinamic_dia!$G$2</f>
        <v>27</v>
      </c>
      <c r="I4" s="42"/>
      <c r="J4" s="86"/>
      <c r="K4" s="81"/>
      <c r="L4" s="90"/>
      <c r="M4" s="98"/>
      <c r="N4" s="98"/>
      <c r="O4" s="91"/>
      <c r="P4" s="91"/>
      <c r="Q4" s="80"/>
      <c r="R4" s="80"/>
      <c r="S4" s="81"/>
      <c r="T4" s="79"/>
    </row>
    <row r="5" spans="1:20" ht="12" customHeight="1" x14ac:dyDescent="0.2">
      <c r="A5" t="s">
        <v>15</v>
      </c>
      <c r="B5" s="3">
        <f>MAX(omie_febrero[fecha])</f>
        <v>45351</v>
      </c>
      <c r="J5" s="87"/>
      <c r="K5" s="83"/>
      <c r="L5" s="90"/>
      <c r="M5" s="98"/>
      <c r="N5" s="98"/>
      <c r="O5" s="91"/>
      <c r="P5" s="91"/>
      <c r="Q5" s="82"/>
      <c r="R5" s="82"/>
      <c r="S5" s="83"/>
      <c r="T5" s="79"/>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78"/>
      <c r="S20" s="78"/>
      <c r="T20" s="78"/>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78"/>
      <c r="S21" s="78"/>
      <c r="T21" s="78"/>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78"/>
      <c r="S22" s="78"/>
      <c r="T22" s="78"/>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J1:K5"/>
    <mergeCell ref="L1:L2"/>
    <mergeCell ref="M1:N2"/>
    <mergeCell ref="O1:P2"/>
    <mergeCell ref="Q1:S5"/>
    <mergeCell ref="T1:T5"/>
    <mergeCell ref="L3:L5"/>
    <mergeCell ref="M3:N5"/>
    <mergeCell ref="O3:P5"/>
    <mergeCell ref="R20:T22"/>
  </mergeCells>
  <conditionalFormatting sqref="J7:O41">
    <cfRule type="expression" dxfId="21" priority="2">
      <formula>$K7=3</formula>
    </cfRule>
    <cfRule type="expression" dxfId="20" priority="3">
      <formula>$K7=2</formula>
    </cfRule>
    <cfRule type="expression" dxfId="19"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45" zoomScaleNormal="145" workbookViewId="0">
      <selection activeCell="C2" sqref="C2"/>
    </sheetView>
  </sheetViews>
  <sheetFormatPr baseColWidth="10" defaultRowHeight="12" x14ac:dyDescent="0.2"/>
  <cols>
    <col min="1" max="1" width="13.42578125" customWidth="1"/>
    <col min="2" max="2" width="11.28515625" customWidth="1"/>
    <col min="3" max="3" width="9.140625" customWidth="1"/>
    <col min="4" max="4" width="20.28515625" customWidth="1"/>
    <col min="5" max="5" width="11.42578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84" t="s">
        <v>246</v>
      </c>
      <c r="K1" s="85"/>
      <c r="L1" s="88" t="s">
        <v>3</v>
      </c>
      <c r="M1" s="94" t="s">
        <v>478</v>
      </c>
      <c r="N1" s="95"/>
      <c r="O1" s="92" t="s">
        <v>4</v>
      </c>
      <c r="P1" s="93"/>
      <c r="Q1" s="80" t="s">
        <v>246</v>
      </c>
      <c r="R1" s="80"/>
      <c r="S1" s="81"/>
      <c r="T1" s="79"/>
    </row>
    <row r="2" spans="1:20" ht="12" customHeight="1" x14ac:dyDescent="0.2">
      <c r="A2" t="s">
        <v>3</v>
      </c>
      <c r="B2" s="23" t="str">
        <f>A7</f>
        <v>Mar 2024</v>
      </c>
      <c r="C2" t="s">
        <v>243</v>
      </c>
      <c r="G2" s="15" t="s">
        <v>253</v>
      </c>
      <c r="H2" s="24">
        <f ca="1">TODAY()</f>
        <v>45438</v>
      </c>
      <c r="I2" s="24"/>
      <c r="J2" s="86"/>
      <c r="K2" s="81"/>
      <c r="L2" s="89"/>
      <c r="M2" s="96"/>
      <c r="N2" s="97"/>
      <c r="O2" s="92"/>
      <c r="P2" s="93"/>
      <c r="Q2" s="80"/>
      <c r="R2" s="80"/>
      <c r="S2" s="81"/>
      <c r="T2" s="79"/>
    </row>
    <row r="3" spans="1:20" ht="12" customHeight="1" x14ac:dyDescent="0.2">
      <c r="A3" t="s">
        <v>229</v>
      </c>
      <c r="B3" s="44">
        <f ca="1">IF(C3="",ROUND(AVERAGE(omie!K5:OFFSET(omie!K5,MATCH(B4,omie_marzo[fecha],0)-1,0)),2),C3)</f>
        <v>20.28</v>
      </c>
      <c r="C3" s="26"/>
      <c r="G3" s="78" t="s">
        <v>248</v>
      </c>
      <c r="H3" s="78"/>
      <c r="I3" s="4"/>
      <c r="J3" s="86"/>
      <c r="K3" s="81"/>
      <c r="L3" s="90" t="s">
        <v>13</v>
      </c>
      <c r="M3" s="98">
        <f>H1</f>
        <v>31</v>
      </c>
      <c r="N3" s="98"/>
      <c r="O3" s="91">
        <f ca="1">B3</f>
        <v>20.28</v>
      </c>
      <c r="P3" s="91"/>
      <c r="Q3" s="80"/>
      <c r="R3" s="80"/>
      <c r="S3" s="81"/>
      <c r="T3" s="79"/>
    </row>
    <row r="4" spans="1:20" ht="12" customHeight="1" x14ac:dyDescent="0.2">
      <c r="A4" t="s">
        <v>6</v>
      </c>
      <c r="B4" s="3">
        <f>DATE(2024,3,H1)</f>
        <v>45382</v>
      </c>
      <c r="G4" t="s">
        <v>247</v>
      </c>
      <c r="H4" s="30">
        <f>[1]omie_dinamic_dia!$G$2</f>
        <v>27</v>
      </c>
      <c r="I4" s="42"/>
      <c r="J4" s="86"/>
      <c r="K4" s="81"/>
      <c r="L4" s="90"/>
      <c r="M4" s="98"/>
      <c r="N4" s="98"/>
      <c r="O4" s="91"/>
      <c r="P4" s="91"/>
      <c r="Q4" s="80"/>
      <c r="R4" s="80"/>
      <c r="S4" s="81"/>
      <c r="T4" s="79"/>
    </row>
    <row r="5" spans="1:20" ht="12" customHeight="1" x14ac:dyDescent="0.2">
      <c r="A5" t="s">
        <v>15</v>
      </c>
      <c r="B5" s="3">
        <f>MAX(omie_marzo[fecha])</f>
        <v>45382</v>
      </c>
      <c r="J5" s="87"/>
      <c r="K5" s="83"/>
      <c r="L5" s="90"/>
      <c r="M5" s="98"/>
      <c r="N5" s="98"/>
      <c r="O5" s="91"/>
      <c r="P5" s="91"/>
      <c r="Q5" s="82"/>
      <c r="R5" s="82"/>
      <c r="S5" s="83"/>
      <c r="T5" s="79"/>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78"/>
      <c r="S20" s="78"/>
      <c r="T20" s="78"/>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78"/>
      <c r="S21" s="78"/>
      <c r="T21" s="78"/>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78"/>
      <c r="S22" s="78"/>
      <c r="T22" s="78"/>
    </row>
    <row r="23" spans="1:20"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G3:H3"/>
    <mergeCell ref="T1:T5"/>
    <mergeCell ref="L3:L5"/>
    <mergeCell ref="M3:N5"/>
    <mergeCell ref="O3:P5"/>
    <mergeCell ref="R20:T22"/>
    <mergeCell ref="J1:K5"/>
    <mergeCell ref="L1:L2"/>
    <mergeCell ref="M1:N2"/>
    <mergeCell ref="O1:P2"/>
    <mergeCell ref="Q1:S5"/>
  </mergeCells>
  <phoneticPr fontId="9" type="noConversion"/>
  <conditionalFormatting sqref="K7:O31">
    <cfRule type="expression" dxfId="18" priority="2">
      <formula>$K7=3</formula>
    </cfRule>
    <cfRule type="expression" dxfId="17" priority="3">
      <formula>$K7=2</formula>
    </cfRule>
    <cfRule type="expression" dxfId="16"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628650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B3" sqref="B3"/>
    </sheetView>
  </sheetViews>
  <sheetFormatPr baseColWidth="10" defaultRowHeight="12" x14ac:dyDescent="0.2"/>
  <cols>
    <col min="1" max="1" width="12.85546875" customWidth="1"/>
    <col min="2" max="2" width="12.7109375" customWidth="1"/>
    <col min="3" max="3" width="9.7109375" customWidth="1"/>
    <col min="4" max="4" width="21.140625" customWidth="1"/>
    <col min="5" max="5" width="10.5703125" customWidth="1"/>
    <col min="6" max="6" width="8.42578125" customWidth="1"/>
    <col min="7" max="7" width="9.85546875"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99" t="s">
        <v>546</v>
      </c>
      <c r="L1" s="100"/>
      <c r="M1" s="88" t="s">
        <v>3</v>
      </c>
      <c r="N1" s="94" t="s">
        <v>545</v>
      </c>
      <c r="O1" s="95"/>
      <c r="P1" s="92" t="s">
        <v>4</v>
      </c>
      <c r="Q1" s="93"/>
      <c r="R1" s="105" t="s">
        <v>547</v>
      </c>
      <c r="S1" s="106"/>
      <c r="T1" s="107"/>
      <c r="U1" s="79"/>
    </row>
    <row r="2" spans="1:21" ht="12" customHeight="1" x14ac:dyDescent="0.2">
      <c r="A2" t="s">
        <v>3</v>
      </c>
      <c r="B2" s="23" t="str">
        <f>A7</f>
        <v>Abr 2024</v>
      </c>
      <c r="C2" t="s">
        <v>243</v>
      </c>
      <c r="G2" s="15" t="s">
        <v>253</v>
      </c>
      <c r="H2" s="24">
        <f ca="1">TODAY()</f>
        <v>45438</v>
      </c>
      <c r="I2" s="29"/>
      <c r="K2" s="101"/>
      <c r="L2" s="102"/>
      <c r="M2" s="89"/>
      <c r="N2" s="96"/>
      <c r="O2" s="97"/>
      <c r="P2" s="92"/>
      <c r="Q2" s="93"/>
      <c r="R2" s="108"/>
      <c r="S2" s="109"/>
      <c r="T2" s="110"/>
      <c r="U2" s="79"/>
    </row>
    <row r="3" spans="1:21" ht="12" customHeight="1" x14ac:dyDescent="0.2">
      <c r="A3" t="s">
        <v>229</v>
      </c>
      <c r="B3" s="44">
        <f ca="1">IF(C3="",ROUND(AVERAGE(omie!N5:OFFSET(omie!N5,MATCH(B4,omie_abril[fecha],0)-1,0)),2),C3)</f>
        <v>13.67</v>
      </c>
      <c r="C3" s="26"/>
      <c r="G3" s="78" t="s">
        <v>248</v>
      </c>
      <c r="H3" s="78"/>
      <c r="I3" s="29"/>
      <c r="K3" s="101"/>
      <c r="L3" s="102"/>
      <c r="M3" s="90" t="s">
        <v>13</v>
      </c>
      <c r="N3" s="98">
        <f>H1</f>
        <v>30</v>
      </c>
      <c r="O3" s="98"/>
      <c r="P3" s="91">
        <f ca="1">B3</f>
        <v>13.67</v>
      </c>
      <c r="Q3" s="91"/>
      <c r="R3" s="108"/>
      <c r="S3" s="109"/>
      <c r="T3" s="110"/>
      <c r="U3" s="79"/>
    </row>
    <row r="4" spans="1:21" ht="12" customHeight="1" x14ac:dyDescent="0.2">
      <c r="A4" t="s">
        <v>6</v>
      </c>
      <c r="B4" s="3">
        <f>DATE(2024,4,H1)</f>
        <v>45412</v>
      </c>
      <c r="G4" t="s">
        <v>247</v>
      </c>
      <c r="H4" s="30">
        <f>[1]omie_dinamic_dia!$G$2</f>
        <v>27</v>
      </c>
      <c r="I4" s="29"/>
      <c r="K4" s="101"/>
      <c r="L4" s="102"/>
      <c r="M4" s="90"/>
      <c r="N4" s="98"/>
      <c r="O4" s="98"/>
      <c r="P4" s="91"/>
      <c r="Q4" s="91"/>
      <c r="R4" s="108"/>
      <c r="S4" s="109"/>
      <c r="T4" s="110"/>
      <c r="U4" s="79"/>
    </row>
    <row r="5" spans="1:21" ht="12" customHeight="1" x14ac:dyDescent="0.2">
      <c r="A5" t="s">
        <v>15</v>
      </c>
      <c r="B5" s="3">
        <f>MAX(omie_abril[fecha])</f>
        <v>45412</v>
      </c>
      <c r="I5" s="29"/>
      <c r="K5" s="103"/>
      <c r="L5" s="104"/>
      <c r="M5" s="90"/>
      <c r="N5" s="98"/>
      <c r="O5" s="98"/>
      <c r="P5" s="91"/>
      <c r="Q5" s="91"/>
      <c r="R5" s="111"/>
      <c r="S5" s="112"/>
      <c r="T5" s="113"/>
      <c r="U5" s="79"/>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78"/>
      <c r="T20" s="78"/>
      <c r="U20" s="78"/>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78"/>
      <c r="T21" s="78"/>
      <c r="U21" s="78"/>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78"/>
      <c r="T22" s="78"/>
      <c r="U22" s="78"/>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15" priority="17">
      <formula>$K7=3</formula>
    </cfRule>
    <cfRule type="expression" dxfId="14" priority="18">
      <formula>$K7=2</formula>
    </cfRule>
    <cfRule type="expression" dxfId="13"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00B050"/>
  </sheetPr>
  <dimension ref="A1:U68"/>
  <sheetViews>
    <sheetView showGridLines="0" zoomScale="130" zoomScaleNormal="130" workbookViewId="0">
      <selection activeCell="P6" sqref="P6:Q3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27</v>
      </c>
      <c r="I1" s="29"/>
      <c r="K1" s="99" t="s">
        <v>546</v>
      </c>
      <c r="L1" s="100"/>
      <c r="M1" s="88" t="s">
        <v>3</v>
      </c>
      <c r="N1" s="94" t="s">
        <v>659</v>
      </c>
      <c r="O1" s="95"/>
      <c r="P1" s="92" t="s">
        <v>4</v>
      </c>
      <c r="Q1" s="93"/>
      <c r="R1" s="105" t="s">
        <v>660</v>
      </c>
      <c r="S1" s="106"/>
      <c r="T1" s="107"/>
      <c r="U1" s="79"/>
    </row>
    <row r="2" spans="1:21" ht="12" customHeight="1" x14ac:dyDescent="0.2">
      <c r="A2" t="s">
        <v>3</v>
      </c>
      <c r="B2" s="23" t="str">
        <f>A7</f>
        <v>May 2024</v>
      </c>
      <c r="C2" s="4" t="s">
        <v>243</v>
      </c>
      <c r="G2" s="15" t="s">
        <v>253</v>
      </c>
      <c r="H2" s="24">
        <f ca="1">TODAY()</f>
        <v>45438</v>
      </c>
      <c r="I2" s="29"/>
      <c r="K2" s="101"/>
      <c r="L2" s="102"/>
      <c r="M2" s="89"/>
      <c r="N2" s="96"/>
      <c r="O2" s="97"/>
      <c r="P2" s="92"/>
      <c r="Q2" s="93"/>
      <c r="R2" s="108"/>
      <c r="S2" s="109"/>
      <c r="T2" s="110"/>
      <c r="U2" s="79"/>
    </row>
    <row r="3" spans="1:21" ht="12" customHeight="1" x14ac:dyDescent="0.2">
      <c r="A3" t="s">
        <v>229</v>
      </c>
      <c r="B3" s="44">
        <f ca="1">IF(C3="",ROUND(AVERAGE(omie!Q5:OFFSET(omie!Q5,MATCH(B4,omie_mayo[fecha],0)-1,0)),2),C3)</f>
        <v>31.44</v>
      </c>
      <c r="C3" s="65"/>
      <c r="G3" s="78" t="s">
        <v>248</v>
      </c>
      <c r="H3" s="78"/>
      <c r="I3" s="29"/>
      <c r="K3" s="101"/>
      <c r="L3" s="102"/>
      <c r="M3" s="90" t="s">
        <v>13</v>
      </c>
      <c r="N3" s="98">
        <f>H1</f>
        <v>27</v>
      </c>
      <c r="O3" s="98"/>
      <c r="P3" s="91">
        <f ca="1">B3</f>
        <v>31.44</v>
      </c>
      <c r="Q3" s="91"/>
      <c r="R3" s="108"/>
      <c r="S3" s="109"/>
      <c r="T3" s="110"/>
      <c r="U3" s="79"/>
    </row>
    <row r="4" spans="1:21" ht="12" customHeight="1" x14ac:dyDescent="0.2">
      <c r="A4" t="s">
        <v>6</v>
      </c>
      <c r="B4" s="3">
        <f>DATE(2024,5,H1)</f>
        <v>45439</v>
      </c>
      <c r="G4" t="s">
        <v>247</v>
      </c>
      <c r="H4" s="67">
        <f>[1]omie_dinamic_dia!$G$2</f>
        <v>27</v>
      </c>
      <c r="I4" s="29"/>
      <c r="K4" s="101"/>
      <c r="L4" s="102"/>
      <c r="M4" s="90"/>
      <c r="N4" s="98"/>
      <c r="O4" s="98"/>
      <c r="P4" s="91"/>
      <c r="Q4" s="91"/>
      <c r="R4" s="108"/>
      <c r="S4" s="109"/>
      <c r="T4" s="110"/>
      <c r="U4" s="79"/>
    </row>
    <row r="5" spans="1:21" ht="12" customHeight="1" x14ac:dyDescent="0.2">
      <c r="A5" t="s">
        <v>15</v>
      </c>
      <c r="B5" s="3">
        <f>MAX(omie_mayo[fecha])</f>
        <v>45439</v>
      </c>
      <c r="I5" s="29"/>
      <c r="K5" s="103"/>
      <c r="L5" s="104"/>
      <c r="M5" s="90"/>
      <c r="N5" s="98"/>
      <c r="O5" s="98"/>
      <c r="P5" s="91"/>
      <c r="Q5" s="91"/>
      <c r="R5" s="111"/>
      <c r="S5" s="112"/>
      <c r="T5" s="113"/>
      <c r="U5" s="79"/>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565</v>
      </c>
      <c r="B7" t="s">
        <v>412</v>
      </c>
      <c r="C7" s="28">
        <v>48.6</v>
      </c>
      <c r="D7" t="s">
        <v>614</v>
      </c>
      <c r="E7" t="s">
        <v>615</v>
      </c>
      <c r="F7" s="28">
        <f ca="1">apuestas_may24[[#This Row],[Apuesta Miniporra]]-$B$3</f>
        <v>17.16</v>
      </c>
      <c r="G7" s="68">
        <f ca="1">ABS(apuestas_may24[[#This Row],[desvio]])/$B$3</f>
        <v>0.54580152671755722</v>
      </c>
      <c r="H7" s="4">
        <f ca="1">_xlfn.RANK.EQ(apuestas_may24[[#This Row],[desvio %]],apuestas_may24[desvio %],1)</f>
        <v>39</v>
      </c>
      <c r="J7" s="66" t="s">
        <v>565</v>
      </c>
      <c r="K7" s="10">
        <f ca="1">INDEX(apuestas_may24[orden],MATCH(resultados_may[Apuesta MiniPorra],apuestas_may24[Apuesta Miniporra],0))</f>
        <v>39</v>
      </c>
      <c r="L7" s="6" t="str">
        <f>apuestas_may24[[#This Row],[Nombre]]</f>
        <v>Jose Manuel Otero López</v>
      </c>
      <c r="M7" s="14">
        <f>apuestas_may24[[#This Row],[Apuesta Miniporra]]</f>
        <v>48.6</v>
      </c>
      <c r="N7" s="14">
        <f ca="1">INDEX(apuestas_may24[desvio],MATCH(resultados_may[[#This Row],[Apuesta MiniPorra]],apuestas_may24[Apuesta Miniporra],0))</f>
        <v>17.16</v>
      </c>
      <c r="O7" s="13">
        <f ca="1">INDEX(apuestas_may24[desvio %],MATCH(resultados_may[[#This Row],[Apuesta MiniPorra]],apuestas_may24[Apuesta Miniporra],0))</f>
        <v>0.54580152671755722</v>
      </c>
      <c r="P7" s="42">
        <v>1</v>
      </c>
      <c r="Q7" s="28">
        <v>12.53</v>
      </c>
    </row>
    <row r="8" spans="1:21" x14ac:dyDescent="0.2">
      <c r="A8" t="s">
        <v>565</v>
      </c>
      <c r="B8" t="s">
        <v>215</v>
      </c>
      <c r="C8" s="28">
        <v>41.1</v>
      </c>
      <c r="D8" t="s">
        <v>118</v>
      </c>
      <c r="E8" t="s">
        <v>103</v>
      </c>
      <c r="F8" s="28">
        <f ca="1">apuestas_may24[[#This Row],[Apuesta Miniporra]]-$B$3</f>
        <v>9.66</v>
      </c>
      <c r="G8" s="68">
        <f ca="1">ABS(apuestas_may24[[#This Row],[desvio]])/$B$3</f>
        <v>0.30725190839694655</v>
      </c>
      <c r="H8" s="4">
        <f ca="1">_xlfn.RANK.EQ(apuestas_may24[[#This Row],[desvio %]],apuestas_may24[desvio %],1)</f>
        <v>34</v>
      </c>
      <c r="J8" s="66" t="s">
        <v>565</v>
      </c>
      <c r="K8" s="10">
        <f ca="1">INDEX(apuestas_may24[orden],MATCH(resultados_may[Apuesta MiniPorra],apuestas_may24[Apuesta Miniporra],0))</f>
        <v>34</v>
      </c>
      <c r="L8" s="6" t="str">
        <f>apuestas_may24[[#This Row],[Nombre]]</f>
        <v>Carles Estruch Puig</v>
      </c>
      <c r="M8" s="14">
        <f>apuestas_may24[[#This Row],[Apuesta Miniporra]]</f>
        <v>41.1</v>
      </c>
      <c r="N8" s="14">
        <f ca="1">INDEX(apuestas_may24[desvio],MATCH(resultados_may[[#This Row],[Apuesta MiniPorra]],apuestas_may24[Apuesta Miniporra],0))</f>
        <v>9.66</v>
      </c>
      <c r="O8" s="13">
        <f ca="1">INDEX(apuestas_may24[desvio %],MATCH(resultados_may[[#This Row],[Apuesta MiniPorra]],apuestas_may24[Apuesta Miniporra],0))</f>
        <v>0.30725190839694655</v>
      </c>
      <c r="P8" s="42">
        <v>2</v>
      </c>
      <c r="Q8" s="28">
        <v>15.6</v>
      </c>
    </row>
    <row r="9" spans="1:21" x14ac:dyDescent="0.2">
      <c r="A9" t="s">
        <v>565</v>
      </c>
      <c r="B9" t="s">
        <v>650</v>
      </c>
      <c r="C9" s="28">
        <v>38.14</v>
      </c>
      <c r="D9" t="s">
        <v>582</v>
      </c>
      <c r="E9" t="s">
        <v>583</v>
      </c>
      <c r="F9" s="28">
        <f ca="1">apuestas_may24[[#This Row],[Apuesta Miniporra]]-$B$3</f>
        <v>6.6999999999999993</v>
      </c>
      <c r="G9" s="68">
        <f ca="1">ABS(apuestas_may24[[#This Row],[desvio]])/$B$3</f>
        <v>0.21310432569974552</v>
      </c>
      <c r="H9" s="4">
        <f ca="1">_xlfn.RANK.EQ(apuestas_may24[[#This Row],[desvio %]],apuestas_may24[desvio %],1)</f>
        <v>30</v>
      </c>
      <c r="J9" s="66" t="s">
        <v>565</v>
      </c>
      <c r="K9" s="10">
        <f ca="1">INDEX(apuestas_may24[orden],MATCH(resultados_may[Apuesta MiniPorra],apuestas_may24[Apuesta Miniporra],0))</f>
        <v>30</v>
      </c>
      <c r="L9" s="6" t="str">
        <f>apuestas_may24[[#This Row],[Nombre]]</f>
        <v>Jose Antonio Quidiello Antuña</v>
      </c>
      <c r="M9" s="14">
        <f>apuestas_may24[[#This Row],[Apuesta Miniporra]]</f>
        <v>38.14</v>
      </c>
      <c r="N9" s="14">
        <f ca="1">INDEX(apuestas_may24[desvio],MATCH(resultados_may[[#This Row],[Apuesta MiniPorra]],apuestas_may24[Apuesta Miniporra],0))</f>
        <v>6.6999999999999993</v>
      </c>
      <c r="O9" s="13">
        <f ca="1">INDEX(apuestas_may24[desvio %],MATCH(resultados_may[[#This Row],[Apuesta MiniPorra]],apuestas_may24[Apuesta Miniporra],0))</f>
        <v>0.21310432569974552</v>
      </c>
      <c r="P9" s="42">
        <v>3</v>
      </c>
      <c r="Q9" s="28">
        <v>26.11</v>
      </c>
      <c r="R9" s="28"/>
    </row>
    <row r="10" spans="1:21" x14ac:dyDescent="0.2">
      <c r="A10" t="s">
        <v>565</v>
      </c>
      <c r="B10" t="s">
        <v>400</v>
      </c>
      <c r="C10" s="28">
        <v>37.799999999999997</v>
      </c>
      <c r="D10" t="s">
        <v>118</v>
      </c>
      <c r="E10" t="s">
        <v>194</v>
      </c>
      <c r="F10" s="28">
        <f ca="1">apuestas_may24[[#This Row],[Apuesta Miniporra]]-$B$3</f>
        <v>6.3599999999999959</v>
      </c>
      <c r="G10" s="68">
        <f ca="1">ABS(apuestas_may24[[#This Row],[desvio]])/$B$3</f>
        <v>0.20229007633587773</v>
      </c>
      <c r="H10" s="4">
        <f ca="1">_xlfn.RANK.EQ(apuestas_may24[[#This Row],[desvio %]],apuestas_may24[desvio %],1)</f>
        <v>27</v>
      </c>
      <c r="J10" s="66" t="s">
        <v>565</v>
      </c>
      <c r="K10" s="10">
        <f ca="1">INDEX(apuestas_may24[orden],MATCH(resultados_may[Apuesta MiniPorra],apuestas_may24[Apuesta Miniporra],0))</f>
        <v>27</v>
      </c>
      <c r="L10" s="6" t="str">
        <f>apuestas_may24[[#This Row],[Nombre]]</f>
        <v>Manuel Nogales Guillén</v>
      </c>
      <c r="M10" s="14">
        <f>apuestas_may24[[#This Row],[Apuesta Miniporra]]</f>
        <v>37.799999999999997</v>
      </c>
      <c r="N10" s="14">
        <f ca="1">INDEX(apuestas_may24[desvio],MATCH(resultados_may[[#This Row],[Apuesta MiniPorra]],apuestas_may24[Apuesta Miniporra],0))</f>
        <v>6.3599999999999959</v>
      </c>
      <c r="O10" s="13">
        <f ca="1">INDEX(apuestas_may24[desvio %],MATCH(resultados_may[[#This Row],[Apuesta MiniPorra]],apuestas_may24[Apuesta Miniporra],0))</f>
        <v>0.20229007633587773</v>
      </c>
      <c r="P10" s="42">
        <v>4</v>
      </c>
      <c r="Q10" s="28">
        <v>14.8</v>
      </c>
      <c r="R10" s="28"/>
    </row>
    <row r="11" spans="1:21" x14ac:dyDescent="0.2">
      <c r="A11" t="s">
        <v>565</v>
      </c>
      <c r="B11" t="s">
        <v>655</v>
      </c>
      <c r="C11" s="28">
        <v>35.6</v>
      </c>
      <c r="D11" t="s">
        <v>118</v>
      </c>
      <c r="E11" t="s">
        <v>630</v>
      </c>
      <c r="F11" s="28">
        <f ca="1">apuestas_may24[[#This Row],[Apuesta Miniporra]]-$B$3</f>
        <v>4.16</v>
      </c>
      <c r="G11" s="68">
        <f ca="1">ABS(apuestas_may24[[#This Row],[desvio]])/$B$3</f>
        <v>0.13231552162849872</v>
      </c>
      <c r="H11" s="4">
        <f ca="1">_xlfn.RANK.EQ(apuestas_may24[[#This Row],[desvio %]],apuestas_may24[desvio %],1)</f>
        <v>23</v>
      </c>
      <c r="J11" s="66" t="s">
        <v>565</v>
      </c>
      <c r="K11" s="10">
        <f ca="1">INDEX(apuestas_may24[orden],MATCH(resultados_may[Apuesta MiniPorra],apuestas_may24[Apuesta Miniporra],0))</f>
        <v>23</v>
      </c>
      <c r="L11" s="6" t="str">
        <f>apuestas_may24[[#This Row],[Nombre]]</f>
        <v>Iñaki Moriana García</v>
      </c>
      <c r="M11" s="14">
        <f>apuestas_may24[[#This Row],[Apuesta Miniporra]]</f>
        <v>35.6</v>
      </c>
      <c r="N11" s="14">
        <f ca="1">INDEX(apuestas_may24[desvio],MATCH(resultados_may[[#This Row],[Apuesta MiniPorra]],apuestas_may24[Apuesta Miniporra],0))</f>
        <v>4.16</v>
      </c>
      <c r="O11" s="13">
        <f ca="1">INDEX(apuestas_may24[desvio %],MATCH(resultados_may[[#This Row],[Apuesta MiniPorra]],apuestas_may24[Apuesta Miniporra],0))</f>
        <v>0.13231552162849872</v>
      </c>
      <c r="P11" s="42">
        <v>5</v>
      </c>
      <c r="Q11" s="28">
        <v>17.53</v>
      </c>
      <c r="R11" s="28"/>
    </row>
    <row r="12" spans="1:21" x14ac:dyDescent="0.2">
      <c r="A12" t="s">
        <v>565</v>
      </c>
      <c r="B12" t="s">
        <v>337</v>
      </c>
      <c r="C12" s="28">
        <v>35.53</v>
      </c>
      <c r="D12" t="s">
        <v>585</v>
      </c>
      <c r="E12" t="s">
        <v>309</v>
      </c>
      <c r="F12" s="28">
        <f ca="1">apuestas_may24[[#This Row],[Apuesta Miniporra]]-$B$3</f>
        <v>4.09</v>
      </c>
      <c r="G12" s="68">
        <f ca="1">ABS(apuestas_may24[[#This Row],[desvio]])/$B$3</f>
        <v>0.13008905852417302</v>
      </c>
      <c r="H12" s="4">
        <f ca="1">_xlfn.RANK.EQ(apuestas_may24[[#This Row],[desvio %]],apuestas_may24[desvio %],1)</f>
        <v>22</v>
      </c>
      <c r="J12" s="66" t="s">
        <v>565</v>
      </c>
      <c r="K12" s="10">
        <f ca="1">INDEX(apuestas_may24[orden],MATCH(resultados_may[Apuesta MiniPorra],apuestas_may24[Apuesta Miniporra],0))</f>
        <v>22</v>
      </c>
      <c r="L12" s="6" t="str">
        <f>apuestas_may24[[#This Row],[Nombre]]</f>
        <v>Francisco Valverde Sánchez</v>
      </c>
      <c r="M12" s="14">
        <f>apuestas_may24[[#This Row],[Apuesta Miniporra]]</f>
        <v>35.53</v>
      </c>
      <c r="N12" s="14">
        <f ca="1">INDEX(apuestas_may24[desvio],MATCH(resultados_may[[#This Row],[Apuesta MiniPorra]],apuestas_may24[Apuesta Miniporra],0))</f>
        <v>4.09</v>
      </c>
      <c r="O12" s="13">
        <f ca="1">INDEX(apuestas_may24[desvio %],MATCH(resultados_may[[#This Row],[Apuesta MiniPorra]],apuestas_may24[Apuesta Miniporra],0))</f>
        <v>0.13008905852417302</v>
      </c>
      <c r="P12" s="42">
        <v>6</v>
      </c>
      <c r="Q12" s="28">
        <v>47.8</v>
      </c>
      <c r="R12" s="28"/>
    </row>
    <row r="13" spans="1:21" x14ac:dyDescent="0.2">
      <c r="A13" t="s">
        <v>565</v>
      </c>
      <c r="B13" t="s">
        <v>541</v>
      </c>
      <c r="C13" s="28">
        <v>35.33</v>
      </c>
      <c r="D13" t="s">
        <v>576</v>
      </c>
      <c r="E13" t="s">
        <v>525</v>
      </c>
      <c r="F13" s="28">
        <f ca="1">apuestas_may24[[#This Row],[Apuesta Miniporra]]-$B$3</f>
        <v>3.889999999999997</v>
      </c>
      <c r="G13" s="68">
        <f ca="1">ABS(apuestas_may24[[#This Row],[desvio]])/$B$3</f>
        <v>0.12372773536895665</v>
      </c>
      <c r="H13" s="4">
        <f ca="1">_xlfn.RANK.EQ(apuestas_may24[[#This Row],[desvio %]],apuestas_may24[desvio %],1)</f>
        <v>21</v>
      </c>
      <c r="J13" s="66" t="s">
        <v>565</v>
      </c>
      <c r="K13" s="10">
        <f ca="1">INDEX(apuestas_may24[orden],MATCH(resultados_may[Apuesta MiniPorra],apuestas_may24[Apuesta Miniporra],0))</f>
        <v>21</v>
      </c>
      <c r="L13" s="6" t="str">
        <f>apuestas_may24[[#This Row],[Nombre]]</f>
        <v>Daniel Reganon</v>
      </c>
      <c r="M13" s="14">
        <f>apuestas_may24[[#This Row],[Apuesta Miniporra]]</f>
        <v>35.33</v>
      </c>
      <c r="N13" s="14">
        <f ca="1">INDEX(apuestas_may24[desvio],MATCH(resultados_may[[#This Row],[Apuesta MiniPorra]],apuestas_may24[Apuesta Miniporra],0))</f>
        <v>3.889999999999997</v>
      </c>
      <c r="O13" s="13">
        <f ca="1">INDEX(apuestas_may24[desvio %],MATCH(resultados_may[[#This Row],[Apuesta MiniPorra]],apuestas_may24[Apuesta Miniporra],0))</f>
        <v>0.12372773536895665</v>
      </c>
      <c r="P13" s="42">
        <v>7</v>
      </c>
      <c r="Q13" s="28">
        <v>42.04</v>
      </c>
      <c r="R13" s="28"/>
    </row>
    <row r="14" spans="1:21" x14ac:dyDescent="0.2">
      <c r="A14" t="s">
        <v>565</v>
      </c>
      <c r="B14" t="s">
        <v>399</v>
      </c>
      <c r="C14" s="28">
        <v>35.229999999999997</v>
      </c>
      <c r="D14" t="s">
        <v>118</v>
      </c>
      <c r="E14" t="s">
        <v>601</v>
      </c>
      <c r="F14" s="28">
        <f ca="1">apuestas_may24[[#This Row],[Apuesta Miniporra]]-$B$3</f>
        <v>3.7899999999999956</v>
      </c>
      <c r="G14" s="68">
        <f ca="1">ABS(apuestas_may24[[#This Row],[desvio]])/$B$3</f>
        <v>0.12054707379134845</v>
      </c>
      <c r="H14" s="4">
        <f ca="1">_xlfn.RANK.EQ(apuestas_may24[[#This Row],[desvio %]],apuestas_may24[desvio %],1)</f>
        <v>19</v>
      </c>
      <c r="J14" s="66" t="s">
        <v>565</v>
      </c>
      <c r="K14" s="10">
        <f ca="1">INDEX(apuestas_may24[orden],MATCH(resultados_may[Apuesta MiniPorra],apuestas_may24[Apuesta Miniporra],0))</f>
        <v>19</v>
      </c>
      <c r="L14" s="6" t="str">
        <f>apuestas_may24[[#This Row],[Nombre]]</f>
        <v>Sergio Lopez Oliver</v>
      </c>
      <c r="M14" s="14">
        <f>apuestas_may24[[#This Row],[Apuesta Miniporra]]</f>
        <v>35.229999999999997</v>
      </c>
      <c r="N14" s="14">
        <f ca="1">INDEX(apuestas_may24[desvio],MATCH(resultados_may[[#This Row],[Apuesta MiniPorra]],apuestas_may24[Apuesta Miniporra],0))</f>
        <v>3.7899999999999956</v>
      </c>
      <c r="O14" s="13">
        <f ca="1">INDEX(apuestas_may24[desvio %],MATCH(resultados_may[[#This Row],[Apuesta MiniPorra]],apuestas_may24[Apuesta Miniporra],0))</f>
        <v>0.12054707379134845</v>
      </c>
      <c r="P14" s="42">
        <v>8</v>
      </c>
      <c r="Q14" s="28">
        <v>21.24</v>
      </c>
      <c r="R14" s="28"/>
    </row>
    <row r="15" spans="1:21" x14ac:dyDescent="0.2">
      <c r="A15" t="s">
        <v>565</v>
      </c>
      <c r="B15" t="s">
        <v>474</v>
      </c>
      <c r="C15" s="28">
        <v>35.1</v>
      </c>
      <c r="D15" t="s">
        <v>575</v>
      </c>
      <c r="E15" t="s">
        <v>535</v>
      </c>
      <c r="F15" s="28">
        <f ca="1">apuestas_may24[[#This Row],[Apuesta Miniporra]]-$B$3</f>
        <v>3.66</v>
      </c>
      <c r="G15" s="68">
        <f ca="1">ABS(apuestas_may24[[#This Row],[desvio]])/$B$3</f>
        <v>0.11641221374045801</v>
      </c>
      <c r="H15" s="4">
        <f ca="1">_xlfn.RANK.EQ(apuestas_may24[[#This Row],[desvio %]],apuestas_may24[desvio %],1)</f>
        <v>18</v>
      </c>
      <c r="J15" s="66" t="s">
        <v>565</v>
      </c>
      <c r="K15" s="10">
        <f ca="1">INDEX(apuestas_may24[orden],MATCH(resultados_may[Apuesta MiniPorra],apuestas_may24[Apuesta Miniporra],0))</f>
        <v>18</v>
      </c>
      <c r="L15" s="6" t="str">
        <f>apuestas_may24[[#This Row],[Nombre]]</f>
        <v>Javier Colón Cortegoso</v>
      </c>
      <c r="M15" s="14">
        <f>apuestas_may24[[#This Row],[Apuesta Miniporra]]</f>
        <v>35.1</v>
      </c>
      <c r="N15" s="14">
        <f ca="1">INDEX(apuestas_may24[desvio],MATCH(resultados_may[[#This Row],[Apuesta MiniPorra]],apuestas_may24[Apuesta Miniporra],0))</f>
        <v>3.66</v>
      </c>
      <c r="O15" s="13">
        <f ca="1">INDEX(apuestas_may24[desvio %],MATCH(resultados_may[[#This Row],[Apuesta MiniPorra]],apuestas_may24[Apuesta Miniporra],0))</f>
        <v>0.11641221374045801</v>
      </c>
      <c r="P15" s="42">
        <v>9</v>
      </c>
      <c r="Q15" s="28">
        <v>33.54</v>
      </c>
      <c r="R15" s="28"/>
    </row>
    <row r="16" spans="1:21" x14ac:dyDescent="0.2">
      <c r="A16" t="s">
        <v>565</v>
      </c>
      <c r="B16" t="s">
        <v>9</v>
      </c>
      <c r="C16" s="28">
        <v>35</v>
      </c>
      <c r="D16" t="s">
        <v>571</v>
      </c>
      <c r="E16" t="s">
        <v>563</v>
      </c>
      <c r="F16" s="28">
        <f ca="1">apuestas_may24[[#This Row],[Apuesta Miniporra]]-$B$3</f>
        <v>3.5599999999999987</v>
      </c>
      <c r="G16" s="68">
        <f ca="1">ABS(apuestas_may24[[#This Row],[desvio]])/$B$3</f>
        <v>0.11323155216284983</v>
      </c>
      <c r="H16" s="4">
        <f ca="1">_xlfn.RANK.EQ(apuestas_may24[[#This Row],[desvio %]],apuestas_may24[desvio %],1)</f>
        <v>17</v>
      </c>
      <c r="J16" s="66" t="s">
        <v>565</v>
      </c>
      <c r="K16" s="10">
        <f ca="1">INDEX(apuestas_may24[orden],MATCH(resultados_may[Apuesta MiniPorra],apuestas_may24[Apuesta Miniporra],0))</f>
        <v>17</v>
      </c>
      <c r="L16" s="6" t="str">
        <f>apuestas_may24[[#This Row],[Nombre]]</f>
        <v>Alfonso Zárate Conde</v>
      </c>
      <c r="M16" s="14">
        <f>apuestas_may24[[#This Row],[Apuesta Miniporra]]</f>
        <v>35</v>
      </c>
      <c r="N16" s="14">
        <f ca="1">INDEX(apuestas_may24[desvio],MATCH(resultados_may[[#This Row],[Apuesta MiniPorra]],apuestas_may24[Apuesta Miniporra],0))</f>
        <v>3.5599999999999987</v>
      </c>
      <c r="O16" s="13">
        <f ca="1">INDEX(apuestas_may24[desvio %],MATCH(resultados_may[[#This Row],[Apuesta MiniPorra]],apuestas_may24[Apuesta Miniporra],0))</f>
        <v>0.11323155216284983</v>
      </c>
      <c r="P16" s="42">
        <v>10</v>
      </c>
      <c r="Q16" s="28">
        <v>28.95</v>
      </c>
      <c r="R16" s="28"/>
    </row>
    <row r="17" spans="1:21" x14ac:dyDescent="0.2">
      <c r="A17" t="s">
        <v>565</v>
      </c>
      <c r="B17" t="s">
        <v>657</v>
      </c>
      <c r="C17" s="28">
        <v>34.47</v>
      </c>
      <c r="D17" t="s">
        <v>118</v>
      </c>
      <c r="E17" t="s">
        <v>642</v>
      </c>
      <c r="F17" s="28">
        <f ca="1">apuestas_may24[[#This Row],[Apuesta Miniporra]]-$B$3</f>
        <v>3.0299999999999976</v>
      </c>
      <c r="G17" s="68">
        <f ca="1">ABS(apuestas_may24[[#This Row],[desvio]])/$B$3</f>
        <v>9.6374045801526642E-2</v>
      </c>
      <c r="H17" s="4">
        <f ca="1">_xlfn.RANK.EQ(apuestas_may24[[#This Row],[desvio %]],apuestas_may24[desvio %],1)</f>
        <v>14</v>
      </c>
      <c r="J17" s="66" t="s">
        <v>565</v>
      </c>
      <c r="K17" s="10">
        <f ca="1">INDEX(apuestas_may24[orden],MATCH(resultados_may[Apuesta MiniPorra],apuestas_may24[Apuesta Miniporra],0))</f>
        <v>14</v>
      </c>
      <c r="L17" s="6" t="str">
        <f>apuestas_may24[[#This Row],[Nombre]]</f>
        <v>Carlos Martin</v>
      </c>
      <c r="M17" s="14">
        <f>apuestas_may24[[#This Row],[Apuesta Miniporra]]</f>
        <v>34.47</v>
      </c>
      <c r="N17" s="14">
        <f ca="1">INDEX(apuestas_may24[desvio],MATCH(resultados_may[[#This Row],[Apuesta MiniPorra]],apuestas_may24[Apuesta Miniporra],0))</f>
        <v>3.0299999999999976</v>
      </c>
      <c r="O17" s="13">
        <f ca="1">INDEX(apuestas_may24[desvio %],MATCH(resultados_may[[#This Row],[Apuesta MiniPorra]],apuestas_may24[Apuesta Miniporra],0))</f>
        <v>9.6374045801526642E-2</v>
      </c>
      <c r="P17" s="42">
        <v>11</v>
      </c>
      <c r="Q17" s="28">
        <v>20.59</v>
      </c>
      <c r="R17" s="28"/>
    </row>
    <row r="18" spans="1:21" x14ac:dyDescent="0.2">
      <c r="A18" t="s">
        <v>565</v>
      </c>
      <c r="B18" t="s">
        <v>335</v>
      </c>
      <c r="C18" s="28">
        <v>34.21</v>
      </c>
      <c r="D18" t="s">
        <v>646</v>
      </c>
      <c r="E18" t="s">
        <v>647</v>
      </c>
      <c r="F18" s="28">
        <f ca="1">apuestas_may24[[#This Row],[Apuesta Miniporra]]-$B$3</f>
        <v>2.7699999999999996</v>
      </c>
      <c r="G18" s="68">
        <f ca="1">ABS(apuestas_may24[[#This Row],[desvio]])/$B$3</f>
        <v>8.8104325699745537E-2</v>
      </c>
      <c r="H18" s="4">
        <f ca="1">_xlfn.RANK.EQ(apuestas_may24[[#This Row],[desvio %]],apuestas_may24[desvio %],1)</f>
        <v>12</v>
      </c>
      <c r="J18" s="66" t="s">
        <v>565</v>
      </c>
      <c r="K18" s="10">
        <f ca="1">INDEX(apuestas_may24[orden],MATCH(resultados_may[Apuesta MiniPorra],apuestas_may24[Apuesta Miniporra],0))</f>
        <v>12</v>
      </c>
      <c r="L18" s="6" t="str">
        <f>apuestas_may24[[#This Row],[Nombre]]</f>
        <v>Carlos Callejón</v>
      </c>
      <c r="M18" s="14">
        <f>apuestas_may24[[#This Row],[Apuesta Miniporra]]</f>
        <v>34.21</v>
      </c>
      <c r="N18" s="14">
        <f ca="1">INDEX(apuestas_may24[desvio],MATCH(resultados_may[[#This Row],[Apuesta MiniPorra]],apuestas_may24[Apuesta Miniporra],0))</f>
        <v>2.7699999999999996</v>
      </c>
      <c r="O18" s="13">
        <f ca="1">INDEX(apuestas_may24[desvio %],MATCH(resultados_may[[#This Row],[Apuesta MiniPorra]],apuestas_may24[Apuesta Miniporra],0))</f>
        <v>8.8104325699745537E-2</v>
      </c>
      <c r="P18" s="42">
        <v>12</v>
      </c>
      <c r="Q18" s="28">
        <v>21.53</v>
      </c>
      <c r="R18" s="28"/>
    </row>
    <row r="19" spans="1:21" x14ac:dyDescent="0.2">
      <c r="A19" t="s">
        <v>565</v>
      </c>
      <c r="B19" t="s">
        <v>652</v>
      </c>
      <c r="C19" s="28">
        <v>33.36</v>
      </c>
      <c r="D19" t="s">
        <v>118</v>
      </c>
      <c r="E19" t="s">
        <v>612</v>
      </c>
      <c r="F19" s="28">
        <f ca="1">apuestas_may24[[#This Row],[Apuesta Miniporra]]-$B$3</f>
        <v>1.9199999999999982</v>
      </c>
      <c r="G19" s="68">
        <f ca="1">ABS(apuestas_may24[[#This Row],[desvio]])/$B$3</f>
        <v>6.1068702290076278E-2</v>
      </c>
      <c r="H19" s="4">
        <f ca="1">_xlfn.RANK.EQ(apuestas_may24[[#This Row],[desvio %]],apuestas_may24[desvio %],1)</f>
        <v>11</v>
      </c>
      <c r="J19" s="66" t="s">
        <v>565</v>
      </c>
      <c r="K19" s="10">
        <f ca="1">INDEX(apuestas_may24[orden],MATCH(resultados_may[Apuesta MiniPorra],apuestas_may24[Apuesta Miniporra],0))</f>
        <v>11</v>
      </c>
      <c r="L19" s="6" t="str">
        <f>apuestas_may24[[#This Row],[Nombre]]</f>
        <v>Miguel Roa Prieto</v>
      </c>
      <c r="M19" s="14">
        <f>apuestas_may24[[#This Row],[Apuesta Miniporra]]</f>
        <v>33.36</v>
      </c>
      <c r="N19" s="14">
        <f ca="1">INDEX(apuestas_may24[desvio],MATCH(resultados_may[[#This Row],[Apuesta MiniPorra]],apuestas_may24[Apuesta Miniporra],0))</f>
        <v>1.9199999999999982</v>
      </c>
      <c r="O19" s="13">
        <f ca="1">INDEX(apuestas_may24[desvio %],MATCH(resultados_may[[#This Row],[Apuesta MiniPorra]],apuestas_may24[Apuesta Miniporra],0))</f>
        <v>6.1068702290076278E-2</v>
      </c>
      <c r="P19" s="42">
        <v>13</v>
      </c>
      <c r="Q19" s="28">
        <v>23.34</v>
      </c>
      <c r="R19" s="28"/>
    </row>
    <row r="20" spans="1:21" x14ac:dyDescent="0.2">
      <c r="A20" t="s">
        <v>565</v>
      </c>
      <c r="B20" t="s">
        <v>219</v>
      </c>
      <c r="C20" s="28">
        <v>33.35</v>
      </c>
      <c r="D20" t="s">
        <v>625</v>
      </c>
      <c r="E20" t="s">
        <v>451</v>
      </c>
      <c r="F20" s="28">
        <f ca="1">apuestas_may24[[#This Row],[Apuesta Miniporra]]-$B$3</f>
        <v>1.9100000000000001</v>
      </c>
      <c r="G20" s="68">
        <f ca="1">ABS(apuestas_may24[[#This Row],[desvio]])/$B$3</f>
        <v>6.0750636132315523E-2</v>
      </c>
      <c r="H20" s="4">
        <f ca="1">_xlfn.RANK.EQ(apuestas_may24[[#This Row],[desvio %]],apuestas_may24[desvio %],1)</f>
        <v>10</v>
      </c>
      <c r="J20" s="66" t="s">
        <v>565</v>
      </c>
      <c r="K20" s="10">
        <f ca="1">INDEX(apuestas_may24[orden],MATCH(resultados_may[Apuesta MiniPorra],apuestas_may24[Apuesta Miniporra],0))</f>
        <v>10</v>
      </c>
      <c r="L20" s="6" t="str">
        <f>apuestas_may24[[#This Row],[Nombre]]</f>
        <v>Jaime Larrañaga Juez</v>
      </c>
      <c r="M20" s="14">
        <f>apuestas_may24[[#This Row],[Apuesta Miniporra]]</f>
        <v>33.35</v>
      </c>
      <c r="N20" s="14">
        <f ca="1">INDEX(apuestas_may24[desvio],MATCH(resultados_may[[#This Row],[Apuesta MiniPorra]],apuestas_may24[Apuesta Miniporra],0))</f>
        <v>1.9100000000000001</v>
      </c>
      <c r="O20" s="13">
        <f ca="1">INDEX(apuestas_may24[desvio %],MATCH(resultados_may[[#This Row],[Apuesta MiniPorra]],apuestas_may24[Apuesta Miniporra],0))</f>
        <v>6.0750636132315523E-2</v>
      </c>
      <c r="P20" s="42">
        <v>14</v>
      </c>
      <c r="Q20" s="28">
        <v>8.14</v>
      </c>
      <c r="R20" s="28"/>
      <c r="S20" s="78"/>
      <c r="T20" s="78"/>
      <c r="U20" s="78"/>
    </row>
    <row r="21" spans="1:21" x14ac:dyDescent="0.2">
      <c r="A21" t="s">
        <v>565</v>
      </c>
      <c r="B21" t="s">
        <v>413</v>
      </c>
      <c r="C21" s="28">
        <v>33.340000000000003</v>
      </c>
      <c r="D21" t="s">
        <v>118</v>
      </c>
      <c r="E21" t="s">
        <v>317</v>
      </c>
      <c r="F21" s="28">
        <f ca="1">apuestas_may24[[#This Row],[Apuesta Miniporra]]-$B$3</f>
        <v>1.9000000000000021</v>
      </c>
      <c r="G21" s="68">
        <f ca="1">ABS(apuestas_may24[[#This Row],[desvio]])/$B$3</f>
        <v>6.0432569974554776E-2</v>
      </c>
      <c r="H21" s="4">
        <f ca="1">_xlfn.RANK.EQ(apuestas_may24[[#This Row],[desvio %]],apuestas_may24[desvio %],1)</f>
        <v>9</v>
      </c>
      <c r="J21" s="66" t="s">
        <v>565</v>
      </c>
      <c r="K21" s="10">
        <f ca="1">INDEX(apuestas_may24[orden],MATCH(resultados_may[Apuesta MiniPorra],apuestas_may24[Apuesta Miniporra],0))</f>
        <v>9</v>
      </c>
      <c r="L21" s="6" t="str">
        <f>apuestas_may24[[#This Row],[Nombre]]</f>
        <v>Beatriz Muñoz Rioboo</v>
      </c>
      <c r="M21" s="14">
        <f>apuestas_may24[[#This Row],[Apuesta Miniporra]]</f>
        <v>33.340000000000003</v>
      </c>
      <c r="N21" s="14">
        <f ca="1">INDEX(apuestas_may24[desvio],MATCH(resultados_may[[#This Row],[Apuesta MiniPorra]],apuestas_may24[Apuesta Miniporra],0))</f>
        <v>1.9000000000000021</v>
      </c>
      <c r="O21" s="13">
        <f ca="1">INDEX(apuestas_may24[desvio %],MATCH(resultados_may[[#This Row],[Apuesta MiniPorra]],apuestas_may24[Apuesta Miniporra],0))</f>
        <v>6.0432569974554776E-2</v>
      </c>
      <c r="P21" s="42">
        <v>15</v>
      </c>
      <c r="Q21" s="28">
        <v>14.21</v>
      </c>
      <c r="R21" s="28"/>
      <c r="S21" s="78"/>
      <c r="T21" s="78"/>
      <c r="U21" s="78"/>
    </row>
    <row r="22" spans="1:21" x14ac:dyDescent="0.2">
      <c r="A22" t="s">
        <v>565</v>
      </c>
      <c r="B22" t="s">
        <v>217</v>
      </c>
      <c r="C22" s="28">
        <v>33.33</v>
      </c>
      <c r="D22" t="s">
        <v>118</v>
      </c>
      <c r="E22" t="s">
        <v>123</v>
      </c>
      <c r="F22" s="28">
        <f ca="1">apuestas_may24[[#This Row],[Apuesta Miniporra]]-$B$3</f>
        <v>1.889999999999997</v>
      </c>
      <c r="G22" s="68">
        <f ca="1">ABS(apuestas_may24[[#This Row],[desvio]])/$B$3</f>
        <v>6.0114503816793799E-2</v>
      </c>
      <c r="H22" s="4">
        <f ca="1">_xlfn.RANK.EQ(apuestas_may24[[#This Row],[desvio %]],apuestas_may24[desvio %],1)</f>
        <v>8</v>
      </c>
      <c r="J22" s="66" t="s">
        <v>565</v>
      </c>
      <c r="K22" s="10">
        <f ca="1">INDEX(apuestas_may24[orden],MATCH(resultados_may[Apuesta MiniPorra],apuestas_may24[Apuesta Miniporra],0))</f>
        <v>8</v>
      </c>
      <c r="L22" s="6" t="str">
        <f>apuestas_may24[[#This Row],[Nombre]]</f>
        <v>Fernando Sánchez-Rey Maeso</v>
      </c>
      <c r="M22" s="14">
        <f>apuestas_may24[[#This Row],[Apuesta Miniporra]]</f>
        <v>33.33</v>
      </c>
      <c r="N22" s="14">
        <f ca="1">INDEX(apuestas_may24[desvio],MATCH(resultados_may[[#This Row],[Apuesta MiniPorra]],apuestas_may24[Apuesta Miniporra],0))</f>
        <v>1.889999999999997</v>
      </c>
      <c r="O22" s="13">
        <f ca="1">INDEX(apuestas_may24[desvio %],MATCH(resultados_may[[#This Row],[Apuesta MiniPorra]],apuestas_may24[Apuesta Miniporra],0))</f>
        <v>6.0114503816793799E-2</v>
      </c>
      <c r="P22" s="42">
        <v>16</v>
      </c>
      <c r="Q22" s="28">
        <v>32.35</v>
      </c>
      <c r="R22" s="28"/>
      <c r="S22" s="78"/>
      <c r="T22" s="78"/>
      <c r="U22" s="78"/>
    </row>
    <row r="23" spans="1:21" x14ac:dyDescent="0.2">
      <c r="A23" t="s">
        <v>565</v>
      </c>
      <c r="B23" t="s">
        <v>364</v>
      </c>
      <c r="C23" s="28">
        <v>31.88</v>
      </c>
      <c r="D23" t="s">
        <v>118</v>
      </c>
      <c r="E23" t="s">
        <v>361</v>
      </c>
      <c r="F23" s="28">
        <f ca="1">apuestas_may24[[#This Row],[Apuesta Miniporra]]-$B$3</f>
        <v>0.43999999999999773</v>
      </c>
      <c r="G23" s="68">
        <f ca="1">ABS(apuestas_may24[[#This Row],[desvio]])/$B$3</f>
        <v>1.3994910941475754E-2</v>
      </c>
      <c r="H23" s="4">
        <f ca="1">_xlfn.RANK.EQ(apuestas_may24[[#This Row],[desvio %]],apuestas_may24[desvio %],1)</f>
        <v>1</v>
      </c>
      <c r="J23" s="66" t="s">
        <v>565</v>
      </c>
      <c r="K23" s="10">
        <f ca="1">INDEX(apuestas_may24[orden],MATCH(resultados_may[Apuesta MiniPorra],apuestas_may24[Apuesta Miniporra],0))</f>
        <v>1</v>
      </c>
      <c r="L23" s="6" t="str">
        <f>apuestas_may24[[#This Row],[Nombre]]</f>
        <v>Marcos Fortea Escolano</v>
      </c>
      <c r="M23" s="14">
        <f>apuestas_may24[[#This Row],[Apuesta Miniporra]]</f>
        <v>31.88</v>
      </c>
      <c r="N23" s="14">
        <f ca="1">INDEX(apuestas_may24[desvio],MATCH(resultados_may[[#This Row],[Apuesta MiniPorra]],apuestas_may24[Apuesta Miniporra],0))</f>
        <v>0.43999999999999773</v>
      </c>
      <c r="O23" s="13">
        <f ca="1">INDEX(apuestas_may24[desvio %],MATCH(resultados_may[[#This Row],[Apuesta MiniPorra]],apuestas_may24[Apuesta Miniporra],0))</f>
        <v>1.3994910941475754E-2</v>
      </c>
      <c r="P23" s="42">
        <v>17</v>
      </c>
      <c r="Q23" s="28">
        <v>53.42</v>
      </c>
      <c r="R23" s="28"/>
    </row>
    <row r="24" spans="1:21" x14ac:dyDescent="0.2">
      <c r="A24" t="s">
        <v>565</v>
      </c>
      <c r="B24" t="s">
        <v>403</v>
      </c>
      <c r="C24" s="28">
        <v>30.7</v>
      </c>
      <c r="D24" t="s">
        <v>649</v>
      </c>
      <c r="E24" t="s">
        <v>171</v>
      </c>
      <c r="F24" s="28">
        <f ca="1">apuestas_may24[[#This Row],[Apuesta Miniporra]]-$B$3</f>
        <v>-0.74000000000000199</v>
      </c>
      <c r="G24" s="68">
        <f ca="1">ABS(apuestas_may24[[#This Row],[desvio]])/$B$3</f>
        <v>2.3536895674300316E-2</v>
      </c>
      <c r="H24" s="4">
        <f ca="1">_xlfn.RANK.EQ(apuestas_may24[[#This Row],[desvio %]],apuestas_may24[desvio %],1)</f>
        <v>2</v>
      </c>
      <c r="J24" s="66" t="s">
        <v>565</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-0.74000000000000199</v>
      </c>
      <c r="O24" s="13">
        <f ca="1">INDEX(apuestas_may24[desvio %],MATCH(resultados_may[[#This Row],[Apuesta MiniPorra]],apuestas_may24[Apuesta Miniporra],0))</f>
        <v>2.3536895674300316E-2</v>
      </c>
      <c r="P24" s="42">
        <v>18</v>
      </c>
      <c r="Q24" s="28">
        <v>32.99</v>
      </c>
      <c r="R24" s="28"/>
    </row>
    <row r="25" spans="1:21" x14ac:dyDescent="0.2">
      <c r="A25" t="s">
        <v>565</v>
      </c>
      <c r="B25" t="s">
        <v>404</v>
      </c>
      <c r="C25" s="28">
        <v>30.5</v>
      </c>
      <c r="D25" t="s">
        <v>661</v>
      </c>
      <c r="E25" t="s">
        <v>145</v>
      </c>
      <c r="F25" s="28">
        <f ca="1">apuestas_may24[[#This Row],[Apuesta Miniporra]]-$B$3</f>
        <v>-0.94000000000000128</v>
      </c>
      <c r="G25" s="68">
        <f ca="1">ABS(apuestas_may24[[#This Row],[desvio]])/$B$3</f>
        <v>2.9898218829516578E-2</v>
      </c>
      <c r="H25" s="4">
        <f ca="1">_xlfn.RANK.EQ(apuestas_may24[[#This Row],[desvio %]],apuestas_may24[desvio %],1)</f>
        <v>3</v>
      </c>
      <c r="J25" s="66" t="s">
        <v>565</v>
      </c>
      <c r="K25" s="10">
        <f ca="1">INDEX(apuestas_may24[orden],MATCH(resultados_may[Apuesta MiniPorra],apuestas_may24[Apuesta Miniporra],0))</f>
        <v>3</v>
      </c>
      <c r="L25" s="6" t="str">
        <f>apuestas_may24[[#This Row],[Nombre]]</f>
        <v>Juan Luis Jarillo Gómez</v>
      </c>
      <c r="M25" s="14">
        <f>apuestas_may24[[#This Row],[Apuesta Miniporra]]</f>
        <v>30.5</v>
      </c>
      <c r="N25" s="14">
        <f ca="1">INDEX(apuestas_may24[desvio],MATCH(resultados_may[[#This Row],[Apuesta MiniPorra]],apuestas_may24[Apuesta Miniporra],0))</f>
        <v>-0.94000000000000128</v>
      </c>
      <c r="O25" s="13">
        <f ca="1">INDEX(apuestas_may24[desvio %],MATCH(resultados_may[[#This Row],[Apuesta MiniPorra]],apuestas_may24[Apuesta Miniporra],0))</f>
        <v>2.9898218829516578E-2</v>
      </c>
      <c r="P25" s="42">
        <v>19</v>
      </c>
      <c r="Q25" s="28">
        <v>26.6</v>
      </c>
      <c r="R25" s="28"/>
    </row>
    <row r="26" spans="1:21" x14ac:dyDescent="0.2">
      <c r="A26" t="s">
        <v>565</v>
      </c>
      <c r="B26" t="s">
        <v>336</v>
      </c>
      <c r="C26" s="28">
        <v>30.01</v>
      </c>
      <c r="D26" t="s">
        <v>662</v>
      </c>
      <c r="E26" t="s">
        <v>2</v>
      </c>
      <c r="F26" s="28">
        <f ca="1">apuestas_may24[[#This Row],[Apuesta Miniporra]]-$B$3</f>
        <v>-1.4299999999999997</v>
      </c>
      <c r="G26" s="68">
        <f ca="1">ABS(apuestas_may24[[#This Row],[desvio]])/$B$3</f>
        <v>4.5483460559796428E-2</v>
      </c>
      <c r="H26" s="4">
        <f ca="1">_xlfn.RANK.EQ(apuestas_may24[[#This Row],[desvio %]],apuestas_may24[desvio %],1)</f>
        <v>4</v>
      </c>
      <c r="J26" s="66" t="s">
        <v>565</v>
      </c>
      <c r="K26" s="10">
        <f ca="1">INDEX(apuestas_may24[orden],MATCH(resultados_may[Apuesta MiniPorra],apuestas_may24[Apuesta Miniporra],0))</f>
        <v>4</v>
      </c>
      <c r="L26" s="6" t="str">
        <f>apuestas_may24[[#This Row],[Nombre]]</f>
        <v>Javier Revuelta Alonso</v>
      </c>
      <c r="M26" s="14">
        <f>apuestas_may24[[#This Row],[Apuesta Miniporra]]</f>
        <v>30.01</v>
      </c>
      <c r="N26" s="14">
        <f ca="1">INDEX(apuestas_may24[desvio],MATCH(resultados_may[[#This Row],[Apuesta MiniPorra]],apuestas_may24[Apuesta Miniporra],0))</f>
        <v>-1.4299999999999997</v>
      </c>
      <c r="O26" s="13">
        <f ca="1">INDEX(apuestas_may24[desvio %],MATCH(resultados_may[[#This Row],[Apuesta MiniPorra]],apuestas_may24[Apuesta Miniporra],0))</f>
        <v>4.5483460559796428E-2</v>
      </c>
      <c r="P26" s="42">
        <v>20</v>
      </c>
      <c r="Q26" s="28">
        <v>32.72</v>
      </c>
      <c r="R26" s="28"/>
    </row>
    <row r="27" spans="1:21" x14ac:dyDescent="0.2">
      <c r="A27" t="s">
        <v>565</v>
      </c>
      <c r="B27" t="s">
        <v>328</v>
      </c>
      <c r="C27" s="28">
        <v>30</v>
      </c>
      <c r="D27" t="s">
        <v>118</v>
      </c>
      <c r="E27" t="s">
        <v>328</v>
      </c>
      <c r="F27" s="28">
        <f ca="1">apuestas_may24[[#This Row],[Apuesta Miniporra]]-$B$3</f>
        <v>-1.4400000000000013</v>
      </c>
      <c r="G27" s="68">
        <f ca="1">ABS(apuestas_may24[[#This Row],[desvio]])/$B$3</f>
        <v>4.5801526717557293E-2</v>
      </c>
      <c r="H27" s="4">
        <f ca="1">_xlfn.RANK.EQ(apuestas_may24[[#This Row],[desvio %]],apuestas_may24[desvio %],1)</f>
        <v>5</v>
      </c>
      <c r="J27" s="66" t="s">
        <v>565</v>
      </c>
      <c r="K27" s="10">
        <f ca="1">INDEX(apuestas_may24[orden],MATCH(resultados_may[Apuesta MiniPorra],apuestas_may24[Apuesta Miniporra],0))</f>
        <v>5</v>
      </c>
      <c r="L27" s="6" t="str">
        <f>apuestas_may24[[#This Row],[Nombre]]</f>
        <v>Aitor Folch</v>
      </c>
      <c r="M27" s="14">
        <f>apuestas_may24[[#This Row],[Apuesta Miniporra]]</f>
        <v>30</v>
      </c>
      <c r="N27" s="14">
        <f ca="1">INDEX(apuestas_may24[desvio],MATCH(resultados_may[[#This Row],[Apuesta MiniPorra]],apuestas_may24[Apuesta Miniporra],0))</f>
        <v>-1.4400000000000013</v>
      </c>
      <c r="O27" s="13">
        <f ca="1">INDEX(apuestas_may24[desvio %],MATCH(resultados_may[[#This Row],[Apuesta MiniPorra]],apuestas_may24[Apuesta Miniporra],0))</f>
        <v>4.5801526717557293E-2</v>
      </c>
      <c r="P27" s="42">
        <v>21</v>
      </c>
      <c r="Q27" s="28">
        <v>46.09</v>
      </c>
      <c r="R27" s="28"/>
    </row>
    <row r="28" spans="1:21" x14ac:dyDescent="0.2">
      <c r="A28" t="s">
        <v>565</v>
      </c>
      <c r="B28" t="s">
        <v>409</v>
      </c>
      <c r="C28" s="28">
        <v>29.69</v>
      </c>
      <c r="D28" t="s">
        <v>617</v>
      </c>
      <c r="E28" t="s">
        <v>462</v>
      </c>
      <c r="F28" s="28">
        <f ca="1">apuestas_may24[[#This Row],[Apuesta Miniporra]]-$B$3</f>
        <v>-1.75</v>
      </c>
      <c r="G28" s="68">
        <f ca="1">ABS(apuestas_may24[[#This Row],[desvio]])/$B$3</f>
        <v>5.5661577608142492E-2</v>
      </c>
      <c r="H28" s="4">
        <f ca="1">_xlfn.RANK.EQ(apuestas_may24[[#This Row],[desvio %]],apuestas_may24[desvio %],1)</f>
        <v>6</v>
      </c>
      <c r="J28" s="66" t="s">
        <v>565</v>
      </c>
      <c r="K28" s="10">
        <f ca="1">INDEX(apuestas_may24[orden],MATCH(resultados_may[Apuesta MiniPorra],apuestas_may24[Apuesta Miniporra],0))</f>
        <v>6</v>
      </c>
      <c r="L28" s="6" t="str">
        <f>apuestas_may24[[#This Row],[Nombre]]</f>
        <v>Gladys Rocha Blanco</v>
      </c>
      <c r="M28" s="14">
        <f>apuestas_may24[[#This Row],[Apuesta Miniporra]]</f>
        <v>29.69</v>
      </c>
      <c r="N28" s="14">
        <f ca="1">INDEX(apuestas_may24[desvio],MATCH(resultados_may[[#This Row],[Apuesta MiniPorra]],apuestas_may24[Apuesta Miniporra],0))</f>
        <v>-1.75</v>
      </c>
      <c r="O28" s="13">
        <f ca="1">INDEX(apuestas_may24[desvio %],MATCH(resultados_may[[#This Row],[Apuesta MiniPorra]],apuestas_may24[Apuesta Miniporra],0))</f>
        <v>5.5661577608142492E-2</v>
      </c>
      <c r="P28" s="42">
        <v>22</v>
      </c>
      <c r="Q28" s="28">
        <v>44.76</v>
      </c>
      <c r="R28" s="28"/>
    </row>
    <row r="29" spans="1:21" x14ac:dyDescent="0.2">
      <c r="A29" t="s">
        <v>565</v>
      </c>
      <c r="B29" t="s">
        <v>408</v>
      </c>
      <c r="C29" s="28">
        <v>29.6</v>
      </c>
      <c r="D29" t="s">
        <v>578</v>
      </c>
      <c r="E29" t="s">
        <v>456</v>
      </c>
      <c r="F29" s="28">
        <f ca="1">apuestas_may24[[#This Row],[Apuesta Miniporra]]-$B$3</f>
        <v>-1.8399999999999999</v>
      </c>
      <c r="G29" s="68">
        <f ca="1">ABS(apuestas_may24[[#This Row],[desvio]])/$B$3</f>
        <v>5.8524173027989818E-2</v>
      </c>
      <c r="H29" s="4">
        <f ca="1">_xlfn.RANK.EQ(apuestas_may24[[#This Row],[desvio %]],apuestas_may24[desvio %],1)</f>
        <v>7</v>
      </c>
      <c r="J29" s="66" t="s">
        <v>565</v>
      </c>
      <c r="K29" s="10">
        <f ca="1">INDEX(apuestas_may24[orden],MATCH(resultados_may[Apuesta MiniPorra],apuestas_may24[Apuesta Miniporra],0))</f>
        <v>7</v>
      </c>
      <c r="L29" s="6" t="str">
        <f>apuestas_may24[[#This Row],[Nombre]]</f>
        <v>Julián Mateo Muñoz</v>
      </c>
      <c r="M29" s="14">
        <f>apuestas_may24[[#This Row],[Apuesta Miniporra]]</f>
        <v>29.6</v>
      </c>
      <c r="N29" s="14">
        <f ca="1">INDEX(apuestas_may24[desvio],MATCH(resultados_may[[#This Row],[Apuesta MiniPorra]],apuestas_may24[Apuesta Miniporra],0))</f>
        <v>-1.8399999999999999</v>
      </c>
      <c r="O29" s="13">
        <f ca="1">INDEX(apuestas_may24[desvio %],MATCH(resultados_may[[#This Row],[Apuesta MiniPorra]],apuestas_may24[Apuesta Miniporra],0))</f>
        <v>5.8524173027989818E-2</v>
      </c>
      <c r="P29" s="42">
        <v>23</v>
      </c>
      <c r="Q29" s="28">
        <v>60.45</v>
      </c>
      <c r="R29" s="28"/>
    </row>
    <row r="30" spans="1:21" x14ac:dyDescent="0.2">
      <c r="A30" t="s">
        <v>565</v>
      </c>
      <c r="B30" t="s">
        <v>543</v>
      </c>
      <c r="C30" s="28">
        <v>28.62</v>
      </c>
      <c r="D30" t="s">
        <v>634</v>
      </c>
      <c r="E30" t="s">
        <v>351</v>
      </c>
      <c r="F30" s="28">
        <f ca="1">apuestas_may24[[#This Row],[Apuesta Miniporra]]-$B$3</f>
        <v>-2.8200000000000003</v>
      </c>
      <c r="G30" s="68">
        <f ca="1">ABS(apuestas_may24[[#This Row],[desvio]])/$B$3</f>
        <v>8.9694656488549629E-2</v>
      </c>
      <c r="H30" s="4">
        <f ca="1">_xlfn.RANK.EQ(apuestas_may24[[#This Row],[desvio %]],apuestas_may24[desvio %],1)</f>
        <v>13</v>
      </c>
      <c r="J30" s="66" t="s">
        <v>565</v>
      </c>
      <c r="K30" s="10">
        <f ca="1">INDEX(apuestas_may24[orden],MATCH(resultados_may[Apuesta MiniPorra],apuestas_may24[Apuesta Miniporra],0))</f>
        <v>13</v>
      </c>
      <c r="L30" s="6" t="str">
        <f>apuestas_may24[[#This Row],[Nombre]]</f>
        <v>Roberto Parro Cortés</v>
      </c>
      <c r="M30" s="14">
        <f>apuestas_may24[[#This Row],[Apuesta Miniporra]]</f>
        <v>28.62</v>
      </c>
      <c r="N30" s="14">
        <f ca="1">INDEX(apuestas_may24[desvio],MATCH(resultados_may[[#This Row],[Apuesta MiniPorra]],apuestas_may24[Apuesta Miniporra],0))</f>
        <v>-2.8200000000000003</v>
      </c>
      <c r="O30" s="13">
        <f ca="1">INDEX(apuestas_may24[desvio %],MATCH(resultados_may[[#This Row],[Apuesta MiniPorra]],apuestas_may24[Apuesta Miniporra],0))</f>
        <v>8.9694656488549629E-2</v>
      </c>
      <c r="P30" s="42">
        <v>24</v>
      </c>
      <c r="Q30" s="28">
        <v>71.67</v>
      </c>
      <c r="R30" s="28"/>
    </row>
    <row r="31" spans="1:21" x14ac:dyDescent="0.2">
      <c r="A31" t="s">
        <v>565</v>
      </c>
      <c r="B31" t="s">
        <v>362</v>
      </c>
      <c r="C31" s="28">
        <v>28.3</v>
      </c>
      <c r="D31" t="s">
        <v>118</v>
      </c>
      <c r="E31" t="s">
        <v>213</v>
      </c>
      <c r="F31" s="28">
        <f ca="1">apuestas_may24[[#This Row],[Apuesta Miniporra]]-$B$3</f>
        <v>-3.1400000000000006</v>
      </c>
      <c r="G31" s="68">
        <f ca="1">ABS(apuestas_may24[[#This Row],[desvio]])/$B$3</f>
        <v>9.9872773536895693E-2</v>
      </c>
      <c r="H31" s="4">
        <f ca="1">_xlfn.RANK.EQ(apuestas_may24[[#This Row],[desvio %]],apuestas_may24[desvio %],1)</f>
        <v>15</v>
      </c>
      <c r="J31" s="66" t="s">
        <v>565</v>
      </c>
      <c r="K31" s="10">
        <f ca="1">INDEX(apuestas_may24[orden],MATCH(resultados_may[Apuesta MiniPorra],apuestas_may24[Apuesta Miniporra],0))</f>
        <v>15</v>
      </c>
      <c r="L31" s="6" t="str">
        <f>apuestas_may24[[#This Row],[Nombre]]</f>
        <v>Inés Monroy</v>
      </c>
      <c r="M31" s="14">
        <f>apuestas_may24[[#This Row],[Apuesta Miniporra]]</f>
        <v>28.3</v>
      </c>
      <c r="N31" s="14">
        <f ca="1">INDEX(apuestas_may24[desvio],MATCH(resultados_may[[#This Row],[Apuesta MiniPorra]],apuestas_may24[Apuesta Miniporra],0))</f>
        <v>-3.1400000000000006</v>
      </c>
      <c r="O31" s="13">
        <f ca="1">INDEX(apuestas_may24[desvio %],MATCH(resultados_may[[#This Row],[Apuesta MiniPorra]],apuestas_may24[Apuesta Miniporra],0))</f>
        <v>9.9872773536895693E-2</v>
      </c>
      <c r="P31" s="42">
        <v>25</v>
      </c>
      <c r="Q31" s="28">
        <v>43.71</v>
      </c>
      <c r="R31" s="28"/>
    </row>
    <row r="32" spans="1:21" x14ac:dyDescent="0.2">
      <c r="A32" t="s">
        <v>565</v>
      </c>
      <c r="B32" t="s">
        <v>414</v>
      </c>
      <c r="C32" s="28">
        <v>28.1</v>
      </c>
      <c r="D32" t="s">
        <v>118</v>
      </c>
      <c r="E32" t="s">
        <v>467</v>
      </c>
      <c r="F32" s="28">
        <f ca="1">apuestas_may24[[#This Row],[Apuesta Miniporra]]-$B$3</f>
        <v>-3.34</v>
      </c>
      <c r="G32" s="68">
        <f ca="1">ABS(apuestas_may24[[#This Row],[desvio]])/$B$3</f>
        <v>0.10623409669211195</v>
      </c>
      <c r="H32" s="4">
        <f ca="1">_xlfn.RANK.EQ(apuestas_may24[[#This Row],[desvio %]],apuestas_may24[desvio %],1)</f>
        <v>16</v>
      </c>
      <c r="J32" s="66" t="s">
        <v>565</v>
      </c>
      <c r="K32" s="10">
        <f ca="1">INDEX(apuestas_may24[orden],MATCH(resultados_may[Apuesta MiniPorra],apuestas_may24[Apuesta Miniporra],0))</f>
        <v>16</v>
      </c>
      <c r="L32" s="6" t="str">
        <f>apuestas_may24[[#This Row],[Nombre]]</f>
        <v>Laura Gómez López</v>
      </c>
      <c r="M32" s="14">
        <f>apuestas_may24[[#This Row],[Apuesta Miniporra]]</f>
        <v>28.1</v>
      </c>
      <c r="N32" s="14">
        <f ca="1">INDEX(apuestas_may24[desvio],MATCH(resultados_may[[#This Row],[Apuesta MiniPorra]],apuestas_may24[Apuesta Miniporra],0))</f>
        <v>-3.34</v>
      </c>
      <c r="O32" s="13">
        <f ca="1">INDEX(apuestas_may24[desvio %],MATCH(resultados_may[[#This Row],[Apuesta MiniPorra]],apuestas_may24[Apuesta Miniporra],0))</f>
        <v>0.10623409669211195</v>
      </c>
      <c r="P32" s="42">
        <v>26</v>
      </c>
      <c r="Q32" s="28">
        <v>25.42</v>
      </c>
      <c r="R32" s="28"/>
    </row>
    <row r="33" spans="1:18" x14ac:dyDescent="0.2">
      <c r="A33" t="s">
        <v>565</v>
      </c>
      <c r="B33" t="s">
        <v>381</v>
      </c>
      <c r="C33" s="28">
        <v>27.57</v>
      </c>
      <c r="D33" t="s">
        <v>592</v>
      </c>
      <c r="E33" t="s">
        <v>37</v>
      </c>
      <c r="F33" s="28">
        <f ca="1">apuestas_may24[[#This Row],[Apuesta Miniporra]]-$B$3</f>
        <v>-3.870000000000001</v>
      </c>
      <c r="G33" s="68">
        <f ca="1">ABS(apuestas_may24[[#This Row],[desvio]])/$B$3</f>
        <v>0.12309160305343514</v>
      </c>
      <c r="H33" s="4">
        <f ca="1">_xlfn.RANK.EQ(apuestas_may24[[#This Row],[desvio %]],apuestas_may24[desvio %],1)</f>
        <v>20</v>
      </c>
      <c r="J33" s="66" t="s">
        <v>565</v>
      </c>
      <c r="K33" s="10">
        <f ca="1">INDEX(apuestas_may24[orden],MATCH(resultados_may[Apuesta MiniPorra],apuestas_may24[Apuesta Miniporra],0))</f>
        <v>20</v>
      </c>
      <c r="L33" s="6" t="str">
        <f>apuestas_may24[[#This Row],[Nombre]]</f>
        <v>Roberto Cavero García</v>
      </c>
      <c r="M33" s="14">
        <f>apuestas_may24[[#This Row],[Apuesta Miniporra]]</f>
        <v>27.57</v>
      </c>
      <c r="N33" s="14">
        <f ca="1">INDEX(apuestas_may24[desvio],MATCH(resultados_may[[#This Row],[Apuesta MiniPorra]],apuestas_may24[Apuesta Miniporra],0))</f>
        <v>-3.870000000000001</v>
      </c>
      <c r="O33" s="13">
        <f ca="1">INDEX(apuestas_may24[desvio %],MATCH(resultados_may[[#This Row],[Apuesta MiniPorra]],apuestas_may24[Apuesta Miniporra],0))</f>
        <v>0.12309160305343514</v>
      </c>
      <c r="P33" s="42">
        <v>27</v>
      </c>
      <c r="Q33" s="28">
        <v>30.84</v>
      </c>
      <c r="R33" s="28"/>
    </row>
    <row r="34" spans="1:18" x14ac:dyDescent="0.2">
      <c r="A34" t="s">
        <v>565</v>
      </c>
      <c r="B34" t="s">
        <v>651</v>
      </c>
      <c r="C34" s="28">
        <v>27.25</v>
      </c>
      <c r="D34" t="s">
        <v>118</v>
      </c>
      <c r="E34" t="s">
        <v>603</v>
      </c>
      <c r="F34" s="28">
        <f ca="1">apuestas_may24[[#This Row],[Apuesta Miniporra]]-$B$3</f>
        <v>-4.1900000000000013</v>
      </c>
      <c r="G34" s="68">
        <f ca="1">ABS(apuestas_may24[[#This Row],[desvio]])/$B$3</f>
        <v>0.1332697201017812</v>
      </c>
      <c r="H34" s="4">
        <f ca="1">_xlfn.RANK.EQ(apuestas_may24[[#This Row],[desvio %]],apuestas_may24[desvio %],1)</f>
        <v>24</v>
      </c>
      <c r="J34" s="66" t="s">
        <v>565</v>
      </c>
      <c r="K34" s="10">
        <f ca="1">INDEX(apuestas_may24[orden],MATCH(resultados_may[Apuesta MiniPorra],apuestas_may24[Apuesta Miniporra],0))</f>
        <v>24</v>
      </c>
      <c r="L34" s="6" t="str">
        <f>apuestas_may24[[#This Row],[Nombre]]</f>
        <v>Nelson Hernandez Hernandez</v>
      </c>
      <c r="M34" s="14">
        <f>apuestas_may24[[#This Row],[Apuesta Miniporra]]</f>
        <v>27.25</v>
      </c>
      <c r="N34" s="14">
        <f ca="1">INDEX(apuestas_may24[desvio],MATCH(resultados_may[[#This Row],[Apuesta MiniPorra]],apuestas_may24[Apuesta Miniporra],0))</f>
        <v>-4.1900000000000013</v>
      </c>
      <c r="O34" s="13">
        <f ca="1">INDEX(apuestas_may24[desvio %],MATCH(resultados_may[[#This Row],[Apuesta MiniPorra]],apuestas_may24[Apuesta Miniporra],0))</f>
        <v>0.1332697201017812</v>
      </c>
      <c r="P34" s="35"/>
      <c r="Q34" s="49"/>
      <c r="R34" s="28"/>
    </row>
    <row r="35" spans="1:18" x14ac:dyDescent="0.2">
      <c r="A35" t="s">
        <v>565</v>
      </c>
      <c r="B35" t="s">
        <v>542</v>
      </c>
      <c r="C35" s="28">
        <v>26.62</v>
      </c>
      <c r="D35" t="s">
        <v>587</v>
      </c>
      <c r="E35" t="s">
        <v>542</v>
      </c>
      <c r="F35" s="28">
        <f ca="1">apuestas_may24[[#This Row],[Apuesta Miniporra]]-$B$3</f>
        <v>-4.82</v>
      </c>
      <c r="G35" s="68">
        <f ca="1">ABS(apuestas_may24[[#This Row],[desvio]])/$B$3</f>
        <v>0.15330788804071246</v>
      </c>
      <c r="H35" s="4">
        <f ca="1">_xlfn.RANK.EQ(apuestas_may24[[#This Row],[desvio %]],apuestas_may24[desvio %],1)</f>
        <v>25</v>
      </c>
      <c r="J35" s="66" t="s">
        <v>565</v>
      </c>
      <c r="K35" s="10">
        <f ca="1">INDEX(apuestas_may24[orden],MATCH(resultados_may[Apuesta MiniPorra],apuestas_may24[Apuesta Miniporra],0))</f>
        <v>25</v>
      </c>
      <c r="L35" s="6" t="str">
        <f>apuestas_may24[[#This Row],[Nombre]]</f>
        <v>Sergio Alfonso</v>
      </c>
      <c r="M35" s="14">
        <f>apuestas_may24[[#This Row],[Apuesta Miniporra]]</f>
        <v>26.62</v>
      </c>
      <c r="N35" s="14">
        <f ca="1">INDEX(apuestas_may24[desvio],MATCH(resultados_may[[#This Row],[Apuesta MiniPorra]],apuestas_may24[Apuesta Miniporra],0))</f>
        <v>-4.82</v>
      </c>
      <c r="O35" s="13">
        <f ca="1">INDEX(apuestas_may24[desvio %],MATCH(resultados_may[[#This Row],[Apuesta MiniPorra]],apuestas_may24[Apuesta Miniporra],0))</f>
        <v>0.15330788804071246</v>
      </c>
      <c r="P35" s="35"/>
      <c r="Q35" s="49"/>
      <c r="R35" s="28"/>
    </row>
    <row r="36" spans="1:18" x14ac:dyDescent="0.2">
      <c r="A36" t="s">
        <v>565</v>
      </c>
      <c r="B36" t="s">
        <v>222</v>
      </c>
      <c r="C36" s="28">
        <v>26.15</v>
      </c>
      <c r="D36" t="s">
        <v>590</v>
      </c>
      <c r="E36" t="s">
        <v>178</v>
      </c>
      <c r="F36" s="28">
        <f ca="1">apuestas_may24[[#This Row],[Apuesta Miniporra]]-$B$3</f>
        <v>-5.2900000000000027</v>
      </c>
      <c r="G36" s="68">
        <f ca="1">ABS(apuestas_may24[[#This Row],[desvio]])/$B$3</f>
        <v>0.16825699745547082</v>
      </c>
      <c r="H36" s="4">
        <f ca="1">_xlfn.RANK.EQ(apuestas_may24[[#This Row],[desvio %]],apuestas_may24[desvio %],1)</f>
        <v>26</v>
      </c>
      <c r="J36" s="66" t="s">
        <v>565</v>
      </c>
      <c r="K36" s="4">
        <f ca="1">INDEX(apuestas_may24[orden],MATCH(resultados_may[Apuesta MiniPorra],apuestas_may24[Apuesta Miniporra],0))</f>
        <v>26</v>
      </c>
      <c r="L36" s="63" t="str">
        <f>apuestas_may24[[#This Row],[Nombre]]</f>
        <v>Jose F Vidal</v>
      </c>
      <c r="M36" s="28">
        <f>apuestas_may24[[#This Row],[Apuesta Miniporra]]</f>
        <v>26.15</v>
      </c>
      <c r="N36" s="4">
        <f ca="1">INDEX(apuestas_may24[desvio],MATCH(resultados_may[[#This Row],[Apuesta MiniPorra]],apuestas_may24[Apuesta Miniporra],0))</f>
        <v>-5.2900000000000027</v>
      </c>
      <c r="O36" s="13">
        <f ca="1">INDEX(apuestas_may24[desvio %],MATCH(resultados_may[[#This Row],[Apuesta MiniPorra]],apuestas_may24[Apuesta Miniporra],0))</f>
        <v>0.16825699745547082</v>
      </c>
      <c r="P36" s="35"/>
      <c r="Q36" s="49"/>
    </row>
    <row r="37" spans="1:18" x14ac:dyDescent="0.2">
      <c r="A37" t="s">
        <v>565</v>
      </c>
      <c r="B37" t="s">
        <v>406</v>
      </c>
      <c r="C37" s="28">
        <v>25</v>
      </c>
      <c r="D37" t="s">
        <v>118</v>
      </c>
      <c r="E37" t="s">
        <v>471</v>
      </c>
      <c r="F37" s="28">
        <f ca="1">apuestas_may24[[#This Row],[Apuesta Miniporra]]-$B$3</f>
        <v>-6.4400000000000013</v>
      </c>
      <c r="G37" s="68">
        <f ca="1">ABS(apuestas_may24[[#This Row],[desvio]])/$B$3</f>
        <v>0.2048346055979644</v>
      </c>
      <c r="H37" s="4">
        <f ca="1">_xlfn.RANK.EQ(apuestas_may24[[#This Row],[desvio %]],apuestas_may24[desvio %],1)</f>
        <v>28</v>
      </c>
      <c r="J37" s="66" t="s">
        <v>565</v>
      </c>
      <c r="K37" s="4">
        <f ca="1">INDEX(apuestas_may24[orden],MATCH(resultados_may[Apuesta MiniPorra],apuestas_may24[Apuesta Miniporra],0))</f>
        <v>28</v>
      </c>
      <c r="L37" s="63" t="str">
        <f>apuestas_may24[[#This Row],[Nombre]]</f>
        <v>Javier Pérez Salazar</v>
      </c>
      <c r="M37" s="28">
        <f>apuestas_may24[[#This Row],[Apuesta Miniporra]]</f>
        <v>25</v>
      </c>
      <c r="N37" s="4">
        <f ca="1">INDEX(apuestas_may24[desvio],MATCH(resultados_may[[#This Row],[Apuesta MiniPorra]],apuestas_may24[Apuesta Miniporra],0))</f>
        <v>-6.4400000000000013</v>
      </c>
      <c r="O37" s="13">
        <f ca="1">INDEX(apuestas_may24[desvio %],MATCH(resultados_may[[#This Row],[Apuesta MiniPorra]],apuestas_may24[Apuesta Miniporra],0))</f>
        <v>0.2048346055979644</v>
      </c>
      <c r="P37" s="35"/>
      <c r="Q37" s="49"/>
    </row>
    <row r="38" spans="1:18" x14ac:dyDescent="0.2">
      <c r="A38" t="s">
        <v>565</v>
      </c>
      <c r="B38" t="s">
        <v>221</v>
      </c>
      <c r="C38" s="28">
        <v>24.93</v>
      </c>
      <c r="D38" t="s">
        <v>118</v>
      </c>
      <c r="E38" t="s">
        <v>124</v>
      </c>
      <c r="F38" s="28">
        <f ca="1">apuestas_may24[[#This Row],[Apuesta Miniporra]]-$B$3</f>
        <v>-6.5100000000000016</v>
      </c>
      <c r="G38" s="68">
        <f ca="1">ABS(apuestas_may24[[#This Row],[desvio]])/$B$3</f>
        <v>0.20706106870229013</v>
      </c>
      <c r="H38" s="4">
        <f ca="1">_xlfn.RANK.EQ(apuestas_may24[[#This Row],[desvio %]],apuestas_may24[desvio %],1)</f>
        <v>29</v>
      </c>
      <c r="J38" s="66" t="s">
        <v>565</v>
      </c>
      <c r="K38" s="4">
        <f ca="1">INDEX(apuestas_may24[orden],MATCH(resultados_may[Apuesta MiniPorra],apuestas_may24[Apuesta Miniporra],0))</f>
        <v>29</v>
      </c>
      <c r="L38" s="63" t="str">
        <f>apuestas_may24[[#This Row],[Nombre]]</f>
        <v>Alfonso Lezcano</v>
      </c>
      <c r="M38" s="28">
        <f>apuestas_may24[[#This Row],[Apuesta Miniporra]]</f>
        <v>24.93</v>
      </c>
      <c r="N38" s="4">
        <f ca="1">INDEX(apuestas_may24[desvio],MATCH(resultados_may[[#This Row],[Apuesta MiniPorra]],apuestas_may24[Apuesta Miniporra],0))</f>
        <v>-6.5100000000000016</v>
      </c>
      <c r="O38" s="13">
        <f ca="1">INDEX(apuestas_may24[desvio %],MATCH(resultados_may[[#This Row],[Apuesta MiniPorra]],apuestas_may24[Apuesta Miniporra],0))</f>
        <v>0.20706106870229013</v>
      </c>
      <c r="P38" s="35"/>
      <c r="Q38" s="49"/>
    </row>
    <row r="39" spans="1:18" x14ac:dyDescent="0.2">
      <c r="A39" t="s">
        <v>565</v>
      </c>
      <c r="B39" t="s">
        <v>226</v>
      </c>
      <c r="C39" s="28">
        <v>24.39</v>
      </c>
      <c r="D39" t="s">
        <v>118</v>
      </c>
      <c r="E39" t="s">
        <v>595</v>
      </c>
      <c r="F39" s="28">
        <f ca="1">apuestas_may24[[#This Row],[Apuesta Miniporra]]-$B$3</f>
        <v>-7.0500000000000007</v>
      </c>
      <c r="G39" s="68">
        <f ca="1">ABS(apuestas_may24[[#This Row],[desvio]])/$B$3</f>
        <v>0.22423664122137407</v>
      </c>
      <c r="H39" s="4">
        <f ca="1">_xlfn.RANK.EQ(apuestas_may24[[#This Row],[desvio %]],apuestas_may24[desvio %],1)</f>
        <v>31</v>
      </c>
      <c r="J39" s="66" t="s">
        <v>565</v>
      </c>
      <c r="K39" s="4">
        <f ca="1">INDEX(apuestas_may24[orden],MATCH(resultados_may[Apuesta MiniPorra],apuestas_may24[Apuesta Miniporra],0))</f>
        <v>31</v>
      </c>
      <c r="L39" s="63" t="str">
        <f>apuestas_may24[[#This Row],[Nombre]]</f>
        <v>Alejandro A. Díaz González</v>
      </c>
      <c r="M39" s="28">
        <f>apuestas_may24[[#This Row],[Apuesta Miniporra]]</f>
        <v>24.39</v>
      </c>
      <c r="N39" s="4">
        <f ca="1">INDEX(apuestas_may24[desvio],MATCH(resultados_may[[#This Row],[Apuesta MiniPorra]],apuestas_may24[Apuesta Miniporra],0))</f>
        <v>-7.0500000000000007</v>
      </c>
      <c r="O39" s="13">
        <f ca="1">INDEX(apuestas_may24[desvio %],MATCH(resultados_may[[#This Row],[Apuesta MiniPorra]],apuestas_may24[Apuesta Miniporra],0))</f>
        <v>0.22423664122137407</v>
      </c>
      <c r="P39" s="35"/>
      <c r="Q39" s="49"/>
    </row>
    <row r="40" spans="1:18" x14ac:dyDescent="0.2">
      <c r="A40" t="s">
        <v>565</v>
      </c>
      <c r="B40" t="s">
        <v>654</v>
      </c>
      <c r="C40" s="28">
        <v>23.7</v>
      </c>
      <c r="D40" t="s">
        <v>628</v>
      </c>
      <c r="E40" t="s">
        <v>629</v>
      </c>
      <c r="F40" s="28">
        <f ca="1">apuestas_may24[[#This Row],[Apuesta Miniporra]]-$B$3</f>
        <v>-7.740000000000002</v>
      </c>
      <c r="G40" s="68">
        <f ca="1">ABS(apuestas_may24[[#This Row],[desvio]])/$B$3</f>
        <v>0.24618320610687028</v>
      </c>
      <c r="H40" s="4">
        <f ca="1">_xlfn.RANK.EQ(apuestas_may24[[#This Row],[desvio %]],apuestas_may24[desvio %],1)</f>
        <v>32</v>
      </c>
      <c r="J40" s="66" t="s">
        <v>565</v>
      </c>
      <c r="K40" s="4">
        <f ca="1">INDEX(apuestas_may24[orden],MATCH(resultados_may[Apuesta MiniPorra],apuestas_may24[Apuesta Miniporra],0))</f>
        <v>32</v>
      </c>
      <c r="L40" s="63" t="str">
        <f>apuestas_may24[[#This Row],[Nombre]]</f>
        <v>Gabini Jiménez-Castillo</v>
      </c>
      <c r="M40" s="28">
        <f>apuestas_may24[[#This Row],[Apuesta Miniporra]]</f>
        <v>23.7</v>
      </c>
      <c r="N40" s="4">
        <f ca="1">INDEX(apuestas_may24[desvio],MATCH(resultados_may[[#This Row],[Apuesta MiniPorra]],apuestas_may24[Apuesta Miniporra],0))</f>
        <v>-7.740000000000002</v>
      </c>
      <c r="O40" s="13">
        <f ca="1">INDEX(apuestas_may24[desvio %],MATCH(resultados_may[[#This Row],[Apuesta MiniPorra]],apuestas_may24[Apuesta Miniporra],0))</f>
        <v>0.24618320610687028</v>
      </c>
      <c r="P40" s="35"/>
      <c r="Q40" s="49"/>
    </row>
    <row r="41" spans="1:18" x14ac:dyDescent="0.2">
      <c r="A41" t="s">
        <v>565</v>
      </c>
      <c r="B41" t="s">
        <v>411</v>
      </c>
      <c r="C41" s="28">
        <v>22.02</v>
      </c>
      <c r="D41" t="s">
        <v>608</v>
      </c>
      <c r="E41" t="s">
        <v>112</v>
      </c>
      <c r="F41" s="28">
        <f ca="1">apuestas_may24[[#This Row],[Apuesta Miniporra]]-$B$3</f>
        <v>-9.4200000000000017</v>
      </c>
      <c r="G41" s="68">
        <f ca="1">ABS(apuestas_may24[[#This Row],[desvio]])/$B$3</f>
        <v>0.29961832061068705</v>
      </c>
      <c r="H41" s="4">
        <f ca="1">_xlfn.RANK.EQ(apuestas_may24[[#This Row],[desvio %]],apuestas_may24[desvio %],1)</f>
        <v>33</v>
      </c>
      <c r="J41" s="66" t="s">
        <v>565</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-9.4200000000000017</v>
      </c>
      <c r="O41" s="13">
        <f ca="1">INDEX(apuestas_may24[desvio %],MATCH(resultados_may[[#This Row],[Apuesta MiniPorra]],apuestas_may24[Apuesta Miniporra],0))</f>
        <v>0.29961832061068705</v>
      </c>
      <c r="P41" s="35"/>
      <c r="Q41" s="49"/>
    </row>
    <row r="42" spans="1:18" x14ac:dyDescent="0.2">
      <c r="A42" t="s">
        <v>565</v>
      </c>
      <c r="B42" t="s">
        <v>363</v>
      </c>
      <c r="C42" s="28">
        <v>21.6</v>
      </c>
      <c r="D42" t="s">
        <v>597</v>
      </c>
      <c r="E42" t="s">
        <v>76</v>
      </c>
      <c r="F42" s="28">
        <f ca="1">apuestas_may24[[#This Row],[Apuesta Miniporra]]-$B$3</f>
        <v>-9.84</v>
      </c>
      <c r="G42" s="68">
        <f ca="1">ABS(apuestas_may24[[#This Row],[desvio]])/$B$3</f>
        <v>0.31297709923664119</v>
      </c>
      <c r="H42" s="4">
        <f ca="1">_xlfn.RANK.EQ(apuestas_may24[[#This Row],[desvio %]],apuestas_may24[desvio %],1)</f>
        <v>35</v>
      </c>
      <c r="J42" s="66" t="s">
        <v>565</v>
      </c>
      <c r="K42" s="4">
        <f ca="1">INDEX(apuestas_may24[orden],MATCH(resultados_may[Apuesta MiniPorra],apuestas_may24[Apuesta Miniporra],0))</f>
        <v>35</v>
      </c>
      <c r="L42" t="str">
        <f>apuestas_may24[[#This Row],[Nombre]]</f>
        <v>Roque Alonso Alonso</v>
      </c>
      <c r="M42" s="28">
        <f>apuestas_may24[[#This Row],[Apuesta Miniporra]]</f>
        <v>21.6</v>
      </c>
      <c r="N42" s="4">
        <f ca="1">INDEX(apuestas_may24[desvio],MATCH(resultados_may[[#This Row],[Apuesta MiniPorra]],apuestas_may24[Apuesta Miniporra],0))</f>
        <v>-9.84</v>
      </c>
      <c r="O42" s="13">
        <f ca="1">INDEX(apuestas_may24[desvio %],MATCH(resultados_may[[#This Row],[Apuesta MiniPorra]],apuestas_may24[Apuesta Miniporra],0))</f>
        <v>0.31297709923664119</v>
      </c>
      <c r="P42" s="35"/>
      <c r="Q42" s="49"/>
    </row>
    <row r="43" spans="1:18" x14ac:dyDescent="0.2">
      <c r="A43" t="s">
        <v>565</v>
      </c>
      <c r="B43" t="s">
        <v>658</v>
      </c>
      <c r="C43" s="28">
        <v>18.760000000000002</v>
      </c>
      <c r="D43" t="s">
        <v>567</v>
      </c>
      <c r="E43" t="s">
        <v>568</v>
      </c>
      <c r="F43" s="28">
        <f ca="1">apuestas_may24[[#This Row],[Apuesta Miniporra]]-$B$3</f>
        <v>-12.68</v>
      </c>
      <c r="G43" s="68">
        <f ca="1">ABS(apuestas_may24[[#This Row],[desvio]])/$B$3</f>
        <v>0.40330788804071244</v>
      </c>
      <c r="H43" s="4">
        <f ca="1">_xlfn.RANK.EQ(apuestas_may24[[#This Row],[desvio %]],apuestas_may24[desvio %],1)</f>
        <v>36</v>
      </c>
      <c r="J43" s="66" t="s">
        <v>565</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-12.68</v>
      </c>
      <c r="O43" s="13">
        <f ca="1">INDEX(apuestas_may24[desvio %],MATCH(resultados_may[[#This Row],[Apuesta MiniPorra]],apuestas_may24[Apuesta Miniporra],0))</f>
        <v>0.40330788804071244</v>
      </c>
      <c r="P43" s="35"/>
      <c r="Q43" s="49"/>
    </row>
    <row r="44" spans="1:18" x14ac:dyDescent="0.2">
      <c r="A44" t="s">
        <v>565</v>
      </c>
      <c r="B44" t="s">
        <v>653</v>
      </c>
      <c r="C44" s="28">
        <v>18.12</v>
      </c>
      <c r="D44" t="s">
        <v>620</v>
      </c>
      <c r="E44" t="s">
        <v>621</v>
      </c>
      <c r="F44" s="28">
        <f ca="1">apuestas_may24[[#This Row],[Apuesta Miniporra]]-$B$3</f>
        <v>-13.32</v>
      </c>
      <c r="G44" s="68">
        <f ca="1">ABS(apuestas_may24[[#This Row],[desvio]])/$B$3</f>
        <v>0.42366412213740456</v>
      </c>
      <c r="H44" s="4">
        <f ca="1">_xlfn.RANK.EQ(apuestas_may24[[#This Row],[desvio %]],apuestas_may24[desvio %],1)</f>
        <v>37</v>
      </c>
      <c r="J44" s="66" t="s">
        <v>565</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-13.32</v>
      </c>
      <c r="O44" s="13">
        <f ca="1">INDEX(apuestas_may24[desvio %],MATCH(resultados_may[[#This Row],[Apuesta MiniPorra]],apuestas_may24[Apuesta Miniporra],0))</f>
        <v>0.42366412213740456</v>
      </c>
      <c r="P44" s="35"/>
      <c r="Q44" s="49"/>
    </row>
    <row r="45" spans="1:18" x14ac:dyDescent="0.2">
      <c r="A45" t="s">
        <v>565</v>
      </c>
      <c r="B45" t="s">
        <v>218</v>
      </c>
      <c r="C45" s="28">
        <v>15.5</v>
      </c>
      <c r="D45" t="s">
        <v>573</v>
      </c>
      <c r="E45" t="s">
        <v>464</v>
      </c>
      <c r="F45" s="28">
        <f ca="1">apuestas_may24[[#This Row],[Apuesta Miniporra]]-$B$3</f>
        <v>-15.940000000000001</v>
      </c>
      <c r="G45" s="68">
        <f ca="1">ABS(apuestas_may24[[#This Row],[desvio]])/$B$3</f>
        <v>0.50699745547073793</v>
      </c>
      <c r="H45" s="4">
        <f ca="1">_xlfn.RANK.EQ(apuestas_may24[[#This Row],[desvio %]],apuestas_may24[desvio %],1)</f>
        <v>38</v>
      </c>
      <c r="J45" s="66" t="s">
        <v>565</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-15.940000000000001</v>
      </c>
      <c r="O45" s="13">
        <f ca="1">INDEX(apuestas_may24[desvio %],MATCH(resultados_may[[#This Row],[Apuesta MiniPorra]],apuestas_may24[Apuesta Miniporra],0))</f>
        <v>0.50699745547073793</v>
      </c>
      <c r="P45" s="35"/>
      <c r="Q45" s="49"/>
    </row>
    <row r="46" spans="1:18" x14ac:dyDescent="0.2">
      <c r="A46" t="s">
        <v>565</v>
      </c>
      <c r="B46" t="s">
        <v>656</v>
      </c>
      <c r="C46" s="28">
        <v>13.1</v>
      </c>
      <c r="D46" t="s">
        <v>637</v>
      </c>
      <c r="E46" t="s">
        <v>638</v>
      </c>
      <c r="F46" s="28">
        <f ca="1">apuestas_may24[[#This Row],[Apuesta Miniporra]]-$B$3</f>
        <v>-18.340000000000003</v>
      </c>
      <c r="G46" s="68">
        <f ca="1">ABS(apuestas_may24[[#This Row],[desvio]])/$B$3</f>
        <v>0.58333333333333337</v>
      </c>
      <c r="H46" s="4">
        <f ca="1">_xlfn.RANK.EQ(apuestas_may24[[#This Row],[desvio %]],apuestas_may24[desvio %],1)</f>
        <v>40</v>
      </c>
      <c r="J46" s="66" t="s">
        <v>565</v>
      </c>
      <c r="K46" s="4">
        <f ca="1">INDEX(apuestas_may24[orden],MATCH(resultados_may[Apuesta MiniPorra],apuestas_may24[Apuesta Miniporra],0))</f>
        <v>40</v>
      </c>
      <c r="L46" t="str">
        <f>apuestas_may24[[#This Row],[Nombre]]</f>
        <v>Carlos Martínez García</v>
      </c>
      <c r="M46" s="28">
        <f>apuestas_may24[[#This Row],[Apuesta Miniporra]]</f>
        <v>13.1</v>
      </c>
      <c r="N46" s="4">
        <f ca="1">INDEX(apuestas_may24[desvio],MATCH(resultados_may[[#This Row],[Apuesta MiniPorra]],apuestas_may24[Apuesta Miniporra],0))</f>
        <v>-18.340000000000003</v>
      </c>
      <c r="O46" s="13">
        <f ca="1">INDEX(apuestas_may24[desvio %],MATCH(resultados_may[[#This Row],[Apuesta MiniPorra]],apuestas_may24[Apuesta Miniporra],0))</f>
        <v>0.58333333333333337</v>
      </c>
      <c r="P46" s="35"/>
      <c r="Q46" s="49"/>
    </row>
    <row r="47" spans="1:18" x14ac:dyDescent="0.2">
      <c r="A47" t="s">
        <v>565</v>
      </c>
      <c r="B47" t="s">
        <v>225</v>
      </c>
      <c r="C47" s="28">
        <v>11.11</v>
      </c>
      <c r="D47" t="s">
        <v>644</v>
      </c>
      <c r="E47" t="s">
        <v>199</v>
      </c>
      <c r="F47" s="28">
        <f ca="1">apuestas_may24[[#This Row],[Apuesta Miniporra]]-$B$3</f>
        <v>-20.330000000000002</v>
      </c>
      <c r="G47" s="68">
        <f ca="1">ABS(apuestas_may24[[#This Row],[desvio]])/$B$3</f>
        <v>0.64662849872773542</v>
      </c>
      <c r="H47" s="4">
        <f ca="1">_xlfn.RANK.EQ(apuestas_may24[[#This Row],[desvio %]],apuestas_may24[desvio %],1)</f>
        <v>41</v>
      </c>
      <c r="J47" s="66" t="s">
        <v>565</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-20.330000000000002</v>
      </c>
      <c r="O47" s="13">
        <f ca="1">INDEX(apuestas_may24[desvio %],MATCH(resultados_may[[#This Row],[Apuesta MiniPorra]],apuestas_may24[Apuesta Miniporra],0))</f>
        <v>0.64662849872773542</v>
      </c>
      <c r="P47" s="35"/>
      <c r="Q47" s="49"/>
    </row>
    <row r="48" spans="1:18" x14ac:dyDescent="0.2">
      <c r="A48" t="s">
        <v>565</v>
      </c>
      <c r="B48" t="s">
        <v>401</v>
      </c>
      <c r="C48" s="28">
        <v>8.8800000000000008</v>
      </c>
      <c r="D48" t="s">
        <v>118</v>
      </c>
      <c r="E48" t="s">
        <v>623</v>
      </c>
      <c r="F48" s="28">
        <f ca="1">apuestas_may24[[#This Row],[Apuesta Miniporra]]-$B$3</f>
        <v>-22.560000000000002</v>
      </c>
      <c r="G48" s="68">
        <f ca="1">ABS(apuestas_may24[[#This Row],[desvio]])/$B$3</f>
        <v>0.71755725190839703</v>
      </c>
      <c r="H48" s="4">
        <f ca="1">_xlfn.RANK.EQ(apuestas_may24[[#This Row],[desvio %]],apuestas_may24[desvio %],1)</f>
        <v>42</v>
      </c>
      <c r="J48" s="66" t="s">
        <v>565</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-22.560000000000002</v>
      </c>
      <c r="O48" s="13">
        <f ca="1">INDEX(apuestas_may24[desvio %],MATCH(resultados_may[[#This Row],[Apuesta MiniPorra]],apuestas_may24[Apuesta Miniporra],0))</f>
        <v>0.71755725190839703</v>
      </c>
      <c r="P48" s="35"/>
      <c r="Q48" s="49"/>
    </row>
    <row r="49" spans="1:17" x14ac:dyDescent="0.2">
      <c r="A49" t="s">
        <v>565</v>
      </c>
      <c r="B49" t="s">
        <v>242</v>
      </c>
      <c r="C49" s="28">
        <v>7.5</v>
      </c>
      <c r="D49" t="s">
        <v>118</v>
      </c>
      <c r="E49" t="s">
        <v>242</v>
      </c>
      <c r="F49" s="28">
        <f ca="1">apuestas_may24[[#This Row],[Apuesta Miniporra]]-$B$3</f>
        <v>-23.94</v>
      </c>
      <c r="G49" s="68">
        <f ca="1">ABS(apuestas_may24[[#This Row],[desvio]])/$B$3</f>
        <v>0.76145038167938928</v>
      </c>
      <c r="H49" s="4">
        <f ca="1">_xlfn.RANK.EQ(apuestas_may24[[#This Row],[desvio %]],apuestas_may24[desvio %],1)</f>
        <v>43</v>
      </c>
      <c r="J49" s="66" t="s">
        <v>565</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-23.94</v>
      </c>
      <c r="O49" s="73">
        <f ca="1">INDEX(apuestas_may24[desvio %],MATCH(resultados_may[[#This Row],[Apuesta MiniPorra]],apuestas_may24[Apuesta Miniporra],0))</f>
        <v>0.76145038167938928</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12" priority="3">
      <formula>$K7=3</formula>
    </cfRule>
    <cfRule type="expression" dxfId="11" priority="4">
      <formula>$K7=2</formula>
    </cfRule>
    <cfRule type="expression" dxfId="10" priority="5">
      <formula>$K7=1</formula>
    </cfRule>
  </conditionalFormatting>
  <conditionalFormatting sqref="C7:C49">
    <cfRule type="duplicateValues" dxfId="9"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S11" sqref="S11"/>
    </sheetView>
  </sheetViews>
  <sheetFormatPr baseColWidth="10" defaultRowHeight="12" x14ac:dyDescent="0.2"/>
  <cols>
    <col min="1" max="1" width="4.7109375" style="4" bestFit="1" customWidth="1"/>
    <col min="2" max="2" width="8.5703125" style="4" bestFit="1" customWidth="1"/>
    <col min="3" max="3" width="7" style="4" bestFit="1" customWidth="1"/>
    <col min="4" max="4" width="8" style="4" bestFit="1" customWidth="1"/>
    <col min="5" max="5" width="6"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14" t="s">
        <v>254</v>
      </c>
      <c r="B1" s="114"/>
      <c r="C1" s="114"/>
      <c r="D1" s="114"/>
      <c r="E1" s="114"/>
    </row>
    <row r="2" spans="1:31" x14ac:dyDescent="0.2">
      <c r="O2" s="63" t="s">
        <v>671</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18.55</v>
      </c>
      <c r="D4" s="4">
        <v>61.17</v>
      </c>
      <c r="E4" s="4">
        <v>50.02</v>
      </c>
      <c r="G4" s="4">
        <v>1</v>
      </c>
      <c r="H4" s="4">
        <v>29.519999999999992</v>
      </c>
      <c r="I4" s="4">
        <v>31.39</v>
      </c>
      <c r="K4" s="4">
        <v>1</v>
      </c>
      <c r="L4" s="4">
        <v>70.640000000000029</v>
      </c>
      <c r="M4" s="4">
        <v>70.75</v>
      </c>
      <c r="O4" s="4">
        <v>1</v>
      </c>
      <c r="P4" s="4">
        <v>31.443999999999999</v>
      </c>
      <c r="Q4" s="4">
        <v>12.530833333333332</v>
      </c>
      <c r="R4" s="4">
        <v>0.41666666666666674</v>
      </c>
      <c r="S4" s="4">
        <v>0.33500000000000002</v>
      </c>
      <c r="T4" s="4">
        <v>0</v>
      </c>
      <c r="U4" s="4">
        <v>6.0000000000000001E-3</v>
      </c>
      <c r="V4" s="4">
        <v>0.45833333333333326</v>
      </c>
      <c r="W4" s="4">
        <v>0.42599999999999999</v>
      </c>
      <c r="X4" s="4">
        <v>521</v>
      </c>
      <c r="Y4" s="4">
        <v>6.2170000000000005</v>
      </c>
      <c r="Z4" s="4">
        <v>15.57</v>
      </c>
      <c r="AA4" s="4">
        <v>0</v>
      </c>
      <c r="AB4" s="4">
        <v>15.958</v>
      </c>
      <c r="AC4" s="4">
        <v>15.414545454545454</v>
      </c>
      <c r="AD4" s="4">
        <v>37.093000000000004</v>
      </c>
      <c r="AE4" s="4">
        <f>IF(ISBLANK(t_omie_evol[[#This Row],[Omie media diaria]]),$X$39,t_omie_evol[[#This Row],[demanda GWh]])</f>
        <v>521</v>
      </c>
    </row>
    <row r="5" spans="1:31" x14ac:dyDescent="0.2">
      <c r="A5" s="4">
        <v>2</v>
      </c>
      <c r="B5" s="4">
        <v>36.83</v>
      </c>
      <c r="D5" s="4">
        <v>41.23</v>
      </c>
      <c r="E5" s="4">
        <v>45.84</v>
      </c>
      <c r="G5" s="4">
        <v>2</v>
      </c>
      <c r="H5" s="4">
        <v>29.12</v>
      </c>
      <c r="I5" s="4">
        <v>31.39</v>
      </c>
      <c r="K5" s="4">
        <v>2</v>
      </c>
      <c r="L5" s="4">
        <v>66.079999999999984</v>
      </c>
      <c r="M5" s="4">
        <v>70.75</v>
      </c>
      <c r="O5" s="4">
        <v>2</v>
      </c>
      <c r="P5" s="4">
        <v>31.443999999999999</v>
      </c>
      <c r="Q5" s="4">
        <v>15.602499999999999</v>
      </c>
      <c r="R5" s="4">
        <v>0.45833333333333326</v>
      </c>
      <c r="S5" s="4">
        <v>0.33500000000000002</v>
      </c>
      <c r="T5" s="4">
        <v>0</v>
      </c>
      <c r="U5" s="4">
        <v>6.0000000000000001E-3</v>
      </c>
      <c r="V5" s="4">
        <v>0.25</v>
      </c>
      <c r="W5" s="4">
        <v>0.42499999999999999</v>
      </c>
      <c r="X5" s="4">
        <v>589</v>
      </c>
      <c r="Y5" s="4">
        <v>10.600909090909092</v>
      </c>
      <c r="Z5" s="4">
        <v>15.57</v>
      </c>
      <c r="AA5" s="4">
        <v>0</v>
      </c>
      <c r="AB5" s="4">
        <v>15.958</v>
      </c>
      <c r="AC5" s="4">
        <v>6.6666666666666652</v>
      </c>
      <c r="AD5" s="4">
        <v>37.093000000000004</v>
      </c>
      <c r="AE5" s="4">
        <f>IF(ISBLANK(t_omie_evol[[#This Row],[Omie media diaria]]),$X$39,t_omie_evol[[#This Row],[demanda GWh]])</f>
        <v>589</v>
      </c>
    </row>
    <row r="6" spans="1:31" x14ac:dyDescent="0.2">
      <c r="A6" s="4">
        <v>3</v>
      </c>
      <c r="B6" s="4">
        <v>31.43</v>
      </c>
      <c r="D6" s="4">
        <v>48.49</v>
      </c>
      <c r="E6" s="4">
        <v>41.67</v>
      </c>
      <c r="G6" s="4">
        <v>3</v>
      </c>
      <c r="H6" s="4">
        <v>30.559999999999985</v>
      </c>
      <c r="I6" s="4">
        <v>31.39</v>
      </c>
      <c r="K6" s="4">
        <v>3</v>
      </c>
      <c r="L6" s="4">
        <v>70.160000000000011</v>
      </c>
      <c r="M6" s="4">
        <v>70.75</v>
      </c>
      <c r="O6" s="4">
        <v>3</v>
      </c>
      <c r="P6" s="4">
        <v>31.443999999999999</v>
      </c>
      <c r="Q6" s="4">
        <v>26.110416666666666</v>
      </c>
      <c r="R6" s="4">
        <v>0.375</v>
      </c>
      <c r="S6" s="4">
        <v>0.33500000000000002</v>
      </c>
      <c r="T6" s="4">
        <v>0</v>
      </c>
      <c r="U6" s="4">
        <v>7.0000000000000001E-3</v>
      </c>
      <c r="V6" s="4">
        <v>0.20833333333333337</v>
      </c>
      <c r="W6" s="4">
        <v>0.432</v>
      </c>
      <c r="X6" s="4">
        <v>606</v>
      </c>
      <c r="Y6" s="4">
        <v>5.6466666666666674</v>
      </c>
      <c r="Z6" s="4">
        <v>15.57</v>
      </c>
      <c r="AA6" s="4">
        <v>0</v>
      </c>
      <c r="AB6" s="4">
        <v>15.958</v>
      </c>
      <c r="AC6" s="4">
        <v>43.491999999999997</v>
      </c>
      <c r="AD6" s="4">
        <v>37.093000000000004</v>
      </c>
      <c r="AE6" s="4">
        <f>IF(ISBLANK(t_omie_evol[[#This Row],[Omie media diaria]]),$X$39,t_omie_evol[[#This Row],[demanda GWh]])</f>
        <v>606</v>
      </c>
    </row>
    <row r="7" spans="1:31" x14ac:dyDescent="0.2">
      <c r="A7" s="4">
        <v>4</v>
      </c>
      <c r="B7" s="4">
        <v>23.54</v>
      </c>
      <c r="D7" s="4">
        <v>53.82</v>
      </c>
      <c r="E7" s="4">
        <v>40.74</v>
      </c>
      <c r="G7" s="4">
        <v>4</v>
      </c>
      <c r="H7" s="4">
        <v>30.63</v>
      </c>
      <c r="I7" s="4">
        <v>31.39</v>
      </c>
      <c r="K7" s="4">
        <v>4</v>
      </c>
      <c r="L7" s="4">
        <v>70.160000000000011</v>
      </c>
      <c r="M7" s="4">
        <v>70.75</v>
      </c>
      <c r="O7" s="4">
        <v>4</v>
      </c>
      <c r="P7" s="4">
        <v>31.443999999999999</v>
      </c>
      <c r="Q7" s="4">
        <v>14.795833333333333</v>
      </c>
      <c r="R7" s="4">
        <v>0.20833333333333337</v>
      </c>
      <c r="S7" s="4">
        <v>0.33500000000000002</v>
      </c>
      <c r="T7" s="4">
        <v>0</v>
      </c>
      <c r="U7" s="4">
        <v>7.0000000000000001E-3</v>
      </c>
      <c r="V7" s="4">
        <v>0.58333333333333337</v>
      </c>
      <c r="W7" s="4">
        <v>0.441</v>
      </c>
      <c r="X7" s="4">
        <v>547</v>
      </c>
      <c r="Y7" s="4">
        <v>7.5519999999999996</v>
      </c>
      <c r="Z7" s="4">
        <v>15.57</v>
      </c>
      <c r="AA7" s="4">
        <v>0</v>
      </c>
      <c r="AB7" s="4">
        <v>15.958</v>
      </c>
      <c r="AC7" s="4">
        <v>10.521428571428572</v>
      </c>
      <c r="AD7" s="4">
        <v>37.093000000000004</v>
      </c>
      <c r="AE7" s="4">
        <f>IF(ISBLANK(t_omie_evol[[#This Row],[Omie media diaria]]),$X$39,t_omie_evol[[#This Row],[demanda GWh]])</f>
        <v>547</v>
      </c>
    </row>
    <row r="8" spans="1:31" x14ac:dyDescent="0.2">
      <c r="A8" s="4">
        <v>5</v>
      </c>
      <c r="B8" s="4">
        <v>13.67</v>
      </c>
      <c r="D8" s="4">
        <v>48.47</v>
      </c>
      <c r="E8" s="4">
        <v>40</v>
      </c>
      <c r="G8" s="4">
        <v>5</v>
      </c>
      <c r="H8" s="4">
        <v>29.759999999999994</v>
      </c>
      <c r="I8" s="4">
        <v>31.39</v>
      </c>
      <c r="K8" s="4">
        <v>5</v>
      </c>
      <c r="L8" s="4">
        <v>70.160000000000011</v>
      </c>
      <c r="M8" s="4">
        <v>70.75</v>
      </c>
      <c r="O8" s="4">
        <v>5</v>
      </c>
      <c r="P8" s="4">
        <v>31.443999999999999</v>
      </c>
      <c r="Q8" s="4">
        <v>17.529166666666665</v>
      </c>
      <c r="R8" s="4">
        <v>0.375</v>
      </c>
      <c r="S8" s="4">
        <v>0.33500000000000002</v>
      </c>
      <c r="T8" s="4">
        <v>0</v>
      </c>
      <c r="U8" s="4">
        <v>7.0000000000000001E-3</v>
      </c>
      <c r="V8" s="4">
        <v>0.45833333333333326</v>
      </c>
      <c r="W8" s="4">
        <v>0.435</v>
      </c>
      <c r="X8" s="4">
        <v>516</v>
      </c>
      <c r="Y8" s="4">
        <v>10.947777777777777</v>
      </c>
      <c r="Z8" s="4">
        <v>15.57</v>
      </c>
      <c r="AA8" s="4">
        <v>0</v>
      </c>
      <c r="AB8" s="4">
        <v>15.958</v>
      </c>
      <c r="AC8" s="4">
        <v>20.63</v>
      </c>
      <c r="AD8" s="4">
        <v>37.093000000000004</v>
      </c>
      <c r="AE8" s="4">
        <f>IF(ISBLANK(t_omie_evol[[#This Row],[Omie media diaria]]),$X$39,t_omie_evol[[#This Row],[demanda GWh]])</f>
        <v>516</v>
      </c>
    </row>
    <row r="9" spans="1:31" x14ac:dyDescent="0.2">
      <c r="A9" s="4">
        <v>6</v>
      </c>
      <c r="B9" s="4">
        <v>29.72</v>
      </c>
      <c r="D9" s="4">
        <v>44.3</v>
      </c>
      <c r="E9" s="4">
        <v>41.64</v>
      </c>
      <c r="G9" s="4">
        <v>6</v>
      </c>
      <c r="H9" s="4">
        <v>30.409999999999997</v>
      </c>
      <c r="I9" s="4">
        <v>31.39</v>
      </c>
      <c r="K9" s="4">
        <v>6</v>
      </c>
      <c r="L9" s="4">
        <v>71.619999999999962</v>
      </c>
      <c r="M9" s="4">
        <v>70.75</v>
      </c>
      <c r="O9" s="4">
        <v>6</v>
      </c>
      <c r="P9" s="4">
        <v>31.443999999999999</v>
      </c>
      <c r="Q9" s="4">
        <v>47.805</v>
      </c>
      <c r="R9" s="4">
        <v>0.29166666666666669</v>
      </c>
      <c r="S9" s="4">
        <v>0.33500000000000002</v>
      </c>
      <c r="T9" s="4">
        <v>0</v>
      </c>
      <c r="U9" s="4">
        <v>8.0000000000000002E-3</v>
      </c>
      <c r="V9" s="4">
        <v>0.5</v>
      </c>
      <c r="W9" s="4">
        <v>0.434</v>
      </c>
      <c r="X9" s="4">
        <v>605</v>
      </c>
      <c r="Y9" s="4">
        <v>25.802857142857142</v>
      </c>
      <c r="Z9" s="4">
        <v>15.57</v>
      </c>
      <c r="AA9" s="4">
        <v>0</v>
      </c>
      <c r="AB9" s="4">
        <v>15.958</v>
      </c>
      <c r="AC9" s="4">
        <v>60.230833333333329</v>
      </c>
      <c r="AD9" s="4">
        <v>37.093000000000004</v>
      </c>
      <c r="AE9" s="4">
        <f>IF(ISBLANK(t_omie_evol[[#This Row],[Omie media diaria]]),$X$39,t_omie_evol[[#This Row],[demanda GWh]])</f>
        <v>605</v>
      </c>
    </row>
    <row r="10" spans="1:31" x14ac:dyDescent="0.2">
      <c r="A10" s="4">
        <v>7</v>
      </c>
      <c r="B10" s="4">
        <v>47.56</v>
      </c>
      <c r="D10" s="4">
        <v>46.06</v>
      </c>
      <c r="E10" s="4">
        <v>45.25</v>
      </c>
      <c r="G10" s="4">
        <v>7</v>
      </c>
      <c r="H10" s="4">
        <v>32.149999999999984</v>
      </c>
      <c r="I10" s="4">
        <v>31.39</v>
      </c>
      <c r="K10" s="4">
        <v>7</v>
      </c>
      <c r="L10" s="4">
        <v>68.970000000000013</v>
      </c>
      <c r="M10" s="4">
        <v>70.75</v>
      </c>
      <c r="O10" s="4">
        <v>7</v>
      </c>
      <c r="P10" s="4">
        <v>31.443999999999999</v>
      </c>
      <c r="Q10" s="4">
        <v>42.041250000000005</v>
      </c>
      <c r="R10" s="4">
        <v>8.3333333333333329E-2</v>
      </c>
      <c r="S10" s="4">
        <v>0.33500000000000002</v>
      </c>
      <c r="T10" s="4">
        <v>0</v>
      </c>
      <c r="U10" s="4">
        <v>8.0000000000000002E-3</v>
      </c>
      <c r="V10" s="4">
        <v>0.625</v>
      </c>
      <c r="W10" s="4">
        <v>0.43099999999999999</v>
      </c>
      <c r="X10" s="4">
        <v>608</v>
      </c>
      <c r="Y10" s="4">
        <v>6.8</v>
      </c>
      <c r="Z10" s="4">
        <v>15.57</v>
      </c>
      <c r="AA10" s="4">
        <v>0</v>
      </c>
      <c r="AB10" s="4">
        <v>15.958</v>
      </c>
      <c r="AC10" s="4">
        <v>43.076000000000008</v>
      </c>
      <c r="AD10" s="4">
        <v>37.093000000000004</v>
      </c>
      <c r="AE10" s="4">
        <f>IF(ISBLANK(t_omie_evol[[#This Row],[Omie media diaria]]),$X$39,t_omie_evol[[#This Row],[demanda GWh]])</f>
        <v>608</v>
      </c>
    </row>
    <row r="11" spans="1:31" x14ac:dyDescent="0.2">
      <c r="A11" s="4">
        <v>8</v>
      </c>
      <c r="B11" s="4">
        <v>58.19</v>
      </c>
      <c r="C11" s="4">
        <v>102.66</v>
      </c>
      <c r="D11" s="4">
        <v>55.06</v>
      </c>
      <c r="E11" s="4">
        <v>52.92</v>
      </c>
      <c r="G11" s="4">
        <v>8</v>
      </c>
      <c r="H11" s="4">
        <v>30.720000000000017</v>
      </c>
      <c r="I11" s="4">
        <v>31.39</v>
      </c>
      <c r="K11" s="4">
        <v>8</v>
      </c>
      <c r="L11" s="4">
        <v>69.970000000000013</v>
      </c>
      <c r="M11" s="4">
        <v>70.75</v>
      </c>
      <c r="O11" s="4">
        <v>8</v>
      </c>
      <c r="P11" s="4">
        <v>31.443999999999999</v>
      </c>
      <c r="Q11" s="4">
        <v>21.245000000000001</v>
      </c>
      <c r="R11" s="4">
        <v>0.70833333333333337</v>
      </c>
      <c r="S11" s="4">
        <v>0.33500000000000002</v>
      </c>
      <c r="T11" s="4">
        <v>0</v>
      </c>
      <c r="U11" s="4">
        <v>8.0000000000000002E-3</v>
      </c>
      <c r="V11" s="4">
        <v>0.25</v>
      </c>
      <c r="W11" s="4">
        <v>0.42099999999999999</v>
      </c>
      <c r="X11" s="4">
        <v>618</v>
      </c>
      <c r="Y11" s="4">
        <v>13.202941176470588</v>
      </c>
      <c r="Z11" s="4">
        <v>15.57</v>
      </c>
      <c r="AA11" s="4">
        <v>0</v>
      </c>
      <c r="AB11" s="4">
        <v>15.958</v>
      </c>
      <c r="AC11" s="4">
        <v>41.736666666666672</v>
      </c>
      <c r="AD11" s="4">
        <v>37.093000000000004</v>
      </c>
      <c r="AE11" s="4">
        <f>IF(ISBLANK(t_omie_evol[[#This Row],[Omie media diaria]]),$X$39,t_omie_evol[[#This Row],[demanda GWh]])</f>
        <v>618</v>
      </c>
    </row>
    <row r="12" spans="1:31" x14ac:dyDescent="0.2">
      <c r="A12" s="4">
        <v>9</v>
      </c>
      <c r="B12" s="4">
        <v>19.079999999999998</v>
      </c>
      <c r="D12" s="4">
        <v>54.97</v>
      </c>
      <c r="E12" s="4">
        <v>42.21</v>
      </c>
      <c r="G12" s="4">
        <v>9</v>
      </c>
      <c r="H12" s="4">
        <v>30.25</v>
      </c>
      <c r="I12" s="4">
        <v>31.39</v>
      </c>
      <c r="K12" s="4">
        <v>9</v>
      </c>
      <c r="L12" s="4">
        <v>71.700000000000031</v>
      </c>
      <c r="M12" s="4">
        <v>70.75</v>
      </c>
      <c r="O12" s="4">
        <v>9</v>
      </c>
      <c r="P12" s="4">
        <v>31.443999999999999</v>
      </c>
      <c r="Q12" s="4">
        <v>33.53875</v>
      </c>
      <c r="R12" s="4">
        <v>0.375</v>
      </c>
      <c r="S12" s="4">
        <v>0.33500000000000002</v>
      </c>
      <c r="T12" s="4">
        <v>4.1666666666666664E-2</v>
      </c>
      <c r="U12" s="4">
        <v>8.9999999999999993E-3</v>
      </c>
      <c r="V12" s="4">
        <v>0.25</v>
      </c>
      <c r="W12" s="4">
        <v>0.43</v>
      </c>
      <c r="X12" s="4">
        <v>618</v>
      </c>
      <c r="Y12" s="4">
        <v>7.0866666666666669</v>
      </c>
      <c r="Z12" s="4">
        <v>15.57</v>
      </c>
      <c r="AA12" s="4">
        <v>104.62</v>
      </c>
      <c r="AB12" s="4">
        <v>15.958</v>
      </c>
      <c r="AC12" s="4">
        <v>53.784999999999997</v>
      </c>
      <c r="AD12" s="4">
        <v>37.093000000000004</v>
      </c>
      <c r="AE12" s="4">
        <f>IF(ISBLANK(t_omie_evol[[#This Row],[Omie media diaria]]),$X$39,t_omie_evol[[#This Row],[demanda GWh]])</f>
        <v>618</v>
      </c>
    </row>
    <row r="13" spans="1:31" x14ac:dyDescent="0.2">
      <c r="A13" s="4">
        <v>10</v>
      </c>
      <c r="B13" s="4">
        <v>16.79</v>
      </c>
      <c r="D13" s="4">
        <v>32.090000000000003</v>
      </c>
      <c r="E13" s="4">
        <v>25.83</v>
      </c>
      <c r="G13" s="4">
        <v>10</v>
      </c>
      <c r="H13" s="4">
        <v>30.769999999999992</v>
      </c>
      <c r="I13" s="4">
        <v>31.39</v>
      </c>
      <c r="K13" s="4">
        <v>10</v>
      </c>
      <c r="L13" s="4">
        <v>70.089999999999989</v>
      </c>
      <c r="M13" s="4">
        <v>70.75</v>
      </c>
      <c r="O13" s="4">
        <v>10</v>
      </c>
      <c r="P13" s="4">
        <v>31.443999999999999</v>
      </c>
      <c r="Q13" s="4">
        <v>28.947916666666668</v>
      </c>
      <c r="R13" s="4">
        <v>0.41666666666666674</v>
      </c>
      <c r="S13" s="4">
        <v>0.33500000000000002</v>
      </c>
      <c r="T13" s="4">
        <v>0</v>
      </c>
      <c r="U13" s="4">
        <v>7.0000000000000001E-3</v>
      </c>
      <c r="V13" s="4">
        <v>0.41666666666666674</v>
      </c>
      <c r="W13" s="4">
        <v>0.44</v>
      </c>
      <c r="X13" s="4">
        <v>606</v>
      </c>
      <c r="Y13" s="4">
        <v>7.5410000000000004</v>
      </c>
      <c r="Z13" s="4">
        <v>15.57</v>
      </c>
      <c r="AA13" s="4">
        <v>0</v>
      </c>
      <c r="AB13" s="4">
        <v>15.958</v>
      </c>
      <c r="AC13" s="4">
        <v>45.185000000000002</v>
      </c>
      <c r="AD13" s="4">
        <v>37.093000000000004</v>
      </c>
      <c r="AE13" s="4">
        <f>IF(ISBLANK(t_omie_evol[[#This Row],[Omie media diaria]]),$X$39,t_omie_evol[[#This Row],[demanda GWh]])</f>
        <v>606</v>
      </c>
    </row>
    <row r="14" spans="1:31" x14ac:dyDescent="0.2">
      <c r="A14" s="4">
        <v>11</v>
      </c>
      <c r="B14" s="4">
        <v>14.76</v>
      </c>
      <c r="D14" s="4">
        <v>8.74</v>
      </c>
      <c r="E14" s="4">
        <v>15.08</v>
      </c>
      <c r="G14" s="4">
        <v>11</v>
      </c>
      <c r="H14" s="4">
        <v>30.13</v>
      </c>
      <c r="I14" s="4">
        <v>31.39</v>
      </c>
      <c r="K14" s="4">
        <v>11</v>
      </c>
      <c r="L14" s="4">
        <v>70.089999999999989</v>
      </c>
      <c r="M14" s="4">
        <v>70.75</v>
      </c>
      <c r="O14" s="4">
        <v>11</v>
      </c>
      <c r="P14" s="4">
        <v>31.443999999999999</v>
      </c>
      <c r="Q14" s="4">
        <v>20.59</v>
      </c>
      <c r="R14" s="4">
        <v>0.25</v>
      </c>
      <c r="S14" s="4">
        <v>0.33500000000000002</v>
      </c>
      <c r="T14" s="4">
        <v>0</v>
      </c>
      <c r="U14" s="4">
        <v>7.0000000000000001E-3</v>
      </c>
      <c r="V14" s="4">
        <v>0.16666666666666666</v>
      </c>
      <c r="W14" s="4">
        <v>0.441</v>
      </c>
      <c r="X14" s="4">
        <v>538</v>
      </c>
      <c r="Y14" s="4">
        <v>10.681666666666668</v>
      </c>
      <c r="Z14" s="4">
        <v>15.57</v>
      </c>
      <c r="AA14" s="4">
        <v>0</v>
      </c>
      <c r="AB14" s="4">
        <v>15.958</v>
      </c>
      <c r="AC14" s="4">
        <v>7.0149999999999997</v>
      </c>
      <c r="AD14" s="4">
        <v>37.093000000000004</v>
      </c>
      <c r="AE14" s="4">
        <f>IF(ISBLANK(t_omie_evol[[#This Row],[Omie media diaria]]),$X$39,t_omie_evol[[#This Row],[demanda GWh]])</f>
        <v>538</v>
      </c>
    </row>
    <row r="15" spans="1:31" x14ac:dyDescent="0.2">
      <c r="A15" s="4">
        <v>12</v>
      </c>
      <c r="B15" s="4">
        <v>10.56</v>
      </c>
      <c r="D15" s="4">
        <v>8.0299999999999994</v>
      </c>
      <c r="E15" s="4">
        <v>10.119999999999999</v>
      </c>
      <c r="G15" s="4">
        <v>12</v>
      </c>
      <c r="H15" s="4">
        <v>29.350000000000012</v>
      </c>
      <c r="I15" s="4">
        <v>31.39</v>
      </c>
      <c r="K15" s="4">
        <v>12</v>
      </c>
      <c r="L15" s="4">
        <v>70.089999999999989</v>
      </c>
      <c r="M15" s="4">
        <v>70.75</v>
      </c>
      <c r="O15" s="4">
        <v>12</v>
      </c>
      <c r="P15" s="4">
        <v>31.443999999999999</v>
      </c>
      <c r="Q15" s="4">
        <v>21.530416666666667</v>
      </c>
      <c r="R15" s="4">
        <v>0.29166666666666669</v>
      </c>
      <c r="S15" s="4">
        <v>0.33500000000000002</v>
      </c>
      <c r="T15" s="4">
        <v>0</v>
      </c>
      <c r="U15" s="4">
        <v>8.0000000000000002E-3</v>
      </c>
      <c r="V15" s="4">
        <v>0.29166666666666669</v>
      </c>
      <c r="W15" s="4">
        <v>0.45800000000000002</v>
      </c>
      <c r="X15" s="4">
        <v>500</v>
      </c>
      <c r="Y15" s="4">
        <v>10.78</v>
      </c>
      <c r="Z15" s="4">
        <v>15.57</v>
      </c>
      <c r="AA15" s="4">
        <v>0</v>
      </c>
      <c r="AB15" s="4">
        <v>15.958</v>
      </c>
      <c r="AC15" s="4">
        <v>11.721428571428572</v>
      </c>
      <c r="AD15" s="4">
        <v>37.093000000000004</v>
      </c>
      <c r="AE15" s="4">
        <f>IF(ISBLANK(t_omie_evol[[#This Row],[Omie media diaria]]),$X$39,t_omie_evol[[#This Row],[demanda GWh]])</f>
        <v>500</v>
      </c>
    </row>
    <row r="16" spans="1:31" x14ac:dyDescent="0.2">
      <c r="A16" s="4">
        <v>13</v>
      </c>
      <c r="B16" s="4">
        <v>7.72</v>
      </c>
      <c r="D16" s="4">
        <v>6.27</v>
      </c>
      <c r="E16" s="4">
        <v>8.58</v>
      </c>
      <c r="G16" s="4">
        <v>13</v>
      </c>
      <c r="H16" s="4">
        <v>30</v>
      </c>
      <c r="I16" s="4">
        <v>31.39</v>
      </c>
      <c r="K16" s="4">
        <v>13</v>
      </c>
      <c r="L16" s="4">
        <v>68.380000000000038</v>
      </c>
      <c r="M16" s="4">
        <v>70.75</v>
      </c>
      <c r="O16" s="4">
        <v>13</v>
      </c>
      <c r="P16" s="4">
        <v>31.443999999999999</v>
      </c>
      <c r="Q16" s="4">
        <v>23.336666666666662</v>
      </c>
      <c r="R16" s="4">
        <v>0.25</v>
      </c>
      <c r="S16" s="4">
        <v>0.33500000000000002</v>
      </c>
      <c r="T16" s="4">
        <v>0</v>
      </c>
      <c r="U16" s="4">
        <v>8.0000000000000002E-3</v>
      </c>
      <c r="V16" s="4">
        <v>0.5</v>
      </c>
      <c r="W16" s="4">
        <v>0.46899999999999997</v>
      </c>
      <c r="X16" s="4">
        <v>605</v>
      </c>
      <c r="Y16" s="4">
        <v>5.4849999999999994</v>
      </c>
      <c r="Z16" s="4">
        <v>15.57</v>
      </c>
      <c r="AA16" s="4">
        <v>0</v>
      </c>
      <c r="AB16" s="4">
        <v>15.958</v>
      </c>
      <c r="AC16" s="4">
        <v>28.451666666666664</v>
      </c>
      <c r="AD16" s="4">
        <v>37.093000000000004</v>
      </c>
      <c r="AE16" s="4">
        <f>IF(ISBLANK(t_omie_evol[[#This Row],[Omie media diaria]]),$X$39,t_omie_evol[[#This Row],[demanda GWh]])</f>
        <v>605</v>
      </c>
    </row>
    <row r="17" spans="1:31" x14ac:dyDescent="0.2">
      <c r="A17" s="4">
        <v>14</v>
      </c>
      <c r="B17" s="4">
        <v>9.57</v>
      </c>
      <c r="D17" s="4">
        <v>0.33</v>
      </c>
      <c r="E17" s="4">
        <v>6.33</v>
      </c>
      <c r="G17" s="4">
        <v>14</v>
      </c>
      <c r="H17" s="4">
        <v>29.230000000000008</v>
      </c>
      <c r="I17" s="4">
        <v>31.39</v>
      </c>
      <c r="K17" s="4">
        <v>14</v>
      </c>
      <c r="L17" s="4">
        <v>68.609999999999971</v>
      </c>
      <c r="M17" s="4">
        <v>70.75</v>
      </c>
      <c r="O17" s="4">
        <v>14</v>
      </c>
      <c r="P17" s="4">
        <v>31.443999999999999</v>
      </c>
      <c r="Q17" s="4">
        <v>8.1408333333333314</v>
      </c>
      <c r="R17" s="4">
        <v>0.41666666666666674</v>
      </c>
      <c r="S17" s="4">
        <v>0.33500000000000002</v>
      </c>
      <c r="T17" s="4">
        <v>0</v>
      </c>
      <c r="U17" s="4">
        <v>8.9999999999999993E-3</v>
      </c>
      <c r="V17" s="4">
        <v>0.41666666666666674</v>
      </c>
      <c r="W17" s="4">
        <v>0.46700000000000003</v>
      </c>
      <c r="X17" s="4">
        <v>622</v>
      </c>
      <c r="Y17" s="4">
        <v>5.3359999999999994</v>
      </c>
      <c r="Z17" s="4">
        <v>15.57</v>
      </c>
      <c r="AA17" s="4">
        <v>0</v>
      </c>
      <c r="AB17" s="4">
        <v>15.958</v>
      </c>
      <c r="AC17" s="4">
        <v>7.2020000000000008</v>
      </c>
      <c r="AD17" s="4">
        <v>37.093000000000004</v>
      </c>
      <c r="AE17" s="4">
        <f>IF(ISBLANK(t_omie_evol[[#This Row],[Omie media diaria]]),$X$39,t_omie_evol[[#This Row],[demanda GWh]])</f>
        <v>622</v>
      </c>
    </row>
    <row r="18" spans="1:31" x14ac:dyDescent="0.2">
      <c r="A18" s="4">
        <v>15</v>
      </c>
      <c r="B18" s="4">
        <v>7.31</v>
      </c>
      <c r="D18" s="4">
        <v>2.5299999999999998</v>
      </c>
      <c r="E18" s="4">
        <v>5.18</v>
      </c>
      <c r="G18" s="4">
        <v>15</v>
      </c>
      <c r="H18" s="4">
        <v>29.809999999999985</v>
      </c>
      <c r="I18" s="4">
        <v>31.39</v>
      </c>
      <c r="K18" s="4">
        <v>15</v>
      </c>
      <c r="L18" s="4">
        <v>67.539999999999978</v>
      </c>
      <c r="M18" s="4">
        <v>70.75</v>
      </c>
      <c r="O18" s="4">
        <v>15</v>
      </c>
      <c r="P18" s="4">
        <v>31.443999999999999</v>
      </c>
      <c r="Q18" s="4">
        <v>14.212083333333331</v>
      </c>
      <c r="R18" s="4">
        <v>0.29166666666666669</v>
      </c>
      <c r="S18" s="4">
        <v>0.33500000000000002</v>
      </c>
      <c r="T18" s="4">
        <v>0</v>
      </c>
      <c r="U18" s="4">
        <v>0.01</v>
      </c>
      <c r="V18" s="4">
        <v>0.54166666666666663</v>
      </c>
      <c r="W18" s="4">
        <v>0.47099999999999997</v>
      </c>
      <c r="X18" s="4">
        <v>612</v>
      </c>
      <c r="Y18" s="4">
        <v>13.570000000000002</v>
      </c>
      <c r="Z18" s="4">
        <v>15.57</v>
      </c>
      <c r="AA18" s="4">
        <v>0</v>
      </c>
      <c r="AB18" s="4">
        <v>15.958</v>
      </c>
      <c r="AC18" s="4">
        <v>10.51923076923077</v>
      </c>
      <c r="AD18" s="4">
        <v>37.093000000000004</v>
      </c>
      <c r="AE18" s="4">
        <f>IF(ISBLANK(t_omie_evol[[#This Row],[Omie media diaria]]),$X$39,t_omie_evol[[#This Row],[demanda GWh]])</f>
        <v>612</v>
      </c>
    </row>
    <row r="19" spans="1:31" x14ac:dyDescent="0.2">
      <c r="A19" s="4">
        <v>16</v>
      </c>
      <c r="B19" s="4">
        <v>4.42</v>
      </c>
      <c r="D19" s="4">
        <v>-0.21</v>
      </c>
      <c r="E19" s="4">
        <v>4.0199999999999996</v>
      </c>
      <c r="G19" s="4">
        <v>16</v>
      </c>
      <c r="H19" s="4">
        <v>29.850000000000012</v>
      </c>
      <c r="I19" s="4">
        <v>31.39</v>
      </c>
      <c r="K19" s="4">
        <v>16</v>
      </c>
      <c r="L19" s="4">
        <v>68.589999999999989</v>
      </c>
      <c r="M19" s="4">
        <v>70.75</v>
      </c>
      <c r="O19" s="4">
        <v>16</v>
      </c>
      <c r="P19" s="4">
        <v>31.443999999999999</v>
      </c>
      <c r="Q19" s="4">
        <v>32.349999999999994</v>
      </c>
      <c r="R19" s="4">
        <v>0.33333333333333331</v>
      </c>
      <c r="S19" s="4">
        <v>0.33500000000000002</v>
      </c>
      <c r="T19" s="4">
        <v>4.1666666666666664E-2</v>
      </c>
      <c r="U19" s="4">
        <v>0.01</v>
      </c>
      <c r="V19" s="4">
        <v>0.33333333333333331</v>
      </c>
      <c r="W19" s="4">
        <v>0.46500000000000002</v>
      </c>
      <c r="X19" s="4">
        <v>619</v>
      </c>
      <c r="Y19" s="4">
        <v>7.1237500000000002</v>
      </c>
      <c r="Z19" s="4">
        <v>15.57</v>
      </c>
      <c r="AA19" s="4">
        <v>106.39</v>
      </c>
      <c r="AB19" s="4">
        <v>15.958</v>
      </c>
      <c r="AC19" s="4">
        <v>43.621250000000003</v>
      </c>
      <c r="AD19" s="4">
        <v>37.093000000000004</v>
      </c>
      <c r="AE19" s="4">
        <f>IF(ISBLANK(t_omie_evol[[#This Row],[Omie media diaria]]),$X$39,t_omie_evol[[#This Row],[demanda GWh]])</f>
        <v>619</v>
      </c>
    </row>
    <row r="20" spans="1:31" x14ac:dyDescent="0.2">
      <c r="A20" s="4">
        <v>17</v>
      </c>
      <c r="B20" s="4">
        <v>6.32</v>
      </c>
      <c r="D20" s="4">
        <v>-0.12</v>
      </c>
      <c r="E20" s="4">
        <v>3.94</v>
      </c>
      <c r="G20" s="4">
        <v>17</v>
      </c>
      <c r="H20" s="4">
        <v>30.809999999999985</v>
      </c>
      <c r="I20" s="4">
        <v>31.39</v>
      </c>
      <c r="K20" s="4">
        <v>17</v>
      </c>
      <c r="L20" s="4">
        <v>68.960000000000022</v>
      </c>
      <c r="M20" s="4">
        <v>70.75</v>
      </c>
      <c r="O20" s="4">
        <v>17</v>
      </c>
      <c r="P20" s="4">
        <v>31.443999999999999</v>
      </c>
      <c r="Q20" s="4">
        <v>53.421666666666653</v>
      </c>
      <c r="R20" s="4">
        <v>0.33333333333333331</v>
      </c>
      <c r="S20" s="4">
        <v>0.33500000000000002</v>
      </c>
      <c r="T20" s="4">
        <v>4.1666666666666664E-2</v>
      </c>
      <c r="U20" s="4">
        <v>8.0000000000000002E-3</v>
      </c>
      <c r="V20" s="4">
        <v>0.41666666666666674</v>
      </c>
      <c r="W20" s="4">
        <v>0.47699999999999998</v>
      </c>
      <c r="X20" s="4">
        <v>610</v>
      </c>
      <c r="Y20" s="4">
        <v>26.006250000000001</v>
      </c>
      <c r="Z20" s="4">
        <v>15.57</v>
      </c>
      <c r="AA20" s="4">
        <v>102.66</v>
      </c>
      <c r="AB20" s="4">
        <v>15.958</v>
      </c>
      <c r="AC20" s="4">
        <v>71.536000000000016</v>
      </c>
      <c r="AD20" s="4">
        <v>37.093000000000004</v>
      </c>
      <c r="AE20" s="4">
        <f>IF(ISBLANK(t_omie_evol[[#This Row],[Omie media diaria]]),$X$39,t_omie_evol[[#This Row],[demanda GWh]])</f>
        <v>610</v>
      </c>
    </row>
    <row r="21" spans="1:31" x14ac:dyDescent="0.2">
      <c r="A21" s="4">
        <v>18</v>
      </c>
      <c r="B21" s="4">
        <v>8.89</v>
      </c>
      <c r="D21" s="4">
        <v>0.45</v>
      </c>
      <c r="E21" s="4">
        <v>6.42</v>
      </c>
      <c r="G21" s="4">
        <v>18</v>
      </c>
      <c r="H21" s="4">
        <v>30.980000000000008</v>
      </c>
      <c r="I21" s="4">
        <v>31.39</v>
      </c>
      <c r="K21" s="4">
        <v>18</v>
      </c>
      <c r="L21" s="4">
        <v>68.960000000000022</v>
      </c>
      <c r="M21" s="4">
        <v>70.75</v>
      </c>
      <c r="O21" s="4">
        <v>18</v>
      </c>
      <c r="P21" s="4">
        <v>31.443999999999999</v>
      </c>
      <c r="Q21" s="4">
        <v>32.989583333333336</v>
      </c>
      <c r="R21" s="4">
        <v>0.20833333333333337</v>
      </c>
      <c r="S21" s="4">
        <v>0.33500000000000002</v>
      </c>
      <c r="T21" s="4">
        <v>0</v>
      </c>
      <c r="U21" s="4">
        <v>4.0000000000000001E-3</v>
      </c>
      <c r="V21" s="4">
        <v>0.54166666666666663</v>
      </c>
      <c r="W21" s="4">
        <v>0.48299999999999998</v>
      </c>
      <c r="X21" s="4">
        <v>543</v>
      </c>
      <c r="Y21" s="4">
        <v>22.431999999999999</v>
      </c>
      <c r="Z21" s="4">
        <v>15.57</v>
      </c>
      <c r="AA21" s="4">
        <v>0</v>
      </c>
      <c r="AB21" s="4">
        <v>15.958</v>
      </c>
      <c r="AC21" s="4">
        <v>35.632307692307691</v>
      </c>
      <c r="AD21" s="4">
        <v>37.093000000000004</v>
      </c>
      <c r="AE21" s="4">
        <f>IF(ISBLANK(t_omie_evol[[#This Row],[Omie media diaria]]),$X$39,t_omie_evol[[#This Row],[demanda GWh]])</f>
        <v>543</v>
      </c>
    </row>
    <row r="22" spans="1:31" x14ac:dyDescent="0.2">
      <c r="A22" s="4">
        <v>19</v>
      </c>
      <c r="B22" s="4">
        <v>13.18</v>
      </c>
      <c r="D22" s="4">
        <v>10.92</v>
      </c>
      <c r="E22" s="4">
        <v>12.43</v>
      </c>
      <c r="G22" s="4">
        <v>19</v>
      </c>
      <c r="H22" s="4">
        <v>31.649999999999988</v>
      </c>
      <c r="I22" s="4">
        <v>31.39</v>
      </c>
      <c r="K22" s="4">
        <v>19</v>
      </c>
      <c r="L22" s="4">
        <v>68.960000000000022</v>
      </c>
      <c r="M22" s="4">
        <v>70.75</v>
      </c>
      <c r="O22" s="4">
        <v>19</v>
      </c>
      <c r="P22" s="4">
        <v>31.443999999999999</v>
      </c>
      <c r="Q22" s="4">
        <v>26.602083333333329</v>
      </c>
      <c r="R22" s="4">
        <v>0.20833333333333337</v>
      </c>
      <c r="S22" s="4">
        <v>0.33500000000000002</v>
      </c>
      <c r="T22" s="4">
        <v>0</v>
      </c>
      <c r="U22" s="4">
        <v>5.0000000000000001E-3</v>
      </c>
      <c r="V22" s="4">
        <v>0.5</v>
      </c>
      <c r="W22" s="4">
        <v>0.47699999999999998</v>
      </c>
      <c r="X22" s="4">
        <v>505</v>
      </c>
      <c r="Y22" s="4">
        <v>6.25</v>
      </c>
      <c r="Z22" s="4">
        <v>15.57</v>
      </c>
      <c r="AA22" s="4">
        <v>0</v>
      </c>
      <c r="AB22" s="4">
        <v>15.958</v>
      </c>
      <c r="AC22" s="4">
        <v>24.300833333333333</v>
      </c>
      <c r="AD22" s="4">
        <v>37.093000000000004</v>
      </c>
      <c r="AE22" s="4">
        <f>IF(ISBLANK(t_omie_evol[[#This Row],[Omie media diaria]]),$X$39,t_omie_evol[[#This Row],[demanda GWh]])</f>
        <v>505</v>
      </c>
    </row>
    <row r="23" spans="1:31" x14ac:dyDescent="0.2">
      <c r="A23" s="4">
        <v>20</v>
      </c>
      <c r="B23" s="4">
        <v>11.03</v>
      </c>
      <c r="D23" s="4">
        <v>39.369999999999997</v>
      </c>
      <c r="E23" s="4">
        <v>27.13</v>
      </c>
      <c r="G23" s="4">
        <v>20</v>
      </c>
      <c r="H23" s="4">
        <v>31.61000000000001</v>
      </c>
      <c r="I23" s="4">
        <v>31.39</v>
      </c>
      <c r="K23" s="4">
        <v>20</v>
      </c>
      <c r="L23" s="4">
        <v>72.40000000000002</v>
      </c>
      <c r="M23" s="4">
        <v>70.75</v>
      </c>
      <c r="O23" s="4">
        <v>20</v>
      </c>
      <c r="P23" s="4">
        <v>31.443999999999999</v>
      </c>
      <c r="Q23" s="4">
        <v>32.715416666666663</v>
      </c>
      <c r="R23" s="4">
        <v>0.41666666666666674</v>
      </c>
      <c r="S23" s="4">
        <v>0.33500000000000002</v>
      </c>
      <c r="T23" s="4">
        <v>0</v>
      </c>
      <c r="U23" s="4">
        <v>5.0000000000000001E-3</v>
      </c>
      <c r="V23" s="4">
        <v>0.45833333333333326</v>
      </c>
      <c r="W23" s="4">
        <v>0.47399999999999998</v>
      </c>
      <c r="X23" s="4">
        <v>593</v>
      </c>
      <c r="Y23" s="4">
        <v>8.4719999999999995</v>
      </c>
      <c r="Z23" s="4">
        <v>15.57</v>
      </c>
      <c r="AA23" s="4">
        <v>0</v>
      </c>
      <c r="AB23" s="4">
        <v>15.958</v>
      </c>
      <c r="AC23" s="4">
        <v>50.848181818181821</v>
      </c>
      <c r="AD23" s="4">
        <v>37.093000000000004</v>
      </c>
      <c r="AE23" s="4">
        <f>IF(ISBLANK(t_omie_evol[[#This Row],[Omie media diaria]]),$X$39,t_omie_evol[[#This Row],[demanda GWh]])</f>
        <v>593</v>
      </c>
    </row>
    <row r="24" spans="1:31" x14ac:dyDescent="0.2">
      <c r="A24" s="4">
        <v>21</v>
      </c>
      <c r="B24" s="4">
        <v>32.56</v>
      </c>
      <c r="D24" s="4">
        <v>49.96</v>
      </c>
      <c r="E24" s="4">
        <v>46.23</v>
      </c>
      <c r="G24" s="4">
        <v>21</v>
      </c>
      <c r="H24" s="4">
        <v>32.350000000000016</v>
      </c>
      <c r="I24" s="4">
        <v>31.39</v>
      </c>
      <c r="K24" s="4">
        <v>21</v>
      </c>
      <c r="L24" s="4">
        <v>74.400000000000034</v>
      </c>
      <c r="M24" s="4">
        <v>70.75</v>
      </c>
      <c r="O24" s="4">
        <v>21</v>
      </c>
      <c r="P24" s="4">
        <v>31.443999999999999</v>
      </c>
      <c r="Q24" s="4">
        <v>46.090833333333336</v>
      </c>
      <c r="R24" s="4">
        <v>0.54166666666666663</v>
      </c>
      <c r="S24" s="4">
        <v>0.33500000000000002</v>
      </c>
      <c r="T24" s="4">
        <v>0</v>
      </c>
      <c r="U24" s="4">
        <v>6.0000000000000001E-3</v>
      </c>
      <c r="V24" s="4">
        <v>0.33333333333333331</v>
      </c>
      <c r="W24" s="4">
        <v>0.47599999999999998</v>
      </c>
      <c r="X24" s="4">
        <v>610</v>
      </c>
      <c r="Y24" s="4">
        <v>30.12307692307693</v>
      </c>
      <c r="Z24" s="4">
        <v>15.57</v>
      </c>
      <c r="AA24" s="4">
        <v>0</v>
      </c>
      <c r="AB24" s="4">
        <v>15.958</v>
      </c>
      <c r="AC24" s="4">
        <v>63.742499999999993</v>
      </c>
      <c r="AD24" s="4">
        <v>37.093000000000004</v>
      </c>
      <c r="AE24" s="4">
        <f>IF(ISBLANK(t_omie_evol[[#This Row],[Omie media diaria]]),$X$39,t_omie_evol[[#This Row],[demanda GWh]])</f>
        <v>610</v>
      </c>
    </row>
    <row r="25" spans="1:31" x14ac:dyDescent="0.2">
      <c r="A25" s="4">
        <v>22</v>
      </c>
      <c r="B25" s="4">
        <v>54.74</v>
      </c>
      <c r="C25" s="4">
        <v>110.9</v>
      </c>
      <c r="D25" s="4">
        <v>72.17</v>
      </c>
      <c r="E25" s="4">
        <v>66.7</v>
      </c>
      <c r="G25" s="4">
        <v>22</v>
      </c>
      <c r="H25" s="4">
        <v>33.460000000000008</v>
      </c>
      <c r="I25" s="4">
        <v>31.39</v>
      </c>
      <c r="K25" s="4">
        <v>22</v>
      </c>
      <c r="L25" s="4">
        <v>74.710000000000022</v>
      </c>
      <c r="M25" s="4">
        <v>70.75</v>
      </c>
      <c r="O25" s="4">
        <v>22</v>
      </c>
      <c r="P25" s="4">
        <v>31.443999999999999</v>
      </c>
      <c r="Q25" s="4">
        <v>44.759166666666665</v>
      </c>
      <c r="R25" s="4">
        <v>0.41666666666666674</v>
      </c>
      <c r="S25" s="4">
        <v>0.33500000000000002</v>
      </c>
      <c r="T25" s="4">
        <v>0</v>
      </c>
      <c r="U25" s="4">
        <v>7.0000000000000001E-3</v>
      </c>
      <c r="V25" s="4">
        <v>0.375</v>
      </c>
      <c r="W25" s="4">
        <v>0.5</v>
      </c>
      <c r="X25" s="4">
        <v>615</v>
      </c>
      <c r="Y25" s="4">
        <v>19.285</v>
      </c>
      <c r="Z25" s="4">
        <v>15.57</v>
      </c>
      <c r="AA25" s="4">
        <v>0</v>
      </c>
      <c r="AB25" s="4">
        <v>15.958</v>
      </c>
      <c r="AC25" s="4">
        <v>64.63333333333334</v>
      </c>
      <c r="AD25" s="4">
        <v>37.093000000000004</v>
      </c>
      <c r="AE25" s="4">
        <f>IF(ISBLANK(t_omie_evol[[#This Row],[Omie media diaria]]),$X$39,t_omie_evol[[#This Row],[demanda GWh]])</f>
        <v>615</v>
      </c>
    </row>
    <row r="26" spans="1:31" x14ac:dyDescent="0.2">
      <c r="A26" s="4">
        <v>23</v>
      </c>
      <c r="B26" s="4">
        <v>72.239999999999995</v>
      </c>
      <c r="C26" s="4">
        <v>106.39</v>
      </c>
      <c r="D26" s="4">
        <v>66.14</v>
      </c>
      <c r="E26" s="4">
        <v>62.48</v>
      </c>
      <c r="G26" s="4">
        <v>23</v>
      </c>
      <c r="H26" s="4">
        <v>35.130000000000003</v>
      </c>
      <c r="I26" s="4">
        <v>31.39</v>
      </c>
      <c r="K26" s="4">
        <v>23</v>
      </c>
      <c r="L26" s="4">
        <v>74.210000000000022</v>
      </c>
      <c r="M26" s="4">
        <v>70.75</v>
      </c>
      <c r="O26" s="4">
        <v>23</v>
      </c>
      <c r="P26" s="4">
        <v>31.443999999999999</v>
      </c>
      <c r="Q26" s="4">
        <v>60.44666666666668</v>
      </c>
      <c r="R26" s="4">
        <v>0.29166666666666669</v>
      </c>
      <c r="S26" s="4">
        <v>0.33500000000000002</v>
      </c>
      <c r="T26" s="4">
        <v>0</v>
      </c>
      <c r="U26" s="4">
        <v>8.0000000000000002E-3</v>
      </c>
      <c r="V26" s="4">
        <v>0.45833333333333326</v>
      </c>
      <c r="W26" s="4">
        <v>0.52500000000000002</v>
      </c>
      <c r="X26" s="4">
        <v>615</v>
      </c>
      <c r="Y26" s="4">
        <v>46.055714285714281</v>
      </c>
      <c r="Z26" s="4">
        <v>15.57</v>
      </c>
      <c r="AA26" s="4">
        <v>0</v>
      </c>
      <c r="AB26" s="4">
        <v>15.958</v>
      </c>
      <c r="AC26" s="4">
        <v>73.763636363636365</v>
      </c>
      <c r="AD26" s="4">
        <v>37.093000000000004</v>
      </c>
      <c r="AE26" s="4">
        <f>IF(ISBLANK(t_omie_evol[[#This Row],[Omie media diaria]]),$X$39,t_omie_evol[[#This Row],[demanda GWh]])</f>
        <v>615</v>
      </c>
    </row>
    <row r="27" spans="1:31" x14ac:dyDescent="0.2">
      <c r="A27" s="4">
        <v>24</v>
      </c>
      <c r="B27" s="4">
        <v>50.88</v>
      </c>
      <c r="D27" s="4">
        <v>62.36</v>
      </c>
      <c r="E27" s="4">
        <v>53.9</v>
      </c>
      <c r="G27" s="4">
        <v>24</v>
      </c>
      <c r="H27" s="4">
        <v>35.880000000000003</v>
      </c>
      <c r="I27" s="4">
        <v>31.39</v>
      </c>
      <c r="K27" s="4">
        <v>24</v>
      </c>
      <c r="L27" s="4">
        <v>73.720000000000013</v>
      </c>
      <c r="M27" s="4">
        <v>70.75</v>
      </c>
      <c r="O27" s="4">
        <v>24</v>
      </c>
      <c r="P27" s="4">
        <v>31.443999999999999</v>
      </c>
      <c r="Q27" s="4">
        <v>71.665833333333325</v>
      </c>
      <c r="R27" s="4">
        <v>0.16666666666666666</v>
      </c>
      <c r="S27" s="4">
        <v>0.33500000000000002</v>
      </c>
      <c r="T27" s="4">
        <v>4.1666666666666664E-2</v>
      </c>
      <c r="U27" s="4">
        <v>0.01</v>
      </c>
      <c r="V27" s="4">
        <v>0.75</v>
      </c>
      <c r="W27" s="4">
        <v>0.54200000000000004</v>
      </c>
      <c r="X27" s="4">
        <v>611</v>
      </c>
      <c r="Y27" s="4">
        <v>39.289999999999992</v>
      </c>
      <c r="Z27" s="4">
        <v>15.57</v>
      </c>
      <c r="AA27" s="4">
        <v>117.19</v>
      </c>
      <c r="AB27" s="4">
        <v>15.958</v>
      </c>
      <c r="AC27" s="4">
        <v>78.367777777777775</v>
      </c>
      <c r="AD27" s="4">
        <v>37.093000000000004</v>
      </c>
      <c r="AE27" s="4">
        <f>IF(ISBLANK(t_omie_evol[[#This Row],[Omie media diaria]]),$X$39,t_omie_evol[[#This Row],[demanda GWh]])</f>
        <v>611</v>
      </c>
    </row>
    <row r="28" spans="1:31" x14ac:dyDescent="0.2">
      <c r="G28" s="4">
        <v>25</v>
      </c>
      <c r="H28" s="4">
        <v>34.619999999999997</v>
      </c>
      <c r="I28" s="4">
        <v>31.39</v>
      </c>
      <c r="K28" s="4">
        <v>25</v>
      </c>
      <c r="L28" s="4">
        <v>73.720000000000013</v>
      </c>
      <c r="M28" s="4">
        <v>70.75</v>
      </c>
      <c r="O28" s="4">
        <v>25</v>
      </c>
      <c r="P28" s="4">
        <v>31.443999999999999</v>
      </c>
      <c r="Q28" s="4">
        <v>43.714583333333337</v>
      </c>
      <c r="R28" s="4">
        <v>0.25</v>
      </c>
      <c r="S28" s="4">
        <v>0.33500000000000002</v>
      </c>
      <c r="T28" s="4">
        <v>0</v>
      </c>
      <c r="U28" s="4">
        <v>0</v>
      </c>
      <c r="V28" s="4">
        <v>0.58333333333333337</v>
      </c>
      <c r="W28" s="4">
        <v>0.47199999999999998</v>
      </c>
      <c r="X28" s="4">
        <v>399</v>
      </c>
      <c r="Y28" s="4">
        <v>20.916666666666668</v>
      </c>
      <c r="Z28" s="4">
        <v>15.57</v>
      </c>
      <c r="AA28" s="4">
        <v>0</v>
      </c>
      <c r="AB28" s="4">
        <v>15.958</v>
      </c>
      <c r="AC28" s="4">
        <v>42.77</v>
      </c>
      <c r="AD28" s="4">
        <v>37.093000000000004</v>
      </c>
      <c r="AE28" s="4">
        <f>IF(ISBLANK(t_omie_evol[[#This Row],[Omie media diaria]]),$X$39,t_omie_evol[[#This Row],[demanda GWh]])</f>
        <v>399</v>
      </c>
    </row>
    <row r="29" spans="1:31" x14ac:dyDescent="0.2">
      <c r="G29" s="4">
        <v>26</v>
      </c>
      <c r="H29" s="4">
        <v>34.29999999999999</v>
      </c>
      <c r="I29" s="4">
        <v>31.39</v>
      </c>
      <c r="K29" s="4">
        <v>26</v>
      </c>
      <c r="L29" s="4">
        <v>73.720000000000013</v>
      </c>
      <c r="M29" s="4">
        <v>70.75</v>
      </c>
      <c r="O29" s="4">
        <v>26</v>
      </c>
      <c r="P29" s="4">
        <v>31.443999999999999</v>
      </c>
      <c r="Q29" s="4">
        <v>25.422083333333333</v>
      </c>
      <c r="R29" s="4">
        <v>0.25</v>
      </c>
      <c r="S29" s="4">
        <v>0.33500000000000002</v>
      </c>
      <c r="T29" s="4">
        <v>0</v>
      </c>
      <c r="U29" s="4">
        <v>0</v>
      </c>
      <c r="V29" s="4">
        <v>0.5</v>
      </c>
      <c r="W29" s="4">
        <v>0.41699999999999998</v>
      </c>
      <c r="X29" s="4">
        <v>0</v>
      </c>
      <c r="Y29" s="4">
        <v>24.02</v>
      </c>
      <c r="Z29" s="4">
        <v>15.57</v>
      </c>
      <c r="AA29" s="4">
        <v>0</v>
      </c>
      <c r="AB29" s="4">
        <v>15.958</v>
      </c>
      <c r="AC29" s="4">
        <v>12.8325</v>
      </c>
      <c r="AD29" s="4">
        <v>37.093000000000004</v>
      </c>
      <c r="AE29" s="4">
        <f>IF(ISBLANK(t_omie_evol[[#This Row],[Omie media diaria]]),$X$39,t_omie_evol[[#This Row],[demanda GWh]])</f>
        <v>0</v>
      </c>
    </row>
    <row r="30" spans="1:31" x14ac:dyDescent="0.2">
      <c r="G30" s="4">
        <v>27</v>
      </c>
      <c r="H30" s="4">
        <v>34.480000000000011</v>
      </c>
      <c r="I30" s="4">
        <v>31.39</v>
      </c>
      <c r="K30" s="4">
        <v>27</v>
      </c>
      <c r="L30" s="4">
        <v>73.720000000000013</v>
      </c>
      <c r="M30" s="4">
        <v>70.75</v>
      </c>
      <c r="O30" s="4">
        <v>27</v>
      </c>
      <c r="P30" s="4">
        <v>31.443999999999999</v>
      </c>
      <c r="Q30" s="4">
        <v>30.839999999999993</v>
      </c>
      <c r="R30" s="4">
        <v>0.41666666666666674</v>
      </c>
      <c r="S30" s="4">
        <v>0.33500000000000002</v>
      </c>
      <c r="T30" s="4">
        <v>0</v>
      </c>
      <c r="U30" s="4">
        <v>0</v>
      </c>
      <c r="V30" s="4">
        <v>0.33333333333333331</v>
      </c>
      <c r="W30" s="4">
        <v>0.33300000000000002</v>
      </c>
      <c r="X30" s="4">
        <v>0</v>
      </c>
      <c r="Y30" s="4">
        <v>23.26</v>
      </c>
      <c r="Z30" s="4">
        <v>15.57</v>
      </c>
      <c r="AA30" s="4">
        <v>0</v>
      </c>
      <c r="AB30" s="4">
        <v>15.958</v>
      </c>
      <c r="AC30" s="4">
        <v>33.81</v>
      </c>
      <c r="AD30" s="4">
        <v>37.093000000000004</v>
      </c>
      <c r="AE30" s="4">
        <f>IF(ISBLANK(t_omie_evol[[#This Row],[Omie media diaria]]),$X$39,t_omie_evol[[#This Row],[demanda GWh]])</f>
        <v>0</v>
      </c>
    </row>
    <row r="31" spans="1:31" x14ac:dyDescent="0.2">
      <c r="G31" s="4">
        <v>28</v>
      </c>
      <c r="I31" s="4">
        <v>31.39</v>
      </c>
      <c r="K31" s="4">
        <v>28</v>
      </c>
      <c r="M31" s="4">
        <v>70.75</v>
      </c>
      <c r="O31" s="4">
        <v>28</v>
      </c>
      <c r="P31" s="4">
        <v>31.443999999999999</v>
      </c>
      <c r="S31" s="4">
        <v>0.33500000000000002</v>
      </c>
      <c r="U31" s="4">
        <v>0</v>
      </c>
      <c r="W31" s="4">
        <v>0.33300000000000002</v>
      </c>
      <c r="Y31" s="4" t="s">
        <v>552</v>
      </c>
      <c r="Z31" s="4">
        <v>15.57</v>
      </c>
      <c r="AA31" s="4" t="s">
        <v>552</v>
      </c>
      <c r="AB31" s="4">
        <v>15.958</v>
      </c>
      <c r="AC31" s="4" t="s">
        <v>552</v>
      </c>
      <c r="AD31" s="4">
        <v>37.093000000000004</v>
      </c>
      <c r="AE31" s="4">
        <f>IF(ISBLANK(t_omie_evol[[#This Row],[Omie media diaria]]),$X$39,t_omie_evol[[#This Row],[demanda GWh]])</f>
        <v>534.48148148148152</v>
      </c>
    </row>
    <row r="32" spans="1:31" x14ac:dyDescent="0.2">
      <c r="G32" s="4">
        <v>29</v>
      </c>
      <c r="I32" s="4">
        <v>31.39</v>
      </c>
      <c r="K32" s="4">
        <v>29</v>
      </c>
      <c r="M32" s="4">
        <v>70.75</v>
      </c>
      <c r="O32" s="4">
        <v>29</v>
      </c>
      <c r="P32" s="4">
        <v>31.443999999999999</v>
      </c>
      <c r="S32" s="4">
        <v>0.33500000000000002</v>
      </c>
      <c r="U32" s="4">
        <v>0</v>
      </c>
      <c r="W32" s="4">
        <v>0.33300000000000002</v>
      </c>
      <c r="Y32" s="4" t="s">
        <v>552</v>
      </c>
      <c r="Z32" s="4">
        <v>15.57</v>
      </c>
      <c r="AA32" s="4" t="s">
        <v>552</v>
      </c>
      <c r="AB32" s="4">
        <v>15.958</v>
      </c>
      <c r="AC32" s="4" t="s">
        <v>552</v>
      </c>
      <c r="AD32" s="4">
        <v>37.093000000000004</v>
      </c>
      <c r="AE32" s="4">
        <f>IF(ISBLANK(t_omie_evol[[#This Row],[Omie media diaria]]),$X$39,t_omie_evol[[#This Row],[demanda GWh]])</f>
        <v>534.48148148148152</v>
      </c>
    </row>
    <row r="33" spans="7:31" x14ac:dyDescent="0.2">
      <c r="G33" s="4">
        <v>30</v>
      </c>
      <c r="I33" s="4">
        <v>31.39</v>
      </c>
      <c r="K33" s="4">
        <v>30</v>
      </c>
      <c r="M33" s="4">
        <v>70.75</v>
      </c>
      <c r="O33" s="4">
        <v>30</v>
      </c>
      <c r="P33" s="4">
        <v>31.443999999999999</v>
      </c>
      <c r="S33" s="4">
        <v>0.33500000000000002</v>
      </c>
      <c r="U33" s="4">
        <v>0</v>
      </c>
      <c r="W33" s="4">
        <v>0.33300000000000002</v>
      </c>
      <c r="Y33" s="4" t="s">
        <v>552</v>
      </c>
      <c r="Z33" s="4">
        <v>15.57</v>
      </c>
      <c r="AA33" s="4" t="s">
        <v>552</v>
      </c>
      <c r="AB33" s="4">
        <v>15.958</v>
      </c>
      <c r="AC33" s="4" t="s">
        <v>552</v>
      </c>
      <c r="AD33" s="4">
        <v>37.093000000000004</v>
      </c>
      <c r="AE33" s="4">
        <f>IF(ISBLANK(t_omie_evol[[#This Row],[Omie media diaria]]),$X$39,t_omie_evol[[#This Row],[demanda GWh]])</f>
        <v>534.48148148148152</v>
      </c>
    </row>
    <row r="34" spans="7:31" x14ac:dyDescent="0.2">
      <c r="G34" s="4">
        <v>31</v>
      </c>
      <c r="K34" s="4">
        <v>31</v>
      </c>
      <c r="M34" s="4">
        <v>70.75</v>
      </c>
      <c r="O34" s="4">
        <v>31</v>
      </c>
      <c r="P34" s="4">
        <v>31.443999999999999</v>
      </c>
      <c r="S34" s="4">
        <v>0.33500000000000002</v>
      </c>
      <c r="U34" s="4">
        <v>0</v>
      </c>
      <c r="W34" s="4">
        <v>0.33300000000000002</v>
      </c>
      <c r="Y34" s="4" t="s">
        <v>552</v>
      </c>
      <c r="Z34" s="4">
        <v>15.57</v>
      </c>
      <c r="AA34" s="4" t="s">
        <v>552</v>
      </c>
      <c r="AB34" s="4">
        <v>15.958</v>
      </c>
      <c r="AC34" s="4" t="s">
        <v>552</v>
      </c>
      <c r="AD34" s="4">
        <v>37.093000000000004</v>
      </c>
      <c r="AE34" s="4">
        <f>IF(ISBLANK(t_omie_evol[[#This Row],[Omie media diaria]]),$X$39,t_omie_evol[[#This Row],[demanda GWh]])</f>
        <v>534.48148148148152</v>
      </c>
    </row>
    <row r="38" spans="7:31" x14ac:dyDescent="0.2">
      <c r="W38" s="4" t="s">
        <v>488</v>
      </c>
      <c r="X38" s="4">
        <f>SUM(t_omie_evol[demanda GWh])</f>
        <v>14431</v>
      </c>
    </row>
    <row r="39" spans="7:31" x14ac:dyDescent="0.2">
      <c r="W39" s="4" t="s">
        <v>489</v>
      </c>
      <c r="X39" s="4">
        <f>AVERAGE(t_omie_evol[demanda GWh])</f>
        <v>534.48148148148152</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A82"/>
  <sheetViews>
    <sheetView topLeftCell="A19" workbookViewId="0">
      <selection activeCell="E64" sqref="E64"/>
    </sheetView>
  </sheetViews>
  <sheetFormatPr baseColWidth="10" defaultRowHeight="12" x14ac:dyDescent="0.2"/>
  <cols>
    <col min="1" max="1" width="8.5703125" bestFit="1" customWidth="1"/>
    <col min="2" max="2" width="10.140625" bestFit="1" customWidth="1"/>
    <col min="3" max="3" width="27"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s>
  <sheetData>
    <row r="1" spans="1:27"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row>
    <row r="2" spans="1:27"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row>
    <row r="3" spans="1:27"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row>
    <row r="4" spans="1:27"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row>
    <row r="5" spans="1:27"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row>
    <row r="6" spans="1:27"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row>
    <row r="7" spans="1:27"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row>
    <row r="8" spans="1:27"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row>
    <row r="9" spans="1:27"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row>
    <row r="10" spans="1:27"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row>
    <row r="11" spans="1:27"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row>
    <row r="12" spans="1:27"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row>
    <row r="13" spans="1:27"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row>
    <row r="14" spans="1:27"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row>
    <row r="15" spans="1:27"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row>
    <row r="16" spans="1:27"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row>
    <row r="17" spans="1:27"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row>
    <row r="18" spans="1:27"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row>
    <row r="19" spans="1:27"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row>
    <row r="20" spans="1:27"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row>
    <row r="21" spans="1:27"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row>
    <row r="22" spans="1:27"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row>
    <row r="23" spans="1:27"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row>
    <row r="24" spans="1:27"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row>
    <row r="25" spans="1:27"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row>
    <row r="26" spans="1:27"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row>
    <row r="27" spans="1:27"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row>
    <row r="28" spans="1:27"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row>
    <row r="29" spans="1:27"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row>
    <row r="30" spans="1:27"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row>
    <row r="31" spans="1:27" x14ac:dyDescent="0.2">
      <c r="A31" t="s">
        <v>99</v>
      </c>
      <c r="B31">
        <v>27</v>
      </c>
      <c r="C31" t="s">
        <v>227</v>
      </c>
      <c r="D31">
        <v>87.45</v>
      </c>
      <c r="E31">
        <v>13.350000000000009</v>
      </c>
      <c r="F31" s="43">
        <v>0.18016194331983817</v>
      </c>
      <c r="H31" t="s">
        <v>266</v>
      </c>
      <c r="I31">
        <v>34</v>
      </c>
      <c r="J31" t="s">
        <v>416</v>
      </c>
      <c r="K31">
        <v>87.55</v>
      </c>
      <c r="L31">
        <v>47.55</v>
      </c>
      <c r="M31" s="43">
        <v>1.18875</v>
      </c>
    </row>
    <row r="32" spans="1:27" x14ac:dyDescent="0.2">
      <c r="A32" t="s">
        <v>99</v>
      </c>
      <c r="B32">
        <v>12</v>
      </c>
      <c r="C32" t="s">
        <v>381</v>
      </c>
      <c r="D32">
        <v>76.5</v>
      </c>
      <c r="E32">
        <v>2.4000000000000057</v>
      </c>
      <c r="F32" s="43">
        <v>3.2388663967611413E-2</v>
      </c>
      <c r="H32" t="s">
        <v>266</v>
      </c>
      <c r="I32">
        <v>14</v>
      </c>
      <c r="J32" t="s">
        <v>543</v>
      </c>
      <c r="K32">
        <v>67.2</v>
      </c>
      <c r="L32">
        <v>27.200000000000003</v>
      </c>
      <c r="M32" s="43">
        <v>0.68</v>
      </c>
    </row>
    <row r="33" spans="1:13"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row>
    <row r="34" spans="1:13" x14ac:dyDescent="0.2">
      <c r="A34" t="s">
        <v>99</v>
      </c>
      <c r="B34">
        <v>3</v>
      </c>
      <c r="C34" t="s">
        <v>399</v>
      </c>
      <c r="D34">
        <v>74.56</v>
      </c>
      <c r="E34">
        <v>0.46000000000000796</v>
      </c>
      <c r="F34" s="43">
        <v>6.2078272604589469E-3</v>
      </c>
      <c r="H34" t="s">
        <v>266</v>
      </c>
      <c r="I34">
        <v>13</v>
      </c>
      <c r="J34" t="s">
        <v>399</v>
      </c>
      <c r="K34">
        <v>65.86</v>
      </c>
      <c r="L34">
        <v>25.86</v>
      </c>
      <c r="M34" s="43">
        <v>0.64649999999999996</v>
      </c>
    </row>
    <row r="35" spans="1:13" x14ac:dyDescent="0.2">
      <c r="A35" t="s">
        <v>99</v>
      </c>
      <c r="B35">
        <v>9</v>
      </c>
      <c r="C35" t="s">
        <v>407</v>
      </c>
      <c r="D35">
        <v>75.650000000000006</v>
      </c>
      <c r="E35">
        <v>1.5500000000000114</v>
      </c>
      <c r="F35" s="43">
        <v>2.091767881241581E-2</v>
      </c>
      <c r="H35" t="s">
        <v>266</v>
      </c>
      <c r="I35">
        <v>33</v>
      </c>
      <c r="J35" t="s">
        <v>339</v>
      </c>
      <c r="K35">
        <v>86.2</v>
      </c>
      <c r="L35">
        <v>46.2</v>
      </c>
      <c r="M35" s="43">
        <v>1.155</v>
      </c>
    </row>
    <row r="36" spans="1:13" x14ac:dyDescent="0.2">
      <c r="A36" t="s">
        <v>99</v>
      </c>
      <c r="B36">
        <v>33</v>
      </c>
      <c r="C36" t="s">
        <v>239</v>
      </c>
      <c r="D36">
        <v>90.1</v>
      </c>
      <c r="E36">
        <v>16</v>
      </c>
      <c r="F36" s="43">
        <v>0.21592442645074225</v>
      </c>
      <c r="H36" t="s">
        <v>266</v>
      </c>
      <c r="I36">
        <v>24</v>
      </c>
      <c r="J36" t="s">
        <v>407</v>
      </c>
      <c r="K36">
        <v>70.22</v>
      </c>
      <c r="L36">
        <v>30.22</v>
      </c>
      <c r="M36" s="43">
        <v>0.75549999999999995</v>
      </c>
    </row>
    <row r="39" spans="1:13" x14ac:dyDescent="0.2">
      <c r="A39" t="s">
        <v>3</v>
      </c>
      <c r="B39" t="s">
        <v>12</v>
      </c>
      <c r="C39" t="s">
        <v>0</v>
      </c>
      <c r="D39" t="s">
        <v>1</v>
      </c>
      <c r="E39" t="s">
        <v>5</v>
      </c>
      <c r="F39" t="s">
        <v>7</v>
      </c>
    </row>
    <row r="40" spans="1:13" x14ac:dyDescent="0.2">
      <c r="A40" t="s">
        <v>565</v>
      </c>
      <c r="B40">
        <v>16</v>
      </c>
      <c r="C40" t="s">
        <v>328</v>
      </c>
      <c r="D40">
        <v>30</v>
      </c>
      <c r="E40">
        <v>4.8000000000000007</v>
      </c>
      <c r="F40">
        <v>0.19047619047619052</v>
      </c>
    </row>
    <row r="41" spans="1:13" x14ac:dyDescent="0.2">
      <c r="A41" t="s">
        <v>565</v>
      </c>
      <c r="B41">
        <v>3</v>
      </c>
      <c r="C41" t="s">
        <v>226</v>
      </c>
      <c r="D41">
        <v>24.39</v>
      </c>
      <c r="E41">
        <v>-0.80999999999999872</v>
      </c>
      <c r="F41">
        <v>3.2142857142857091E-2</v>
      </c>
    </row>
    <row r="42" spans="1:13" x14ac:dyDescent="0.2">
      <c r="A42" t="s">
        <v>565</v>
      </c>
      <c r="B42">
        <v>2</v>
      </c>
      <c r="C42" t="s">
        <v>221</v>
      </c>
      <c r="D42">
        <v>24.93</v>
      </c>
      <c r="E42">
        <v>-0.26999999999999957</v>
      </c>
      <c r="F42">
        <v>1.0714285714285697E-2</v>
      </c>
    </row>
    <row r="43" spans="1:13" x14ac:dyDescent="0.2">
      <c r="A43" t="s">
        <v>565</v>
      </c>
      <c r="B43">
        <v>30</v>
      </c>
      <c r="C43" t="s">
        <v>9</v>
      </c>
      <c r="D43">
        <v>35</v>
      </c>
      <c r="E43">
        <v>9.8000000000000007</v>
      </c>
      <c r="F43">
        <v>0.38888888888888895</v>
      </c>
    </row>
    <row r="44" spans="1:13" x14ac:dyDescent="0.2">
      <c r="A44" t="s">
        <v>565</v>
      </c>
      <c r="B44">
        <v>24</v>
      </c>
      <c r="C44" t="s">
        <v>413</v>
      </c>
      <c r="D44">
        <v>33.340000000000003</v>
      </c>
      <c r="E44">
        <v>8.1400000000000041</v>
      </c>
      <c r="F44">
        <v>0.3230158730158732</v>
      </c>
    </row>
    <row r="45" spans="1:13" x14ac:dyDescent="0.2">
      <c r="A45" t="s">
        <v>565</v>
      </c>
      <c r="B45">
        <v>40</v>
      </c>
      <c r="C45" t="s">
        <v>215</v>
      </c>
      <c r="D45">
        <v>41.1</v>
      </c>
      <c r="E45">
        <v>15.900000000000002</v>
      </c>
      <c r="F45">
        <v>0.63095238095238104</v>
      </c>
    </row>
    <row r="46" spans="1:13" x14ac:dyDescent="0.2">
      <c r="A46" t="s">
        <v>565</v>
      </c>
      <c r="B46">
        <v>27</v>
      </c>
      <c r="C46" t="s">
        <v>335</v>
      </c>
      <c r="D46">
        <v>34.21</v>
      </c>
      <c r="E46">
        <v>9.0100000000000016</v>
      </c>
      <c r="F46">
        <v>0.3575396825396826</v>
      </c>
    </row>
    <row r="47" spans="1:13" x14ac:dyDescent="0.2">
      <c r="A47" t="s">
        <v>565</v>
      </c>
      <c r="B47">
        <v>28</v>
      </c>
      <c r="C47" t="s">
        <v>657</v>
      </c>
      <c r="D47">
        <v>34.47</v>
      </c>
      <c r="E47">
        <v>9.27</v>
      </c>
      <c r="F47">
        <v>0.36785714285714283</v>
      </c>
    </row>
    <row r="48" spans="1:13" x14ac:dyDescent="0.2">
      <c r="A48" t="s">
        <v>565</v>
      </c>
      <c r="B48">
        <v>36</v>
      </c>
      <c r="C48" t="s">
        <v>656</v>
      </c>
      <c r="D48">
        <v>13.1</v>
      </c>
      <c r="E48">
        <v>-12.1</v>
      </c>
      <c r="F48">
        <v>0.48015873015873017</v>
      </c>
    </row>
    <row r="49" spans="1:6" x14ac:dyDescent="0.2">
      <c r="A49" t="s">
        <v>565</v>
      </c>
      <c r="B49">
        <v>33</v>
      </c>
      <c r="C49" t="s">
        <v>541</v>
      </c>
      <c r="D49">
        <v>35.33</v>
      </c>
      <c r="E49">
        <v>10.129999999999999</v>
      </c>
      <c r="F49">
        <v>0.40198412698412694</v>
      </c>
    </row>
    <row r="50" spans="1:6" x14ac:dyDescent="0.2">
      <c r="A50" t="s">
        <v>565</v>
      </c>
      <c r="B50">
        <v>39</v>
      </c>
      <c r="C50" t="s">
        <v>225</v>
      </c>
      <c r="D50">
        <v>11.11</v>
      </c>
      <c r="E50">
        <v>-14.09</v>
      </c>
      <c r="F50">
        <v>0.55912698412698414</v>
      </c>
    </row>
    <row r="51" spans="1:6" x14ac:dyDescent="0.2">
      <c r="A51" t="s">
        <v>565</v>
      </c>
      <c r="B51">
        <v>23</v>
      </c>
      <c r="C51" t="s">
        <v>217</v>
      </c>
      <c r="D51">
        <v>33.33</v>
      </c>
      <c r="E51">
        <v>8.129999999999999</v>
      </c>
      <c r="F51">
        <v>0.32261904761904758</v>
      </c>
    </row>
    <row r="52" spans="1:6" x14ac:dyDescent="0.2">
      <c r="A52" t="s">
        <v>565</v>
      </c>
      <c r="B52">
        <v>34</v>
      </c>
      <c r="C52" t="s">
        <v>337</v>
      </c>
      <c r="D52">
        <v>35.53</v>
      </c>
      <c r="E52">
        <v>10.330000000000002</v>
      </c>
      <c r="F52">
        <v>0.40992063492063502</v>
      </c>
    </row>
    <row r="53" spans="1:6" x14ac:dyDescent="0.2">
      <c r="A53" t="s">
        <v>565</v>
      </c>
      <c r="B53">
        <v>6</v>
      </c>
      <c r="C53" t="s">
        <v>654</v>
      </c>
      <c r="D53">
        <v>23.7</v>
      </c>
      <c r="E53">
        <v>-1.5</v>
      </c>
      <c r="F53">
        <v>5.9523809523809527E-2</v>
      </c>
    </row>
    <row r="54" spans="1:6" x14ac:dyDescent="0.2">
      <c r="A54" t="s">
        <v>565</v>
      </c>
      <c r="B54">
        <v>15</v>
      </c>
      <c r="C54" t="s">
        <v>409</v>
      </c>
      <c r="D54">
        <v>29.69</v>
      </c>
      <c r="E54">
        <v>4.490000000000002</v>
      </c>
      <c r="F54">
        <v>0.17817460317460326</v>
      </c>
    </row>
    <row r="55" spans="1:6" x14ac:dyDescent="0.2">
      <c r="A55" t="s">
        <v>565</v>
      </c>
      <c r="B55">
        <v>10</v>
      </c>
      <c r="C55" t="s">
        <v>362</v>
      </c>
      <c r="D55">
        <v>28.3</v>
      </c>
      <c r="E55">
        <v>3.1000000000000014</v>
      </c>
      <c r="F55">
        <v>0.12301587301587308</v>
      </c>
    </row>
    <row r="56" spans="1:6" x14ac:dyDescent="0.2">
      <c r="A56" t="s">
        <v>565</v>
      </c>
      <c r="B56">
        <v>35</v>
      </c>
      <c r="C56" t="s">
        <v>655</v>
      </c>
      <c r="D56">
        <v>35.6</v>
      </c>
      <c r="E56">
        <v>10.400000000000002</v>
      </c>
      <c r="F56">
        <v>0.41269841269841279</v>
      </c>
    </row>
    <row r="57" spans="1:6" x14ac:dyDescent="0.2">
      <c r="A57" t="s">
        <v>565</v>
      </c>
      <c r="B57">
        <v>25</v>
      </c>
      <c r="C57" t="s">
        <v>219</v>
      </c>
      <c r="D57">
        <v>33.35</v>
      </c>
      <c r="E57">
        <v>8.1500000000000021</v>
      </c>
      <c r="F57">
        <v>0.32341269841269848</v>
      </c>
    </row>
    <row r="58" spans="1:6" x14ac:dyDescent="0.2">
      <c r="A58" t="s">
        <v>565</v>
      </c>
      <c r="B58">
        <v>31</v>
      </c>
      <c r="C58" t="s">
        <v>474</v>
      </c>
      <c r="D58">
        <v>35.1</v>
      </c>
      <c r="E58">
        <v>9.9000000000000021</v>
      </c>
      <c r="F58">
        <v>0.39285714285714296</v>
      </c>
    </row>
    <row r="59" spans="1:6" x14ac:dyDescent="0.2">
      <c r="A59" t="s">
        <v>565</v>
      </c>
      <c r="B59">
        <v>42</v>
      </c>
      <c r="C59" t="s">
        <v>242</v>
      </c>
      <c r="D59">
        <v>7.5</v>
      </c>
      <c r="E59">
        <v>-17.7</v>
      </c>
      <c r="F59">
        <v>0.70238095238095233</v>
      </c>
    </row>
    <row r="60" spans="1:6" x14ac:dyDescent="0.2">
      <c r="A60" t="s">
        <v>565</v>
      </c>
      <c r="B60">
        <v>1</v>
      </c>
      <c r="C60" t="s">
        <v>406</v>
      </c>
      <c r="D60">
        <v>25</v>
      </c>
      <c r="E60">
        <v>-0.19999999999999929</v>
      </c>
      <c r="F60">
        <v>7.9365079365079083E-3</v>
      </c>
    </row>
    <row r="61" spans="1:6" x14ac:dyDescent="0.2">
      <c r="A61" t="s">
        <v>565</v>
      </c>
      <c r="B61">
        <v>17</v>
      </c>
      <c r="C61" t="s">
        <v>336</v>
      </c>
      <c r="D61">
        <v>30.01</v>
      </c>
      <c r="E61">
        <v>4.8100000000000023</v>
      </c>
      <c r="F61">
        <v>0.19087301587301597</v>
      </c>
    </row>
    <row r="62" spans="1:6" x14ac:dyDescent="0.2">
      <c r="A62" t="s">
        <v>565</v>
      </c>
      <c r="B62">
        <v>11</v>
      </c>
      <c r="C62" t="s">
        <v>411</v>
      </c>
      <c r="D62">
        <v>22.02</v>
      </c>
      <c r="E62">
        <v>-3.1799999999999997</v>
      </c>
      <c r="F62">
        <v>0.12619047619047619</v>
      </c>
    </row>
    <row r="63" spans="1:6" x14ac:dyDescent="0.2">
      <c r="A63" t="s">
        <v>565</v>
      </c>
      <c r="B63">
        <v>29</v>
      </c>
      <c r="C63" t="s">
        <v>218</v>
      </c>
      <c r="D63">
        <v>15.5</v>
      </c>
      <c r="E63">
        <v>-9.6999999999999993</v>
      </c>
      <c r="F63">
        <v>0.38492063492063489</v>
      </c>
    </row>
    <row r="64" spans="1:6" x14ac:dyDescent="0.2">
      <c r="A64" t="s">
        <v>565</v>
      </c>
      <c r="B64">
        <v>38</v>
      </c>
      <c r="C64" t="s">
        <v>650</v>
      </c>
      <c r="D64">
        <v>38.14</v>
      </c>
      <c r="E64">
        <v>12.940000000000001</v>
      </c>
      <c r="F64">
        <v>0.51349206349206356</v>
      </c>
    </row>
    <row r="65" spans="1:6" x14ac:dyDescent="0.2">
      <c r="A65" t="s">
        <v>565</v>
      </c>
      <c r="B65">
        <v>4</v>
      </c>
      <c r="C65" t="s">
        <v>222</v>
      </c>
      <c r="D65">
        <v>26.15</v>
      </c>
      <c r="E65">
        <v>0.94999999999999929</v>
      </c>
      <c r="F65">
        <v>3.7698412698412669E-2</v>
      </c>
    </row>
    <row r="66" spans="1:6" x14ac:dyDescent="0.2">
      <c r="A66" t="s">
        <v>565</v>
      </c>
      <c r="B66">
        <v>43</v>
      </c>
      <c r="C66" t="s">
        <v>412</v>
      </c>
      <c r="D66">
        <v>48.6</v>
      </c>
      <c r="E66">
        <v>23.400000000000002</v>
      </c>
      <c r="F66">
        <v>0.92857142857142871</v>
      </c>
    </row>
    <row r="67" spans="1:6" x14ac:dyDescent="0.2">
      <c r="A67" t="s">
        <v>565</v>
      </c>
      <c r="B67">
        <v>18</v>
      </c>
      <c r="C67" t="s">
        <v>404</v>
      </c>
      <c r="D67">
        <v>30.5</v>
      </c>
      <c r="E67">
        <v>5.3000000000000007</v>
      </c>
      <c r="F67">
        <v>0.21031746031746035</v>
      </c>
    </row>
    <row r="68" spans="1:6" x14ac:dyDescent="0.2">
      <c r="A68" t="s">
        <v>565</v>
      </c>
      <c r="B68">
        <v>41</v>
      </c>
      <c r="C68" t="s">
        <v>401</v>
      </c>
      <c r="D68">
        <v>8.8800000000000008</v>
      </c>
      <c r="E68">
        <v>-16.32</v>
      </c>
      <c r="F68">
        <v>0.64761904761904765</v>
      </c>
    </row>
    <row r="69" spans="1:6" x14ac:dyDescent="0.2">
      <c r="A69" t="s">
        <v>565</v>
      </c>
      <c r="B69">
        <v>14</v>
      </c>
      <c r="C69" t="s">
        <v>408</v>
      </c>
      <c r="D69">
        <v>29.6</v>
      </c>
      <c r="E69">
        <v>4.4000000000000021</v>
      </c>
      <c r="F69">
        <v>0.1746031746031747</v>
      </c>
    </row>
    <row r="70" spans="1:6" x14ac:dyDescent="0.2">
      <c r="A70" t="s">
        <v>565</v>
      </c>
      <c r="B70">
        <v>9</v>
      </c>
      <c r="C70" t="s">
        <v>414</v>
      </c>
      <c r="D70">
        <v>28.1</v>
      </c>
      <c r="E70">
        <v>2.9000000000000021</v>
      </c>
      <c r="F70">
        <v>0.11507936507936517</v>
      </c>
    </row>
    <row r="71" spans="1:6" x14ac:dyDescent="0.2">
      <c r="A71" t="s">
        <v>565</v>
      </c>
      <c r="B71">
        <v>19</v>
      </c>
      <c r="C71" t="s">
        <v>403</v>
      </c>
      <c r="D71">
        <v>30.7</v>
      </c>
      <c r="E71">
        <v>5.5</v>
      </c>
      <c r="F71">
        <v>0.21825396825396826</v>
      </c>
    </row>
    <row r="72" spans="1:6" x14ac:dyDescent="0.2">
      <c r="A72" t="s">
        <v>565</v>
      </c>
      <c r="B72">
        <v>37</v>
      </c>
      <c r="C72" t="s">
        <v>400</v>
      </c>
      <c r="D72">
        <v>37.799999999999997</v>
      </c>
      <c r="E72">
        <v>12.599999999999998</v>
      </c>
      <c r="F72">
        <v>0.49999999999999994</v>
      </c>
    </row>
    <row r="73" spans="1:6" x14ac:dyDescent="0.2">
      <c r="A73" t="s">
        <v>565</v>
      </c>
      <c r="B73">
        <v>21</v>
      </c>
      <c r="C73" t="s">
        <v>364</v>
      </c>
      <c r="D73">
        <v>31.88</v>
      </c>
      <c r="E73">
        <v>6.68</v>
      </c>
      <c r="F73">
        <v>0.26507936507936508</v>
      </c>
    </row>
    <row r="74" spans="1:6" x14ac:dyDescent="0.2">
      <c r="A74" t="s">
        <v>565</v>
      </c>
      <c r="B74">
        <v>26</v>
      </c>
      <c r="C74" t="s">
        <v>652</v>
      </c>
      <c r="D74">
        <v>33.36</v>
      </c>
      <c r="E74">
        <v>8.16</v>
      </c>
      <c r="F74">
        <v>0.32380952380952382</v>
      </c>
    </row>
    <row r="75" spans="1:6" x14ac:dyDescent="0.2">
      <c r="A75" t="s">
        <v>565</v>
      </c>
      <c r="B75">
        <v>7</v>
      </c>
      <c r="C75" t="s">
        <v>651</v>
      </c>
      <c r="D75">
        <v>27.25</v>
      </c>
      <c r="E75">
        <v>2.0500000000000007</v>
      </c>
      <c r="F75">
        <v>8.1349206349206379E-2</v>
      </c>
    </row>
    <row r="76" spans="1:6" x14ac:dyDescent="0.2">
      <c r="A76" t="s">
        <v>565</v>
      </c>
      <c r="B76">
        <v>8</v>
      </c>
      <c r="C76" t="s">
        <v>381</v>
      </c>
      <c r="D76">
        <v>27.57</v>
      </c>
      <c r="E76">
        <v>2.370000000000001</v>
      </c>
      <c r="F76">
        <v>9.4047619047619088E-2</v>
      </c>
    </row>
    <row r="77" spans="1:6" x14ac:dyDescent="0.2">
      <c r="A77" t="s">
        <v>565</v>
      </c>
      <c r="B77">
        <v>12</v>
      </c>
      <c r="C77" t="s">
        <v>543</v>
      </c>
      <c r="D77">
        <v>28.62</v>
      </c>
      <c r="E77">
        <v>3.4200000000000017</v>
      </c>
      <c r="F77">
        <v>0.13571428571428579</v>
      </c>
    </row>
    <row r="78" spans="1:6" x14ac:dyDescent="0.2">
      <c r="A78" t="s">
        <v>565</v>
      </c>
      <c r="B78">
        <v>13</v>
      </c>
      <c r="C78" t="s">
        <v>363</v>
      </c>
      <c r="D78">
        <v>21.6</v>
      </c>
      <c r="E78">
        <v>-3.5999999999999979</v>
      </c>
      <c r="F78">
        <v>0.14285714285714277</v>
      </c>
    </row>
    <row r="79" spans="1:6" x14ac:dyDescent="0.2">
      <c r="A79" t="s">
        <v>565</v>
      </c>
      <c r="B79">
        <v>5</v>
      </c>
      <c r="C79" t="s">
        <v>542</v>
      </c>
      <c r="D79">
        <v>26.62</v>
      </c>
      <c r="E79">
        <v>1.4200000000000017</v>
      </c>
      <c r="F79">
        <v>5.634920634920642E-2</v>
      </c>
    </row>
    <row r="80" spans="1:6" x14ac:dyDescent="0.2">
      <c r="A80" t="s">
        <v>565</v>
      </c>
      <c r="B80">
        <v>20</v>
      </c>
      <c r="C80" t="s">
        <v>658</v>
      </c>
      <c r="D80">
        <v>18.760000000000002</v>
      </c>
      <c r="E80">
        <v>-6.4399999999999977</v>
      </c>
      <c r="F80">
        <v>0.25555555555555548</v>
      </c>
    </row>
    <row r="81" spans="1:6" x14ac:dyDescent="0.2">
      <c r="A81" t="s">
        <v>565</v>
      </c>
      <c r="B81">
        <v>32</v>
      </c>
      <c r="C81" t="s">
        <v>399</v>
      </c>
      <c r="D81">
        <v>35.229999999999997</v>
      </c>
      <c r="E81">
        <v>10.029999999999998</v>
      </c>
      <c r="F81">
        <v>0.39801587301587293</v>
      </c>
    </row>
    <row r="82" spans="1:6" x14ac:dyDescent="0.2">
      <c r="A82" t="s">
        <v>565</v>
      </c>
      <c r="B82">
        <v>22</v>
      </c>
      <c r="C82" t="s">
        <v>653</v>
      </c>
      <c r="D82">
        <v>18.12</v>
      </c>
      <c r="E82">
        <v>-7.0799999999999983</v>
      </c>
      <c r="F82">
        <v>0.2809523809523809</v>
      </c>
    </row>
  </sheetData>
  <phoneticPr fontId="9" type="noConversion"/>
  <pageMargins left="0.7" right="0.7" top="0.75" bottom="0.75" header="0.3" footer="0.3"/>
  <tableParts count="5">
    <tablePart r:id="rId1"/>
    <tablePart r:id="rId2"/>
    <tablePart r:id="rId3"/>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O97"/>
  <sheetViews>
    <sheetView showGridLines="0" tabSelected="1" workbookViewId="0">
      <selection activeCell="H1" sqref="H1"/>
    </sheetView>
  </sheetViews>
  <sheetFormatPr baseColWidth="10" defaultRowHeight="12" x14ac:dyDescent="0.2"/>
  <cols>
    <col min="1" max="1" width="27.140625" bestFit="1" customWidth="1"/>
    <col min="2" max="2" width="12" bestFit="1" customWidth="1"/>
    <col min="3" max="3" width="10.42578125" bestFit="1" customWidth="1"/>
    <col min="4" max="5" width="12" bestFit="1" customWidth="1"/>
    <col min="6" max="6" width="12" customWidth="1"/>
    <col min="7" max="7" width="8.42578125" bestFit="1" customWidth="1"/>
    <col min="8" max="8" width="12.28515625" style="4" bestFit="1" customWidth="1"/>
    <col min="9" max="9" width="29.7109375" bestFit="1" customWidth="1"/>
  </cols>
  <sheetData>
    <row r="1" spans="1:15" x14ac:dyDescent="0.2">
      <c r="A1" t="s">
        <v>0</v>
      </c>
      <c r="B1" t="s">
        <v>99</v>
      </c>
      <c r="C1" t="s">
        <v>266</v>
      </c>
      <c r="D1" t="s">
        <v>417</v>
      </c>
      <c r="E1" t="s">
        <v>146</v>
      </c>
      <c r="F1" t="s">
        <v>565</v>
      </c>
      <c r="G1" s="61" t="s">
        <v>560</v>
      </c>
      <c r="H1" s="62" t="s">
        <v>672</v>
      </c>
      <c r="I1" s="61" t="s">
        <v>562</v>
      </c>
    </row>
    <row r="2" spans="1:15" x14ac:dyDescent="0.2">
      <c r="A2" s="47" t="s">
        <v>336</v>
      </c>
      <c r="B2" s="47">
        <v>3.2388663967611225E-2</v>
      </c>
      <c r="C2" s="47">
        <v>0.73000000000000009</v>
      </c>
      <c r="D2" s="47">
        <v>0.16863905325443776</v>
      </c>
      <c r="E2" s="47">
        <v>0.49963423555230435</v>
      </c>
      <c r="F2" s="71">
        <v>4.639339053066404E-2</v>
      </c>
      <c r="G2" s="47">
        <f>5- COUNTIF(acumulado_porcentaje[[#This Row],[Ene 2024]:[May 2024]],"")</f>
        <v>5</v>
      </c>
      <c r="H2" s="69">
        <f>IF(acumulado_porcentaje[[#This Row],[contar]]&gt;2,SUM(SMALL(acumulado_porcentaje[[#This Row],[Ene 2024]:[May 2024]],1),SMALL(acumulado_porcentaje[[#This Row],[Ene 2024]:[May 2024]],2),SMALL(acumulado_porcentaje[[#This Row],[Ene 2024]:[May 2024]],3)),"#N/A")</f>
        <v>0.24742110775271303</v>
      </c>
      <c r="I2" t="str">
        <f>acumulado_porcentaje[[#This Row],[Nombre ]]&amp;" ("&amp;acumulado_porcentaje[[#This Row],[contar]]&amp;")"</f>
        <v>Javier Revuelta Alonso (5)</v>
      </c>
      <c r="K2" s="74">
        <f>ROW(acumulado_porcentaje[[#This Row],[Clasificación]])</f>
        <v>2</v>
      </c>
      <c r="L2" s="74" t="str">
        <f t="shared" ref="L2:L21" si="0">$C$81&amp;K2</f>
        <v>E2</v>
      </c>
      <c r="M2" s="45">
        <f ca="1">LARGE(B2:INDIRECT(L2),1)</f>
        <v>0.73000000000000009</v>
      </c>
      <c r="N2" s="45">
        <f ca="1">LARGE(B2:INDIRECT(L2),2)</f>
        <v>0.49963423555230435</v>
      </c>
      <c r="O2" s="45">
        <f ca="1">SUMIFS(B2:INDIRECT(L2),B2:INDIRECT(L2),"&lt;&gt;"&amp;M2,B2:INDIRECT(L2),"&lt;&gt;"&amp;N2)</f>
        <v>0.20102771722204898</v>
      </c>
    </row>
    <row r="3" spans="1:15" x14ac:dyDescent="0.2">
      <c r="A3" s="47" t="s">
        <v>404</v>
      </c>
      <c r="B3" s="47">
        <v>2.4291497975709423E-3</v>
      </c>
      <c r="C3" s="47">
        <v>0.33849999999999997</v>
      </c>
      <c r="D3" s="47"/>
      <c r="E3" s="47"/>
      <c r="F3" s="72">
        <v>3.0823006037495992E-2</v>
      </c>
      <c r="G3" s="47">
        <f>5- COUNTIF(acumulado_porcentaje[[#This Row],[Ene 2024]:[May 2024]],"")</f>
        <v>3</v>
      </c>
      <c r="H3" s="69">
        <f>IF(acumulado_porcentaje[[#This Row],[contar]]&gt;2,SUM(SMALL(acumulado_porcentaje[[#This Row],[Ene 2024]:[May 2024]],1),SMALL(acumulado_porcentaje[[#This Row],[Ene 2024]:[May 2024]],2),SMALL(acumulado_porcentaje[[#This Row],[Ene 2024]:[May 2024]],3)),"#N/A")</f>
        <v>0.37175215583506693</v>
      </c>
      <c r="I3" t="str">
        <f>acumulado_porcentaje[[#This Row],[Nombre ]]&amp;" ("&amp;acumulado_porcentaje[[#This Row],[contar]]&amp;")"</f>
        <v>Juan Luis Jarillo Gómez (3)</v>
      </c>
      <c r="K3" s="74">
        <f>ROW(acumulado_porcentaje[[#This Row],[Clasificación]])</f>
        <v>3</v>
      </c>
      <c r="L3" s="74" t="str">
        <f t="shared" si="0"/>
        <v>E3</v>
      </c>
      <c r="M3" s="45">
        <f ca="1">LARGE(B3:INDIRECT(L3),1)</f>
        <v>0.33849999999999997</v>
      </c>
      <c r="N3" s="45">
        <f ca="1">LARGE(B3:INDIRECT(L3),2)</f>
        <v>2.4291497975709423E-3</v>
      </c>
      <c r="O3" s="45">
        <f ca="1">SUMIFS(B3:INDIRECT(L3),B3:INDIRECT(L3),"&lt;&gt;"&amp;M3,B3:INDIRECT(L3),"&lt;&gt;"&amp;N3)</f>
        <v>0</v>
      </c>
    </row>
    <row r="4" spans="1:15" x14ac:dyDescent="0.2">
      <c r="A4" s="47" t="s">
        <v>221</v>
      </c>
      <c r="B4" s="47">
        <v>5.6410256410256508E-2</v>
      </c>
      <c r="C4" s="47">
        <v>0.48249999999999993</v>
      </c>
      <c r="D4" s="47">
        <v>0.15828402366863892</v>
      </c>
      <c r="E4" s="47">
        <v>0.42648134601316751</v>
      </c>
      <c r="F4">
        <v>0.20781696854146806</v>
      </c>
      <c r="G4" s="47">
        <f>5- COUNTIF(acumulado_porcentaje[[#This Row],[Ene 2024]:[May 2024]],"")</f>
        <v>5</v>
      </c>
      <c r="H4" s="69">
        <f>IF(acumulado_porcentaje[[#This Row],[contar]]&gt;2,SUM(SMALL(acumulado_porcentaje[[#This Row],[Ene 2024]:[May 2024]],1),SMALL(acumulado_porcentaje[[#This Row],[Ene 2024]:[May 2024]],2),SMALL(acumulado_porcentaje[[#This Row],[Ene 2024]:[May 2024]],3)),"#N/A")</f>
        <v>0.42251124862036349</v>
      </c>
      <c r="I4" t="str">
        <f>acumulado_porcentaje[[#This Row],[Nombre ]]&amp;" ("&amp;acumulado_porcentaje[[#This Row],[contar]]&amp;")"</f>
        <v>Alfonso Lezcano (5)</v>
      </c>
      <c r="K4" s="74">
        <f>ROW(acumulado_porcentaje[[#This Row],[Clasificación]])</f>
        <v>4</v>
      </c>
      <c r="L4" s="74" t="str">
        <f t="shared" si="0"/>
        <v>E4</v>
      </c>
      <c r="M4" s="45">
        <f ca="1">LARGE(B4:INDIRECT(L4),1)</f>
        <v>0.48249999999999993</v>
      </c>
      <c r="N4" s="45">
        <f ca="1">LARGE(B4:INDIRECT(L4),2)</f>
        <v>0.42648134601316751</v>
      </c>
      <c r="O4" s="45">
        <f ca="1">SUMIFS(B4:INDIRECT(L4),B4:INDIRECT(L4),"&lt;&gt;"&amp;M4,B4:INDIRECT(L4),"&lt;&gt;"&amp;N4)</f>
        <v>0.21469428007889543</v>
      </c>
    </row>
    <row r="5" spans="1:15" x14ac:dyDescent="0.2">
      <c r="A5" s="47" t="s">
        <v>226</v>
      </c>
      <c r="B5" s="47">
        <v>1.6869095816464237E-2</v>
      </c>
      <c r="C5" s="47">
        <v>0.5625</v>
      </c>
      <c r="D5" s="47">
        <v>0.22287968441814593</v>
      </c>
      <c r="E5" s="47">
        <v>0.64667154352596945</v>
      </c>
      <c r="F5">
        <v>0.22497616777883694</v>
      </c>
      <c r="G5" s="47">
        <f>5- COUNTIF(acumulado_porcentaje[[#This Row],[Ene 2024]:[May 2024]],"")</f>
        <v>5</v>
      </c>
      <c r="H5" s="69">
        <f>IF(acumulado_porcentaje[[#This Row],[contar]]&gt;2,SUM(SMALL(acumulado_porcentaje[[#This Row],[Ene 2024]:[May 2024]],1),SMALL(acumulado_porcentaje[[#This Row],[Ene 2024]:[May 2024]],2),SMALL(acumulado_porcentaje[[#This Row],[Ene 2024]:[May 2024]],3)),"#N/A")</f>
        <v>0.4647249480134471</v>
      </c>
      <c r="I5" t="str">
        <f>acumulado_porcentaje[[#This Row],[Nombre ]]&amp;" ("&amp;acumulado_porcentaje[[#This Row],[contar]]&amp;")"</f>
        <v>Alejandro A. Díaz González (5)</v>
      </c>
      <c r="K5" s="74">
        <f>ROW(acumulado_porcentaje[[#This Row],[Clasificación]])</f>
        <v>5</v>
      </c>
      <c r="L5" s="74" t="str">
        <f t="shared" si="0"/>
        <v>E5</v>
      </c>
      <c r="M5" s="45">
        <f ca="1">LARGE(B5:INDIRECT(L5),1)</f>
        <v>0.64667154352596945</v>
      </c>
      <c r="N5" s="45">
        <f ca="1">LARGE(B5:INDIRECT(L5),2)</f>
        <v>0.5625</v>
      </c>
      <c r="O5" s="45">
        <f ca="1">SUMIFS(B5:INDIRECT(L5),B5:INDIRECT(L5),"&lt;&gt;"&amp;M5,B5:INDIRECT(L5),"&lt;&gt;"&amp;N5)</f>
        <v>0.23974878023461016</v>
      </c>
    </row>
    <row r="6" spans="1:15" x14ac:dyDescent="0.2">
      <c r="A6" s="47" t="s">
        <v>222</v>
      </c>
      <c r="B6" s="47">
        <v>8.7719298245612885E-3</v>
      </c>
      <c r="C6" s="47">
        <v>0.84699999999999986</v>
      </c>
      <c r="D6" s="47">
        <v>0.50394477317554232</v>
      </c>
      <c r="E6" s="47">
        <v>0.35332845647403072</v>
      </c>
      <c r="F6">
        <v>0.16904988878296792</v>
      </c>
      <c r="G6" s="47">
        <f>5- COUNTIF(acumulado_porcentaje[[#This Row],[Ene 2024]:[May 2024]],"")</f>
        <v>5</v>
      </c>
      <c r="H6" s="69">
        <f>IF(acumulado_porcentaje[[#This Row],[contar]]&gt;2,SUM(SMALL(acumulado_porcentaje[[#This Row],[Ene 2024]:[May 2024]],1),SMALL(acumulado_porcentaje[[#This Row],[Ene 2024]:[May 2024]],2),SMALL(acumulado_porcentaje[[#This Row],[Ene 2024]:[May 2024]],3)),"#N/A")</f>
        <v>0.53115027508155999</v>
      </c>
      <c r="I6" t="str">
        <f>acumulado_porcentaje[[#This Row],[Nombre ]]&amp;" ("&amp;acumulado_porcentaje[[#This Row],[contar]]&amp;")"</f>
        <v>Jose F Vidal (5)</v>
      </c>
      <c r="K6" s="74">
        <f>ROW(acumulado_porcentaje[[#This Row],[Clasificación]])</f>
        <v>6</v>
      </c>
      <c r="L6" s="74" t="str">
        <f t="shared" si="0"/>
        <v>E6</v>
      </c>
      <c r="M6" s="45">
        <f ca="1">LARGE(B6:INDIRECT(L6),1)</f>
        <v>0.84699999999999986</v>
      </c>
      <c r="N6" s="45">
        <f ca="1">LARGE(B6:INDIRECT(L6),2)</f>
        <v>0.50394477317554232</v>
      </c>
      <c r="O6" s="45">
        <f ca="1">SUMIFS(B6:INDIRECT(L6),B6:INDIRECT(L6),"&lt;&gt;"&amp;M6,B6:INDIRECT(L6),"&lt;&gt;"&amp;N6)</f>
        <v>0.36210038629859198</v>
      </c>
    </row>
    <row r="7" spans="1:15" x14ac:dyDescent="0.2">
      <c r="A7" s="47" t="s">
        <v>381</v>
      </c>
      <c r="B7" s="47">
        <v>3.2388663967611413E-2</v>
      </c>
      <c r="C7" s="47">
        <v>0.50050000000000006</v>
      </c>
      <c r="D7" s="47"/>
      <c r="E7" s="47"/>
      <c r="F7">
        <v>0.1239275500476644</v>
      </c>
      <c r="G7" s="47">
        <f>5- COUNTIF(acumulado_porcentaje[[#This Row],[Ene 2024]:[May 2024]],"")</f>
        <v>3</v>
      </c>
      <c r="H7" s="69">
        <f>IF(acumulado_porcentaje[[#This Row],[contar]]&gt;2,SUM(SMALL(acumulado_porcentaje[[#This Row],[Ene 2024]:[May 2024]],1),SMALL(acumulado_porcentaje[[#This Row],[Ene 2024]:[May 2024]],2),SMALL(acumulado_porcentaje[[#This Row],[Ene 2024]:[May 2024]],3)),"#N/A")</f>
        <v>0.6568162140152759</v>
      </c>
      <c r="I7" t="str">
        <f>acumulado_porcentaje[[#This Row],[Nombre ]]&amp;" ("&amp;acumulado_porcentaje[[#This Row],[contar]]&amp;")"</f>
        <v>Roberto Cavero García (3)</v>
      </c>
      <c r="K7" s="74">
        <f>ROW(acumulado_porcentaje[[#This Row],[Clasificación]])</f>
        <v>7</v>
      </c>
      <c r="L7" s="74" t="str">
        <f t="shared" si="0"/>
        <v>E7</v>
      </c>
      <c r="M7" s="45">
        <f ca="1">LARGE(B7:INDIRECT(L7),1)</f>
        <v>0.50050000000000006</v>
      </c>
      <c r="N7" s="45">
        <f ca="1">LARGE(B7:INDIRECT(L7),2)</f>
        <v>3.2388663967611413E-2</v>
      </c>
      <c r="O7" s="45">
        <f ca="1">SUMIFS(B7:INDIRECT(L7),B7:INDIRECT(L7),"&lt;&gt;"&amp;M7,B7:INDIRECT(L7),"&lt;&gt;"&amp;N7)</f>
        <v>0</v>
      </c>
    </row>
    <row r="8" spans="1:15" x14ac:dyDescent="0.2">
      <c r="A8" s="47" t="s">
        <v>408</v>
      </c>
      <c r="B8" s="47">
        <v>3.8731443994601759E-2</v>
      </c>
      <c r="C8" s="47">
        <v>0.8932500000000001</v>
      </c>
      <c r="D8" s="47">
        <v>0.64250493096646943</v>
      </c>
      <c r="E8" s="47">
        <v>0.77249451353328458</v>
      </c>
      <c r="F8">
        <v>5.942167143311082E-2</v>
      </c>
      <c r="G8" s="47">
        <f>5- COUNTIF(acumulado_porcentaje[[#This Row],[Ene 2024]:[May 2024]],"")</f>
        <v>5</v>
      </c>
      <c r="H8" s="69">
        <f>IF(acumulado_porcentaje[[#This Row],[contar]]&gt;2,SUM(SMALL(acumulado_porcentaje[[#This Row],[Ene 2024]:[May 2024]],1),SMALL(acumulado_porcentaje[[#This Row],[Ene 2024]:[May 2024]],2),SMALL(acumulado_porcentaje[[#This Row],[Ene 2024]:[May 2024]],3)),"#N/A")</f>
        <v>0.74065804639418198</v>
      </c>
      <c r="I8" t="str">
        <f>acumulado_porcentaje[[#This Row],[Nombre ]]&amp;" ("&amp;acumulado_porcentaje[[#This Row],[contar]]&amp;")"</f>
        <v>Julián Mateo Muñoz (5)</v>
      </c>
      <c r="K8" s="74">
        <f>ROW(acumulado_porcentaje[[#This Row],[Clasificación]])</f>
        <v>8</v>
      </c>
      <c r="L8" s="74" t="str">
        <f t="shared" si="0"/>
        <v>E8</v>
      </c>
      <c r="M8" s="45">
        <f ca="1">LARGE(B8:INDIRECT(L8),1)</f>
        <v>0.8932500000000001</v>
      </c>
      <c r="N8" s="45">
        <f ca="1">LARGE(B8:INDIRECT(L8),2)</f>
        <v>0.77249451353328458</v>
      </c>
      <c r="O8" s="45">
        <f ca="1">SUMIFS(B8:INDIRECT(L8),B8:INDIRECT(L8),"&lt;&gt;"&amp;M8,B8:INDIRECT(L8),"&lt;&gt;"&amp;N8)</f>
        <v>0.68123637496107114</v>
      </c>
    </row>
    <row r="9" spans="1:15" x14ac:dyDescent="0.2">
      <c r="A9" s="47" t="s">
        <v>474</v>
      </c>
      <c r="B9" s="47"/>
      <c r="C9" s="47"/>
      <c r="D9" s="47">
        <v>5.9171597633134827E-3</v>
      </c>
      <c r="E9" s="47">
        <v>0.64594001463057793</v>
      </c>
      <c r="F9">
        <v>0.11534795042898006</v>
      </c>
      <c r="G9" s="47">
        <f>5- COUNTIF(acumulado_porcentaje[[#This Row],[Ene 2024]:[May 2024]],"")</f>
        <v>3</v>
      </c>
      <c r="H9" s="69">
        <f>IF(acumulado_porcentaje[[#This Row],[contar]]&gt;2,SUM(SMALL(acumulado_porcentaje[[#This Row],[Ene 2024]:[May 2024]],1),SMALL(acumulado_porcentaje[[#This Row],[Ene 2024]:[May 2024]],2),SMALL(acumulado_porcentaje[[#This Row],[Ene 2024]:[May 2024]],3)),"#N/A")</f>
        <v>0.76720512482287151</v>
      </c>
      <c r="I9" t="str">
        <f>acumulado_porcentaje[[#This Row],[Nombre ]]&amp;" ("&amp;acumulado_porcentaje[[#This Row],[contar]]&amp;")"</f>
        <v>Javier Colón Cortegoso (3)</v>
      </c>
      <c r="K9" s="74">
        <f>ROW(acumulado_porcentaje[[#This Row],[Clasificación]])</f>
        <v>9</v>
      </c>
      <c r="L9" s="74" t="str">
        <f t="shared" si="0"/>
        <v>E9</v>
      </c>
      <c r="M9" s="45">
        <f ca="1">LARGE(B9:INDIRECT(L9),1)</f>
        <v>0.64594001463057793</v>
      </c>
      <c r="N9" s="45">
        <f ca="1">LARGE(B9:INDIRECT(L9),2)</f>
        <v>5.9171597633134827E-3</v>
      </c>
      <c r="O9" s="45">
        <f ca="1">SUMIFS(B9:INDIRECT(L9),B9:INDIRECT(L9),"&lt;&gt;"&amp;M9,B9:INDIRECT(L9),"&lt;&gt;"&amp;N9)</f>
        <v>0</v>
      </c>
    </row>
    <row r="10" spans="1:15" x14ac:dyDescent="0.2">
      <c r="A10" s="47" t="s">
        <v>399</v>
      </c>
      <c r="B10" s="47">
        <v>6.2078272604589469E-3</v>
      </c>
      <c r="C10" s="47">
        <v>0.64649999999999996</v>
      </c>
      <c r="D10" s="47"/>
      <c r="E10" s="47"/>
      <c r="F10">
        <v>0.11947886876390207</v>
      </c>
      <c r="G10" s="47">
        <f>5- COUNTIF(acumulado_porcentaje[[#This Row],[Ene 2024]:[May 2024]],"")</f>
        <v>3</v>
      </c>
      <c r="H10" s="69">
        <f>IF(acumulado_porcentaje[[#This Row],[contar]]&gt;2,SUM(SMALL(acumulado_porcentaje[[#This Row],[Ene 2024]:[May 2024]],1),SMALL(acumulado_porcentaje[[#This Row],[Ene 2024]:[May 2024]],2),SMALL(acumulado_porcentaje[[#This Row],[Ene 2024]:[May 2024]],3)),"#N/A")</f>
        <v>0.77218669602436096</v>
      </c>
      <c r="I10" t="str">
        <f>acumulado_porcentaje[[#This Row],[Nombre ]]&amp;" ("&amp;acumulado_porcentaje[[#This Row],[contar]]&amp;")"</f>
        <v>Sergio Lopez Oliver (3)</v>
      </c>
      <c r="K10" s="74">
        <f>ROW(acumulado_porcentaje[[#This Row],[Clasificación]])</f>
        <v>10</v>
      </c>
      <c r="L10" s="74" t="str">
        <f t="shared" si="0"/>
        <v>E10</v>
      </c>
      <c r="M10" s="45">
        <f ca="1">LARGE(B10:INDIRECT(L10),1)</f>
        <v>0.64649999999999996</v>
      </c>
      <c r="N10" s="45">
        <f ca="1">LARGE(B10:INDIRECT(L10),2)</f>
        <v>6.2078272604589469E-3</v>
      </c>
      <c r="O10" s="45">
        <f ca="1">SUMIFS(B10:INDIRECT(L10),B10:INDIRECT(L10),"&lt;&gt;"&amp;M10,B10:INDIRECT(L10),"&lt;&gt;"&amp;N10)</f>
        <v>0</v>
      </c>
    </row>
    <row r="11" spans="1:15" x14ac:dyDescent="0.2">
      <c r="A11" s="47" t="s">
        <v>406</v>
      </c>
      <c r="B11" s="47">
        <v>1.2145748987854329E-2</v>
      </c>
      <c r="C11" s="47">
        <v>0.625</v>
      </c>
      <c r="D11" s="47">
        <v>0.57790927021696248</v>
      </c>
      <c r="E11" s="47">
        <v>1.0848573518653988</v>
      </c>
      <c r="F11">
        <v>0.20559262789958688</v>
      </c>
      <c r="G11" s="47">
        <f>5- COUNTIF(acumulado_porcentaje[[#This Row],[Ene 2024]:[May 2024]],"")</f>
        <v>5</v>
      </c>
      <c r="H11" s="69">
        <f>IF(acumulado_porcentaje[[#This Row],[contar]]&gt;2,SUM(SMALL(acumulado_porcentaje[[#This Row],[Ene 2024]:[May 2024]],1),SMALL(acumulado_porcentaje[[#This Row],[Ene 2024]:[May 2024]],2),SMALL(acumulado_porcentaje[[#This Row],[Ene 2024]:[May 2024]],3)),"#N/A")</f>
        <v>0.79564764710440372</v>
      </c>
      <c r="I11" t="str">
        <f>acumulado_porcentaje[[#This Row],[Nombre ]]&amp;" ("&amp;acumulado_porcentaje[[#This Row],[contar]]&amp;")"</f>
        <v>Javier Pérez Salazar (5)</v>
      </c>
      <c r="K11" s="74">
        <f>ROW(acumulado_porcentaje[[#This Row],[Clasificación]])</f>
        <v>11</v>
      </c>
      <c r="L11" s="74" t="str">
        <f t="shared" si="0"/>
        <v>E11</v>
      </c>
      <c r="M11" s="45">
        <f ca="1">LARGE(B11:INDIRECT(L11),1)</f>
        <v>1.0848573518653988</v>
      </c>
      <c r="N11" s="45">
        <f ca="1">LARGE(B11:INDIRECT(L11),2)</f>
        <v>0.625</v>
      </c>
      <c r="O11" s="45">
        <f ca="1">SUMIFS(B11:INDIRECT(L11),B11:INDIRECT(L11),"&lt;&gt;"&amp;M11,B11:INDIRECT(L11),"&lt;&gt;"&amp;N11)</f>
        <v>0.59005501920481684</v>
      </c>
    </row>
    <row r="12" spans="1:15" x14ac:dyDescent="0.2">
      <c r="A12" s="47" t="s">
        <v>363</v>
      </c>
      <c r="B12" s="47">
        <v>4.4534412955465549E-2</v>
      </c>
      <c r="C12" s="47">
        <v>0.63500000000000012</v>
      </c>
      <c r="D12" s="47">
        <v>0.46942800788954631</v>
      </c>
      <c r="E12" s="47">
        <v>0.66788588149231898</v>
      </c>
      <c r="F12">
        <v>0.31363203050524302</v>
      </c>
      <c r="G12" s="47">
        <f>5- COUNTIF(acumulado_porcentaje[[#This Row],[Ene 2024]:[May 2024]],"")</f>
        <v>5</v>
      </c>
      <c r="H12" s="69">
        <f>IF(acumulado_porcentaje[[#This Row],[contar]]&gt;2,SUM(SMALL(acumulado_porcentaje[[#This Row],[Ene 2024]:[May 2024]],1),SMALL(acumulado_porcentaje[[#This Row],[Ene 2024]:[May 2024]],2),SMALL(acumulado_porcentaje[[#This Row],[Ene 2024]:[May 2024]],3)),"#N/A")</f>
        <v>0.82759445135025489</v>
      </c>
      <c r="I12" t="str">
        <f>acumulado_porcentaje[[#This Row],[Nombre ]]&amp;" ("&amp;acumulado_porcentaje[[#This Row],[contar]]&amp;")"</f>
        <v>Roque Alonso Alonso (5)</v>
      </c>
      <c r="K12" s="74">
        <f>ROW(acumulado_porcentaje[[#This Row],[Clasificación]])</f>
        <v>12</v>
      </c>
      <c r="L12" s="74" t="str">
        <f t="shared" si="0"/>
        <v>E12</v>
      </c>
      <c r="M12" s="45">
        <f ca="1">LARGE(B12:INDIRECT(L12),1)</f>
        <v>0.66788588149231898</v>
      </c>
      <c r="N12" s="45">
        <f ca="1">LARGE(B12:INDIRECT(L12),2)</f>
        <v>0.63500000000000012</v>
      </c>
      <c r="O12" s="45">
        <f ca="1">SUMIFS(B12:INDIRECT(L12),B12:INDIRECT(L12),"&lt;&gt;"&amp;M12,B12:INDIRECT(L12),"&lt;&gt;"&amp;N12)</f>
        <v>0.51396242084501187</v>
      </c>
    </row>
    <row r="13" spans="1:15" x14ac:dyDescent="0.2">
      <c r="A13" s="47" t="s">
        <v>543</v>
      </c>
      <c r="B13" s="47"/>
      <c r="C13" s="47">
        <v>0.68</v>
      </c>
      <c r="D13" s="47">
        <v>0.34319526627218921</v>
      </c>
      <c r="E13" s="47">
        <v>0.39502560351133875</v>
      </c>
      <c r="F13">
        <v>9.0562440419447027E-2</v>
      </c>
      <c r="G13" s="47">
        <f>5- COUNTIF(acumulado_porcentaje[[#This Row],[Ene 2024]:[May 2024]],"")</f>
        <v>4</v>
      </c>
      <c r="H13" s="69">
        <f>IF(acumulado_porcentaje[[#This Row],[contar]]&gt;2,SUM(SMALL(acumulado_porcentaje[[#This Row],[Ene 2024]:[May 2024]],1),SMALL(acumulado_porcentaje[[#This Row],[Ene 2024]:[May 2024]],2),SMALL(acumulado_porcentaje[[#This Row],[Ene 2024]:[May 2024]],3)),"#N/A")</f>
        <v>0.82878331020297502</v>
      </c>
      <c r="I13" t="str">
        <f>acumulado_porcentaje[[#This Row],[Nombre ]]&amp;" ("&amp;acumulado_porcentaje[[#This Row],[contar]]&amp;")"</f>
        <v>Roberto Parro Cortés (4)</v>
      </c>
      <c r="K13" s="74">
        <f>ROW(acumulado_porcentaje[[#This Row],[Clasificación]])</f>
        <v>13</v>
      </c>
      <c r="L13" s="74" t="str">
        <f t="shared" si="0"/>
        <v>E13</v>
      </c>
      <c r="M13" s="45">
        <f ca="1">LARGE(B13:INDIRECT(L13),1)</f>
        <v>0.68</v>
      </c>
      <c r="N13" s="45">
        <f ca="1">LARGE(B13:INDIRECT(L13),2)</f>
        <v>0.39502560351133875</v>
      </c>
      <c r="O13" s="45">
        <f ca="1">SUMIFS(B13:INDIRECT(L13),B13:INDIRECT(L13),"&lt;&gt;"&amp;M13,B13:INDIRECT(L13),"&lt;&gt;"&amp;N13)</f>
        <v>0.34319526627218921</v>
      </c>
    </row>
    <row r="14" spans="1:15" x14ac:dyDescent="0.2">
      <c r="A14" s="47" t="s">
        <v>362</v>
      </c>
      <c r="B14" s="47">
        <v>2.6990553306343165E-3</v>
      </c>
      <c r="C14" s="47">
        <v>0.74624999999999986</v>
      </c>
      <c r="D14" s="47">
        <v>0.75542406311637078</v>
      </c>
      <c r="E14" s="47">
        <v>0.77029992684711046</v>
      </c>
      <c r="F14">
        <v>0.10073085478233232</v>
      </c>
      <c r="G14" s="47">
        <f>5- COUNTIF(acumulado_porcentaje[[#This Row],[Ene 2024]:[May 2024]],"")</f>
        <v>5</v>
      </c>
      <c r="H14" s="69">
        <f>IF(acumulado_porcentaje[[#This Row],[contar]]&gt;2,SUM(SMALL(acumulado_porcentaje[[#This Row],[Ene 2024]:[May 2024]],1),SMALL(acumulado_porcentaje[[#This Row],[Ene 2024]:[May 2024]],2),SMALL(acumulado_porcentaje[[#This Row],[Ene 2024]:[May 2024]],3)),"#N/A")</f>
        <v>0.84967991011296651</v>
      </c>
      <c r="I14" t="str">
        <f>acumulado_porcentaje[[#This Row],[Nombre ]]&amp;" ("&amp;acumulado_porcentaje[[#This Row],[contar]]&amp;")"</f>
        <v>Inés Monroy (5)</v>
      </c>
      <c r="K14" s="74">
        <f>ROW(acumulado_porcentaje[[#This Row],[Clasificación]])</f>
        <v>14</v>
      </c>
      <c r="L14" s="74" t="str">
        <f t="shared" si="0"/>
        <v>E14</v>
      </c>
      <c r="M14" s="45">
        <f ca="1">LARGE(B14:INDIRECT(L14),1)</f>
        <v>0.77029992684711046</v>
      </c>
      <c r="N14" s="45">
        <f ca="1">LARGE(B14:INDIRECT(L14),2)</f>
        <v>0.75542406311637078</v>
      </c>
      <c r="O14" s="45">
        <f ca="1">SUMIFS(B14:INDIRECT(L14),B14:INDIRECT(L14),"&lt;&gt;"&amp;M14,B14:INDIRECT(L14),"&lt;&gt;"&amp;N14)</f>
        <v>0.74894905533063416</v>
      </c>
    </row>
    <row r="15" spans="1:15" x14ac:dyDescent="0.2">
      <c r="A15" s="47" t="s">
        <v>335</v>
      </c>
      <c r="B15" s="47">
        <v>7.0175438596491266E-2</v>
      </c>
      <c r="C15" s="47">
        <v>0.7024999999999999</v>
      </c>
      <c r="D15" s="47"/>
      <c r="E15" s="47"/>
      <c r="F15">
        <v>8.7067047982205339E-2</v>
      </c>
      <c r="G15" s="47">
        <f>5- COUNTIF(acumulado_porcentaje[[#This Row],[Ene 2024]:[May 2024]],"")</f>
        <v>3</v>
      </c>
      <c r="H15" s="69">
        <f>IF(acumulado_porcentaje[[#This Row],[contar]]&gt;2,SUM(SMALL(acumulado_porcentaje[[#This Row],[Ene 2024]:[May 2024]],1),SMALL(acumulado_porcentaje[[#This Row],[Ene 2024]:[May 2024]],2),SMALL(acumulado_porcentaje[[#This Row],[Ene 2024]:[May 2024]],3)),"#N/A")</f>
        <v>0.85974248657869645</v>
      </c>
      <c r="I15" t="str">
        <f>acumulado_porcentaje[[#This Row],[Nombre ]]&amp;" ("&amp;acumulado_porcentaje[[#This Row],[contar]]&amp;")"</f>
        <v>Carlos Callejón (3)</v>
      </c>
      <c r="K15" s="74">
        <f>ROW(acumulado_porcentaje[[#This Row],[Clasificación]])</f>
        <v>15</v>
      </c>
      <c r="L15" s="74" t="str">
        <f t="shared" si="0"/>
        <v>E15</v>
      </c>
      <c r="M15" s="45">
        <f ca="1">LARGE(B15:INDIRECT(L15),1)</f>
        <v>0.7024999999999999</v>
      </c>
      <c r="N15" s="45">
        <f ca="1">LARGE(B15:INDIRECT(L15),2)</f>
        <v>7.0175438596491266E-2</v>
      </c>
      <c r="O15" s="45">
        <f ca="1">SUMIFS(B15:INDIRECT(L15),B15:INDIRECT(L15),"&lt;&gt;"&amp;M15,B15:INDIRECT(L15),"&lt;&gt;"&amp;N15)</f>
        <v>0</v>
      </c>
    </row>
    <row r="16" spans="1:15" x14ac:dyDescent="0.2">
      <c r="A16" s="47" t="s">
        <v>9</v>
      </c>
      <c r="B16" s="47">
        <v>7.9622132253711286E-2</v>
      </c>
      <c r="C16" s="47">
        <v>0.7</v>
      </c>
      <c r="D16" s="47">
        <v>1.2189349112426033</v>
      </c>
      <c r="E16" s="47">
        <v>1.9261155815654718</v>
      </c>
      <c r="F16">
        <v>0.11217032094057837</v>
      </c>
      <c r="G16" s="47">
        <f>5- COUNTIF(acumulado_porcentaje[[#This Row],[Ene 2024]:[May 2024]],"")</f>
        <v>5</v>
      </c>
      <c r="H16" s="69">
        <f>IF(acumulado_porcentaje[[#This Row],[contar]]&gt;2,SUM(SMALL(acumulado_porcentaje[[#This Row],[Ene 2024]:[May 2024]],1),SMALL(acumulado_porcentaje[[#This Row],[Ene 2024]:[May 2024]],2),SMALL(acumulado_porcentaje[[#This Row],[Ene 2024]:[May 2024]],3)),"#N/A")</f>
        <v>0.89179245319428957</v>
      </c>
      <c r="I16" t="str">
        <f>acumulado_porcentaje[[#This Row],[Nombre ]]&amp;" ("&amp;acumulado_porcentaje[[#This Row],[contar]]&amp;")"</f>
        <v>Alfonso Zárate Conde (5)</v>
      </c>
      <c r="K16" s="74">
        <f>ROW(acumulado_porcentaje[[#This Row],[Clasificación]])</f>
        <v>16</v>
      </c>
      <c r="L16" s="74" t="str">
        <f t="shared" si="0"/>
        <v>E16</v>
      </c>
      <c r="M16" s="45">
        <f ca="1">LARGE(B16:INDIRECT(L16),1)</f>
        <v>1.9261155815654718</v>
      </c>
      <c r="N16" s="45">
        <f ca="1">LARGE(B16:INDIRECT(L16),2)</f>
        <v>1.2189349112426033</v>
      </c>
      <c r="O16" s="45">
        <f ca="1">SUMIFS(B16:INDIRECT(L16),B16:INDIRECT(L16),"&lt;&gt;"&amp;M16,B16:INDIRECT(L16),"&lt;&gt;"&amp;N16)</f>
        <v>0.77962213225371124</v>
      </c>
    </row>
    <row r="17" spans="1:15" x14ac:dyDescent="0.2">
      <c r="A17" s="47" t="s">
        <v>409</v>
      </c>
      <c r="B17" s="47">
        <v>0.10242914979757091</v>
      </c>
      <c r="C17" s="47">
        <v>0.74050000000000016</v>
      </c>
      <c r="D17" s="47">
        <v>1.7460552268244574</v>
      </c>
      <c r="E17" s="47">
        <v>1.7468910021945863</v>
      </c>
      <c r="F17">
        <v>5.6561804893549339E-2</v>
      </c>
      <c r="G17" s="47">
        <f>5- COUNTIF(acumulado_porcentaje[[#This Row],[Ene 2024]:[May 2024]],"")</f>
        <v>5</v>
      </c>
      <c r="H17" s="69">
        <f>IF(acumulado_porcentaje[[#This Row],[contar]]&gt;2,SUM(SMALL(acumulado_porcentaje[[#This Row],[Ene 2024]:[May 2024]],1),SMALL(acumulado_porcentaje[[#This Row],[Ene 2024]:[May 2024]],2),SMALL(acumulado_porcentaje[[#This Row],[Ene 2024]:[May 2024]],3)),"#N/A")</f>
        <v>0.89949095469112039</v>
      </c>
      <c r="I17" t="str">
        <f>acumulado_porcentaje[[#This Row],[Nombre ]]&amp;" ("&amp;acumulado_porcentaje[[#This Row],[contar]]&amp;")"</f>
        <v>Gladys Rocha Blanco (5)</v>
      </c>
      <c r="K17" s="74">
        <f>ROW(acumulado_porcentaje[[#This Row],[Clasificación]])</f>
        <v>17</v>
      </c>
      <c r="L17" s="74" t="str">
        <f t="shared" si="0"/>
        <v>E17</v>
      </c>
      <c r="M17" s="45">
        <f ca="1">LARGE(B17:INDIRECT(L17),1)</f>
        <v>1.7468910021945863</v>
      </c>
      <c r="N17" s="45">
        <f ca="1">LARGE(B17:INDIRECT(L17),2)</f>
        <v>1.7460552268244574</v>
      </c>
      <c r="O17" s="45">
        <f ca="1">SUMIFS(B17:INDIRECT(L17),B17:INDIRECT(L17),"&lt;&gt;"&amp;M17,B17:INDIRECT(L17),"&lt;&gt;"&amp;N17)</f>
        <v>0.84292914979757105</v>
      </c>
    </row>
    <row r="18" spans="1:15" x14ac:dyDescent="0.2">
      <c r="A18" s="47" t="s">
        <v>218</v>
      </c>
      <c r="B18" s="47">
        <v>0.15249662618083687</v>
      </c>
      <c r="C18" s="47">
        <v>0.61149999999999982</v>
      </c>
      <c r="D18" s="47">
        <v>0.30670611439842199</v>
      </c>
      <c r="E18" s="47">
        <v>0.89465983906364288</v>
      </c>
      <c r="F18">
        <v>0.50746742929774391</v>
      </c>
      <c r="G18" s="47">
        <f>5- COUNTIF(acumulado_porcentaje[[#This Row],[Ene 2024]:[May 2024]],"")</f>
        <v>5</v>
      </c>
      <c r="H18" s="69">
        <f>IF(acumulado_porcentaje[[#This Row],[contar]]&gt;2,SUM(SMALL(acumulado_porcentaje[[#This Row],[Ene 2024]:[May 2024]],1),SMALL(acumulado_porcentaje[[#This Row],[Ene 2024]:[May 2024]],2),SMALL(acumulado_porcentaje[[#This Row],[Ene 2024]:[May 2024]],3)),"#N/A")</f>
        <v>0.96667016987700283</v>
      </c>
      <c r="I18" s="47" t="str">
        <f>acumulado_porcentaje[[#This Row],[Nombre ]]&amp;" ("&amp;acumulado_porcentaje[[#This Row],[contar]]&amp;")"</f>
        <v>Jorge Antonio González Sánchez (5)</v>
      </c>
      <c r="K18" s="74">
        <f>ROW(acumulado_porcentaje[[#This Row],[Clasificación]])</f>
        <v>18</v>
      </c>
      <c r="L18" s="74" t="str">
        <f t="shared" si="0"/>
        <v>E18</v>
      </c>
      <c r="M18" s="45">
        <f ca="1">LARGE(B18:INDIRECT(L18),1)</f>
        <v>0.89465983906364288</v>
      </c>
      <c r="N18" s="45">
        <f ca="1">LARGE(B18:INDIRECT(L18),2)</f>
        <v>0.61149999999999982</v>
      </c>
      <c r="O18" s="45">
        <f ca="1">SUMIFS(B18:INDIRECT(L18),B18:INDIRECT(L18),"&lt;&gt;"&amp;M18,B18:INDIRECT(L18),"&lt;&gt;"&amp;N18)</f>
        <v>0.45920274057925886</v>
      </c>
    </row>
    <row r="19" spans="1:15" x14ac:dyDescent="0.2">
      <c r="A19" s="47" t="s">
        <v>219</v>
      </c>
      <c r="B19" s="47">
        <v>0.18866396761133611</v>
      </c>
      <c r="C19" s="47">
        <v>0.74224999999999997</v>
      </c>
      <c r="D19" s="47">
        <v>0.80769230769230738</v>
      </c>
      <c r="E19" s="47"/>
      <c r="F19">
        <v>5.9739434381951145E-2</v>
      </c>
      <c r="G19" s="47">
        <f>5- COUNTIF(acumulado_porcentaje[[#This Row],[Ene 2024]:[May 2024]],"")</f>
        <v>4</v>
      </c>
      <c r="H19" s="69">
        <f>IF(acumulado_porcentaje[[#This Row],[contar]]&gt;2,SUM(SMALL(acumulado_porcentaje[[#This Row],[Ene 2024]:[May 2024]],1),SMALL(acumulado_porcentaje[[#This Row],[Ene 2024]:[May 2024]],2),SMALL(acumulado_porcentaje[[#This Row],[Ene 2024]:[May 2024]],3)),"#N/A")</f>
        <v>0.99065340199328722</v>
      </c>
      <c r="I19" t="str">
        <f>acumulado_porcentaje[[#This Row],[Nombre ]]&amp;" ("&amp;acumulado_porcentaje[[#This Row],[contar]]&amp;")"</f>
        <v>Jaime Larrañaga Juez (4)</v>
      </c>
      <c r="K19" s="74">
        <f>ROW(acumulado_porcentaje[[#This Row],[Clasificación]])</f>
        <v>19</v>
      </c>
      <c r="L19" s="74" t="str">
        <f t="shared" si="0"/>
        <v>E19</v>
      </c>
      <c r="M19" s="45">
        <f ca="1">LARGE(B19:INDIRECT(L19),1)</f>
        <v>0.80769230769230738</v>
      </c>
      <c r="N19" s="45">
        <f ca="1">LARGE(B19:INDIRECT(L19),2)</f>
        <v>0.74224999999999997</v>
      </c>
      <c r="O19" s="45">
        <f ca="1">SUMIFS(B19:INDIRECT(L19),B19:INDIRECT(L19),"&lt;&gt;"&amp;M19,B19:INDIRECT(L19),"&lt;&gt;"&amp;N19)</f>
        <v>0.18866396761133611</v>
      </c>
    </row>
    <row r="20" spans="1:15" x14ac:dyDescent="0.2">
      <c r="A20" s="47" t="s">
        <v>217</v>
      </c>
      <c r="B20" s="47">
        <v>0.19703103913630224</v>
      </c>
      <c r="C20" s="47">
        <v>0.74899999999999989</v>
      </c>
      <c r="D20" s="47">
        <v>1.2194280078895461</v>
      </c>
      <c r="E20" s="47">
        <v>1.4381858083394292</v>
      </c>
      <c r="F20">
        <v>5.9103908484270717E-2</v>
      </c>
      <c r="G20" s="47">
        <f>5- COUNTIF(acumulado_porcentaje[[#This Row],[Ene 2024]:[May 2024]],"")</f>
        <v>5</v>
      </c>
      <c r="H20" s="69">
        <f>IF(acumulado_porcentaje[[#This Row],[contar]]&gt;2,SUM(SMALL(acumulado_porcentaje[[#This Row],[Ene 2024]:[May 2024]],1),SMALL(acumulado_porcentaje[[#This Row],[Ene 2024]:[May 2024]],2),SMALL(acumulado_porcentaje[[#This Row],[Ene 2024]:[May 2024]],3)),"#N/A")</f>
        <v>1.0051349476205729</v>
      </c>
      <c r="I20" t="str">
        <f>acumulado_porcentaje[[#This Row],[Nombre ]]&amp;" ("&amp;acumulado_porcentaje[[#This Row],[contar]]&amp;")"</f>
        <v>Fernando Sánchez-Rey Maeso (5)</v>
      </c>
      <c r="K20" s="74">
        <f>ROW(acumulado_porcentaje[[#This Row],[Clasificación]])</f>
        <v>20</v>
      </c>
      <c r="L20" s="74" t="str">
        <f t="shared" si="0"/>
        <v>E20</v>
      </c>
      <c r="M20" s="45">
        <f ca="1">LARGE(B20:INDIRECT(L20),1)</f>
        <v>1.4381858083394292</v>
      </c>
      <c r="N20" s="45">
        <f ca="1">LARGE(B20:INDIRECT(L20),2)</f>
        <v>1.2194280078895461</v>
      </c>
      <c r="O20" s="45">
        <f ca="1">SUMIFS(B20:INDIRECT(L20),B20:INDIRECT(L20),"&lt;&gt;"&amp;M20,B20:INDIRECT(L20),"&lt;&gt;"&amp;N20)</f>
        <v>0.94603103913630215</v>
      </c>
    </row>
    <row r="21" spans="1:15" x14ac:dyDescent="0.2">
      <c r="A21" s="47" t="s">
        <v>215</v>
      </c>
      <c r="B21" s="47">
        <v>4.8582995951417123E-2</v>
      </c>
      <c r="C21" s="47">
        <v>0.72375000000000012</v>
      </c>
      <c r="D21" s="47"/>
      <c r="E21" s="47">
        <v>2.2553035844915872</v>
      </c>
      <c r="F21">
        <v>0.30600571973307922</v>
      </c>
      <c r="G21" s="47">
        <f>5- COUNTIF(acumulado_porcentaje[[#This Row],[Ene 2024]:[May 2024]],"")</f>
        <v>4</v>
      </c>
      <c r="H21" s="69">
        <f>IF(acumulado_porcentaje[[#This Row],[contar]]&gt;2,SUM(SMALL(acumulado_porcentaje[[#This Row],[Ene 2024]:[May 2024]],1),SMALL(acumulado_porcentaje[[#This Row],[Ene 2024]:[May 2024]],2),SMALL(acumulado_porcentaje[[#This Row],[Ene 2024]:[May 2024]],3)),"#N/A")</f>
        <v>1.0783387156844966</v>
      </c>
      <c r="I21" t="str">
        <f>acumulado_porcentaje[[#This Row],[Nombre ]]&amp;" ("&amp;acumulado_porcentaje[[#This Row],[contar]]&amp;")"</f>
        <v>Carles Estruch Puig (4)</v>
      </c>
      <c r="K21" s="74">
        <f>ROW(acumulado_porcentaje[[#This Row],[Clasificación]])</f>
        <v>21</v>
      </c>
      <c r="L21" s="74" t="str">
        <f t="shared" si="0"/>
        <v>E21</v>
      </c>
      <c r="M21" s="45">
        <f ca="1">LARGE(B21:INDIRECT(L21),1)</f>
        <v>2.2553035844915872</v>
      </c>
      <c r="N21" s="45">
        <f ca="1">LARGE(B21:INDIRECT(L21),2)</f>
        <v>0.72375000000000012</v>
      </c>
      <c r="O21" s="45">
        <f ca="1">SUMIFS(B21:INDIRECT(L21),B21:INDIRECT(L21),"&lt;&gt;"&amp;M21,B21:INDIRECT(L21),"&lt;&gt;"&amp;N21)</f>
        <v>4.8582995951417123E-2</v>
      </c>
    </row>
    <row r="22" spans="1:15" x14ac:dyDescent="0.2">
      <c r="A22" s="47" t="s">
        <v>411</v>
      </c>
      <c r="B22" s="47">
        <v>0.38704453441295561</v>
      </c>
      <c r="C22" s="47"/>
      <c r="D22" s="47"/>
      <c r="E22" s="47">
        <v>0.74762253108997812</v>
      </c>
      <c r="F22">
        <v>0.30028598665395612</v>
      </c>
      <c r="G22" s="47">
        <f>5- COUNTIF(acumulado_porcentaje[[#This Row],[Ene 2024]:[May 2024]],"")</f>
        <v>3</v>
      </c>
      <c r="H22" s="69">
        <f>IF(acumulado_porcentaje[[#This Row],[contar]]&gt;2,SUM(SMALL(acumulado_porcentaje[[#This Row],[Ene 2024]:[May 2024]],1),SMALL(acumulado_porcentaje[[#This Row],[Ene 2024]:[May 2024]],2),SMALL(acumulado_porcentaje[[#This Row],[Ene 2024]:[May 2024]],3)),"#N/A")</f>
        <v>1.4349530521568898</v>
      </c>
      <c r="I22" t="str">
        <f>acumulado_porcentaje[[#This Row],[Nombre ]]&amp;" ("&amp;acumulado_porcentaje[[#This Row],[contar]]&amp;")"</f>
        <v>Jonathan Pazmiño Espinoza (3)</v>
      </c>
      <c r="K22" s="74">
        <f>ROW(acumulado_porcentaje[[#This Row],[Clasificación]])</f>
        <v>22</v>
      </c>
      <c r="L22" s="74" t="str">
        <f t="shared" ref="L22:L33" si="1">$C$81&amp;K22</f>
        <v>E22</v>
      </c>
      <c r="M22" s="45">
        <f ca="1">LARGE(B22:INDIRECT(L22),1)</f>
        <v>0.74762253108997812</v>
      </c>
      <c r="N22" s="45">
        <f ca="1">LARGE(B22:INDIRECT(L22),2)</f>
        <v>0.38704453441295561</v>
      </c>
      <c r="O22" s="45">
        <f ca="1">SUMIFS(B22:INDIRECT(L22),B22:INDIRECT(L22),"&lt;&gt;"&amp;M22,B22:INDIRECT(L22),"&lt;&gt;"&amp;N22)</f>
        <v>0</v>
      </c>
    </row>
    <row r="23" spans="1:15" x14ac:dyDescent="0.2">
      <c r="A23" s="47" t="s">
        <v>414</v>
      </c>
      <c r="B23" s="47"/>
      <c r="C23" s="47">
        <v>0.6087499999999999</v>
      </c>
      <c r="D23" s="47">
        <v>0.74211045364891504</v>
      </c>
      <c r="E23" s="47">
        <v>0.71982443306510624</v>
      </c>
      <c r="F23">
        <v>0.10708611375913561</v>
      </c>
      <c r="G23" s="47">
        <f>5- COUNTIF(acumulado_porcentaje[[#This Row],[Ene 2024]:[May 2024]],"")</f>
        <v>4</v>
      </c>
      <c r="H23" s="69">
        <f>IF(acumulado_porcentaje[[#This Row],[contar]]&gt;2,SUM(SMALL(acumulado_porcentaje[[#This Row],[Ene 2024]:[May 2024]],1),SMALL(acumulado_porcentaje[[#This Row],[Ene 2024]:[May 2024]],2),SMALL(acumulado_porcentaje[[#This Row],[Ene 2024]:[May 2024]],3)),"#N/A")</f>
        <v>1.4356605468242418</v>
      </c>
      <c r="I23" t="str">
        <f>acumulado_porcentaje[[#This Row],[Nombre ]]&amp;" ("&amp;acumulado_porcentaje[[#This Row],[contar]]&amp;")"</f>
        <v>Laura Gómez López (4)</v>
      </c>
      <c r="K23" s="74">
        <f>ROW(acumulado_porcentaje[[#This Row],[Clasificación]])</f>
        <v>23</v>
      </c>
      <c r="L23" s="74" t="str">
        <f t="shared" si="1"/>
        <v>E23</v>
      </c>
      <c r="M23" s="45">
        <f ca="1">LARGE(B23:INDIRECT(L23),1)</f>
        <v>0.74211045364891504</v>
      </c>
      <c r="N23" s="45">
        <f ca="1">LARGE(B23:INDIRECT(L23),2)</f>
        <v>0.71982443306510624</v>
      </c>
      <c r="O23" s="45">
        <f ca="1">SUMIFS(B23:INDIRECT(L23),B23:INDIRECT(L23),"&lt;&gt;"&amp;M23,B23:INDIRECT(L23),"&lt;&gt;"&amp;N23)</f>
        <v>0.6087499999999999</v>
      </c>
    </row>
    <row r="24" spans="1:15" x14ac:dyDescent="0.2">
      <c r="A24" s="47" t="s">
        <v>225</v>
      </c>
      <c r="B24" s="47">
        <v>0.15141700404858299</v>
      </c>
      <c r="C24" s="47">
        <v>0.80625000000000002</v>
      </c>
      <c r="D24" s="47">
        <v>1.2795857988165678</v>
      </c>
      <c r="E24" s="47">
        <v>0.70592538405267014</v>
      </c>
      <c r="F24">
        <v>0.64696536383857639</v>
      </c>
      <c r="G24" s="47">
        <f>5- COUNTIF(acumulado_porcentaje[[#This Row],[Ene 2024]:[May 2024]],"")</f>
        <v>5</v>
      </c>
      <c r="H24" s="69">
        <f>IF(acumulado_porcentaje[[#This Row],[contar]]&gt;2,SUM(SMALL(acumulado_porcentaje[[#This Row],[Ene 2024]:[May 2024]],1),SMALL(acumulado_porcentaje[[#This Row],[Ene 2024]:[May 2024]],2),SMALL(acumulado_porcentaje[[#This Row],[Ene 2024]:[May 2024]],3)),"#N/A")</f>
        <v>1.5043077519398294</v>
      </c>
      <c r="I24" t="str">
        <f>acumulado_porcentaje[[#This Row],[Nombre ]]&amp;" ("&amp;acumulado_porcentaje[[#This Row],[contar]]&amp;")"</f>
        <v>Elena Muñoz Vioque (5)</v>
      </c>
      <c r="K24" s="74">
        <f>ROW(acumulado_porcentaje[[#This Row],[Clasificación]])</f>
        <v>24</v>
      </c>
      <c r="L24" s="74" t="str">
        <f t="shared" si="1"/>
        <v>E24</v>
      </c>
      <c r="M24" s="45">
        <f ca="1">LARGE(B24:INDIRECT(L24),1)</f>
        <v>1.2795857988165678</v>
      </c>
      <c r="N24" s="45">
        <f ca="1">LARGE(B24:INDIRECT(L24),2)</f>
        <v>0.80625000000000002</v>
      </c>
      <c r="O24" s="45">
        <f ca="1">SUMIFS(B24:INDIRECT(L24),B24:INDIRECT(L24),"&lt;&gt;"&amp;M24,B24:INDIRECT(L24),"&lt;&gt;"&amp;N24)</f>
        <v>0.85734238810125318</v>
      </c>
    </row>
    <row r="25" spans="1:15" x14ac:dyDescent="0.2">
      <c r="A25" s="47" t="s">
        <v>242</v>
      </c>
      <c r="B25" s="47">
        <v>0.18353576248313083</v>
      </c>
      <c r="C25" s="47"/>
      <c r="D25" s="47"/>
      <c r="E25" s="47">
        <v>0.60936356986100948</v>
      </c>
      <c r="F25">
        <v>0.7616777883698761</v>
      </c>
      <c r="G25" s="47">
        <f>5- COUNTIF(acumulado_porcentaje[[#This Row],[Ene 2024]:[May 2024]],"")</f>
        <v>3</v>
      </c>
      <c r="H25" s="69">
        <f>IF(acumulado_porcentaje[[#This Row],[contar]]&gt;2,SUM(SMALL(acumulado_porcentaje[[#This Row],[Ene 2024]:[May 2024]],1),SMALL(acumulado_porcentaje[[#This Row],[Ene 2024]:[May 2024]],2),SMALL(acumulado_porcentaje[[#This Row],[Ene 2024]:[May 2024]],3)),"#N/A")</f>
        <v>1.5545771207140164</v>
      </c>
      <c r="I25" t="str">
        <f>acumulado_porcentaje[[#This Row],[Nombre ]]&amp;" ("&amp;acumulado_porcentaje[[#This Row],[contar]]&amp;")"</f>
        <v>Javier Espelta (3)</v>
      </c>
      <c r="K25" s="74">
        <f>ROW(acumulado_porcentaje[[#This Row],[Clasificación]])</f>
        <v>25</v>
      </c>
      <c r="L25" s="74" t="str">
        <f t="shared" si="1"/>
        <v>E25</v>
      </c>
      <c r="M25" s="45">
        <f ca="1">LARGE(B25:INDIRECT(L25),1)</f>
        <v>0.60936356986100948</v>
      </c>
      <c r="N25" s="45">
        <f ca="1">LARGE(B25:INDIRECT(L25),2)</f>
        <v>0.18353576248313083</v>
      </c>
      <c r="O25" s="45">
        <f ca="1">SUMIFS(B25:INDIRECT(L25),B25:INDIRECT(L25),"&lt;&gt;"&amp;M25,B25:INDIRECT(L25),"&lt;&gt;"&amp;N25)</f>
        <v>0</v>
      </c>
    </row>
    <row r="26" spans="1:15" x14ac:dyDescent="0.2">
      <c r="A26" s="47" t="s">
        <v>364</v>
      </c>
      <c r="B26" s="47"/>
      <c r="C26" s="47">
        <v>0.77525000000000011</v>
      </c>
      <c r="D26" s="47">
        <v>1.3505917159763312</v>
      </c>
      <c r="E26" s="47">
        <v>0.80760790051207032</v>
      </c>
      <c r="F26">
        <v>1.302828090244678E-2</v>
      </c>
      <c r="G26" s="47">
        <f>5- COUNTIF(acumulado_porcentaje[[#This Row],[Ene 2024]:[May 2024]],"")</f>
        <v>4</v>
      </c>
      <c r="H26" s="69">
        <f>IF(acumulado_porcentaje[[#This Row],[contar]]&gt;2,SUM(SMALL(acumulado_porcentaje[[#This Row],[Ene 2024]:[May 2024]],1),SMALL(acumulado_porcentaje[[#This Row],[Ene 2024]:[May 2024]],2),SMALL(acumulado_porcentaje[[#This Row],[Ene 2024]:[May 2024]],3)),"#N/A")</f>
        <v>1.5958861814145173</v>
      </c>
      <c r="I26" t="str">
        <f>acumulado_porcentaje[[#This Row],[Nombre ]]&amp;" ("&amp;acumulado_porcentaje[[#This Row],[contar]]&amp;")"</f>
        <v>Marcos Fortea Escolano (4)</v>
      </c>
      <c r="K26" s="74">
        <f>ROW(acumulado_porcentaje[[#This Row],[Clasificación]])</f>
        <v>26</v>
      </c>
      <c r="L26" s="74" t="str">
        <f t="shared" si="1"/>
        <v>E26</v>
      </c>
      <c r="M26" s="45">
        <f ca="1">LARGE(B26:INDIRECT(L26),1)</f>
        <v>1.3505917159763312</v>
      </c>
      <c r="N26" s="45">
        <f ca="1">LARGE(B26:INDIRECT(L26),2)</f>
        <v>0.80760790051207032</v>
      </c>
      <c r="O26" s="45">
        <f ca="1">SUMIFS(B26:INDIRECT(L26),B26:INDIRECT(L26),"&lt;&gt;"&amp;M26,B26:INDIRECT(L26),"&lt;&gt;"&amp;N26)</f>
        <v>0.77525000000000011</v>
      </c>
    </row>
    <row r="27" spans="1:15" x14ac:dyDescent="0.2">
      <c r="A27" s="47" t="s">
        <v>412</v>
      </c>
      <c r="B27" s="47">
        <v>9.4197031039136361E-2</v>
      </c>
      <c r="C27" s="47">
        <v>0.99499999999999988</v>
      </c>
      <c r="D27" s="47">
        <v>2.0414201183431953</v>
      </c>
      <c r="E27" s="47">
        <v>5.5032918800292618</v>
      </c>
      <c r="F27">
        <v>0.54432793136320312</v>
      </c>
      <c r="G27" s="47">
        <f>5- COUNTIF(acumulado_porcentaje[[#This Row],[Ene 2024]:[May 2024]],"")</f>
        <v>5</v>
      </c>
      <c r="H27" s="69">
        <f>IF(acumulado_porcentaje[[#This Row],[contar]]&gt;2,SUM(SMALL(acumulado_porcentaje[[#This Row],[Ene 2024]:[May 2024]],1),SMALL(acumulado_porcentaje[[#This Row],[Ene 2024]:[May 2024]],2),SMALL(acumulado_porcentaje[[#This Row],[Ene 2024]:[May 2024]],3)),"#N/A")</f>
        <v>1.6335249624023394</v>
      </c>
      <c r="I27" t="str">
        <f>acumulado_porcentaje[[#This Row],[Nombre ]]&amp;" ("&amp;acumulado_porcentaje[[#This Row],[contar]]&amp;")"</f>
        <v>Jose Manuel Otero López (5)</v>
      </c>
      <c r="K27" s="74">
        <f>ROW(acumulado_porcentaje[[#This Row],[Clasificación]])</f>
        <v>27</v>
      </c>
      <c r="L27" s="74" t="str">
        <f t="shared" si="1"/>
        <v>E27</v>
      </c>
      <c r="M27" s="45">
        <f ca="1">LARGE(B27:INDIRECT(L27),1)</f>
        <v>5.5032918800292618</v>
      </c>
      <c r="N27" s="45">
        <f ca="1">LARGE(B27:INDIRECT(L27),2)</f>
        <v>2.0414201183431953</v>
      </c>
      <c r="O27" s="45">
        <f ca="1">SUMIFS(B27:INDIRECT(L27),B27:INDIRECT(L27),"&lt;&gt;"&amp;M27,B27:INDIRECT(L27),"&lt;&gt;"&amp;N27)</f>
        <v>1.0891970310391363</v>
      </c>
    </row>
    <row r="28" spans="1:15" x14ac:dyDescent="0.2">
      <c r="A28" s="47" t="s">
        <v>328</v>
      </c>
      <c r="B28" s="47"/>
      <c r="C28" s="47">
        <v>0.63000000000000012</v>
      </c>
      <c r="D28" s="47"/>
      <c r="E28" s="47">
        <v>1.0190197512801757</v>
      </c>
      <c r="F28">
        <v>4.6711153479504254E-2</v>
      </c>
      <c r="G28" s="47">
        <f>5- COUNTIF(acumulado_porcentaje[[#This Row],[Ene 2024]:[May 2024]],"")</f>
        <v>3</v>
      </c>
      <c r="H28" s="69">
        <f>IF(acumulado_porcentaje[[#This Row],[contar]]&gt;2,SUM(SMALL(acumulado_porcentaje[[#This Row],[Ene 2024]:[May 2024]],1),SMALL(acumulado_porcentaje[[#This Row],[Ene 2024]:[May 2024]],2),SMALL(acumulado_porcentaje[[#This Row],[Ene 2024]:[May 2024]],3)),"#N/A")</f>
        <v>1.6957309047596802</v>
      </c>
      <c r="I28" t="str">
        <f>acumulado_porcentaje[[#This Row],[Nombre ]]&amp;" ("&amp;acumulado_porcentaje[[#This Row],[contar]]&amp;")"</f>
        <v>Aitor Folch (3)</v>
      </c>
      <c r="K28" s="74">
        <f>ROW(acumulado_porcentaje[[#This Row],[Clasificación]])</f>
        <v>28</v>
      </c>
      <c r="L28" s="74" t="str">
        <f t="shared" si="1"/>
        <v>E28</v>
      </c>
      <c r="M28" s="45">
        <f ca="1">LARGE(B28:INDIRECT(L28),1)</f>
        <v>1.0190197512801757</v>
      </c>
      <c r="N28" s="45">
        <f ca="1">LARGE(B28:INDIRECT(L28),2)</f>
        <v>0.63000000000000012</v>
      </c>
      <c r="O28" s="45">
        <f ca="1">SUMIFS(B28:INDIRECT(L28),B28:INDIRECT(L28),"&lt;&gt;"&amp;M28,B28:INDIRECT(L28),"&lt;&gt;"&amp;N28)</f>
        <v>0</v>
      </c>
    </row>
    <row r="29" spans="1:15" x14ac:dyDescent="0.2">
      <c r="A29" s="47" t="s">
        <v>292</v>
      </c>
      <c r="B29" s="47"/>
      <c r="C29" s="47">
        <v>0.50250000000000006</v>
      </c>
      <c r="D29" s="47">
        <v>0.44970414201183417</v>
      </c>
      <c r="E29" s="47">
        <v>0.7483540599853693</v>
      </c>
      <c r="G29" s="47">
        <f>5- COUNTIF(acumulado_porcentaje[[#This Row],[Ene 2024]:[May 2024]],"")</f>
        <v>3</v>
      </c>
      <c r="H29" s="69">
        <f>IF(acumulado_porcentaje[[#This Row],[contar]]&gt;2,SUM(SMALL(acumulado_porcentaje[[#This Row],[Ene 2024]:[May 2024]],1),SMALL(acumulado_porcentaje[[#This Row],[Ene 2024]:[May 2024]],2),SMALL(acumulado_porcentaje[[#This Row],[Ene 2024]:[May 2024]],3)),"#N/A")</f>
        <v>1.7005582019972034</v>
      </c>
      <c r="I29" t="str">
        <f>acumulado_porcentaje[[#This Row],[Nombre ]]&amp;" ("&amp;acumulado_porcentaje[[#This Row],[contar]]&amp;")"</f>
        <v>Oscar Mulas Crespo (3)</v>
      </c>
      <c r="K29" s="74">
        <f>ROW(acumulado_porcentaje[[#This Row],[Clasificación]])</f>
        <v>29</v>
      </c>
      <c r="L29" s="74" t="str">
        <f t="shared" si="1"/>
        <v>E29</v>
      </c>
      <c r="M29" s="45">
        <f ca="1">LARGE(B29:INDIRECT(L29),1)</f>
        <v>0.7483540599853693</v>
      </c>
      <c r="N29" s="45">
        <f ca="1">LARGE(B29:INDIRECT(L29),2)</f>
        <v>0.50250000000000006</v>
      </c>
      <c r="O29" s="45">
        <f ca="1">SUMIFS(B29:INDIRECT(L29),B29:INDIRECT(L29),"&lt;&gt;"&amp;M29,B29:INDIRECT(L29),"&lt;&gt;"&amp;N29)</f>
        <v>0.44970414201183417</v>
      </c>
    </row>
    <row r="30" spans="1:15" x14ac:dyDescent="0.2">
      <c r="A30" s="47" t="s">
        <v>401</v>
      </c>
      <c r="B30" s="47">
        <v>0.17543859649122809</v>
      </c>
      <c r="C30" s="47">
        <v>0.875</v>
      </c>
      <c r="D30" s="47">
        <v>1.7120315581854042</v>
      </c>
      <c r="E30" s="47">
        <v>2.4711046086320412</v>
      </c>
      <c r="F30">
        <v>0.71782650142993321</v>
      </c>
      <c r="G30" s="47">
        <f>5- COUNTIF(acumulado_porcentaje[[#This Row],[Ene 2024]:[May 2024]],"")</f>
        <v>5</v>
      </c>
      <c r="H30" s="69">
        <f>IF(acumulado_porcentaje[[#This Row],[contar]]&gt;2,SUM(SMALL(acumulado_porcentaje[[#This Row],[Ene 2024]:[May 2024]],1),SMALL(acumulado_porcentaje[[#This Row],[Ene 2024]:[May 2024]],2),SMALL(acumulado_porcentaje[[#This Row],[Ene 2024]:[May 2024]],3)),"#N/A")</f>
        <v>1.7682650979211614</v>
      </c>
      <c r="I30" t="str">
        <f>acumulado_porcentaje[[#This Row],[Nombre ]]&amp;" ("&amp;acumulado_porcentaje[[#This Row],[contar]]&amp;")"</f>
        <v>Juan Pedro Conejo Sanchez (5)</v>
      </c>
      <c r="K30" s="74">
        <f>ROW(acumulado_porcentaje[[#This Row],[Clasificación]])</f>
        <v>30</v>
      </c>
      <c r="L30" s="74" t="str">
        <f t="shared" si="1"/>
        <v>E30</v>
      </c>
      <c r="M30" s="45">
        <f ca="1">LARGE(B30:INDIRECT(L30),1)</f>
        <v>2.4711046086320412</v>
      </c>
      <c r="N30" s="45">
        <f ca="1">LARGE(B30:INDIRECT(L30),2)</f>
        <v>1.7120315581854042</v>
      </c>
      <c r="O30" s="45">
        <f ca="1">SUMIFS(B30:INDIRECT(L30),B30:INDIRECT(L30),"&lt;&gt;"&amp;M30,B30:INDIRECT(L30),"&lt;&gt;"&amp;N30)</f>
        <v>1.0504385964912282</v>
      </c>
    </row>
    <row r="31" spans="1:15" x14ac:dyDescent="0.2">
      <c r="A31" s="47" t="s">
        <v>337</v>
      </c>
      <c r="B31" s="47"/>
      <c r="C31" s="47">
        <v>0.50150000000000006</v>
      </c>
      <c r="D31" s="47"/>
      <c r="E31" s="47">
        <v>1.438917337234821</v>
      </c>
      <c r="F31">
        <v>0.12901175722910715</v>
      </c>
      <c r="G31" s="47">
        <f>5- COUNTIF(acumulado_porcentaje[[#This Row],[Ene 2024]:[May 2024]],"")</f>
        <v>3</v>
      </c>
      <c r="H31" s="69">
        <f>IF(acumulado_porcentaje[[#This Row],[contar]]&gt;2,SUM(SMALL(acumulado_porcentaje[[#This Row],[Ene 2024]:[May 2024]],1),SMALL(acumulado_porcentaje[[#This Row],[Ene 2024]:[May 2024]],2),SMALL(acumulado_porcentaje[[#This Row],[Ene 2024]:[May 2024]],3)),"#N/A")</f>
        <v>2.0694290944639282</v>
      </c>
      <c r="I31" t="str">
        <f>acumulado_porcentaje[[#This Row],[Nombre ]]&amp;" ("&amp;acumulado_porcentaje[[#This Row],[contar]]&amp;")"</f>
        <v>Francisco Valverde Sánchez (3)</v>
      </c>
      <c r="K31" s="74">
        <f>ROW(acumulado_porcentaje[[#This Row],[Clasificación]])</f>
        <v>31</v>
      </c>
      <c r="L31" s="74" t="str">
        <f t="shared" si="1"/>
        <v>E31</v>
      </c>
      <c r="M31" s="45">
        <f ca="1">LARGE(B31:INDIRECT(L31),1)</f>
        <v>1.438917337234821</v>
      </c>
      <c r="N31" s="45">
        <f ca="1">LARGE(B31:INDIRECT(L31),2)</f>
        <v>0.50150000000000006</v>
      </c>
      <c r="O31" s="45">
        <f ca="1">SUMIFS(B31:INDIRECT(L31),B31:INDIRECT(L31),"&lt;&gt;"&amp;M31,B31:INDIRECT(L31),"&lt;&gt;"&amp;N31)</f>
        <v>0</v>
      </c>
    </row>
    <row r="32" spans="1:15" x14ac:dyDescent="0.2">
      <c r="A32" s="47" t="s">
        <v>407</v>
      </c>
      <c r="B32" s="47">
        <v>2.091767881241581E-2</v>
      </c>
      <c r="C32" s="47">
        <v>0.75549999999999995</v>
      </c>
      <c r="D32" s="47">
        <v>1.3530571992110452</v>
      </c>
      <c r="E32" s="47"/>
      <c r="G32" s="47">
        <f>5- COUNTIF(acumulado_porcentaje[[#This Row],[Ene 2024]:[May 2024]],"")</f>
        <v>3</v>
      </c>
      <c r="H32" s="69">
        <f>IF(acumulado_porcentaje[[#This Row],[contar]]&gt;2,SUM(SMALL(acumulado_porcentaje[[#This Row],[Ene 2024]:[May 2024]],1),SMALL(acumulado_porcentaje[[#This Row],[Ene 2024]:[May 2024]],2),SMALL(acumulado_porcentaje[[#This Row],[Ene 2024]:[May 2024]],3)),"#N/A")</f>
        <v>2.1294748780234611</v>
      </c>
      <c r="I32" t="str">
        <f>acumulado_porcentaje[[#This Row],[Nombre ]]&amp;" ("&amp;acumulado_porcentaje[[#This Row],[contar]]&amp;")"</f>
        <v>Vicente Fayos Gavila (3)</v>
      </c>
      <c r="K32" s="74">
        <f>ROW(acumulado_porcentaje[[#This Row],[Clasificación]])</f>
        <v>32</v>
      </c>
      <c r="L32" s="74" t="str">
        <f t="shared" si="1"/>
        <v>E32</v>
      </c>
      <c r="M32" s="45">
        <f ca="1">LARGE(B32:INDIRECT(L32),1)</f>
        <v>1.3530571992110452</v>
      </c>
      <c r="N32" s="45">
        <f ca="1">LARGE(B32:INDIRECT(L32),2)</f>
        <v>0.75549999999999995</v>
      </c>
      <c r="O32" s="45">
        <f ca="1">SUMIFS(B32:INDIRECT(L32),B32:INDIRECT(L32),"&lt;&gt;"&amp;M32,B32:INDIRECT(L32),"&lt;&gt;"&amp;N32)</f>
        <v>2.091767881241581E-2</v>
      </c>
    </row>
    <row r="33" spans="1:15" x14ac:dyDescent="0.2">
      <c r="A33" s="47" t="s">
        <v>403</v>
      </c>
      <c r="B33" s="47">
        <v>0.1943319838056681</v>
      </c>
      <c r="C33" s="47"/>
      <c r="D33" s="47"/>
      <c r="E33" s="47">
        <v>1.944403803950256</v>
      </c>
      <c r="F33">
        <v>2.4467747060692709E-2</v>
      </c>
      <c r="G33" s="47">
        <f>5- COUNTIF(acumulado_porcentaje[[#This Row],[Ene 2024]:[May 2024]],"")</f>
        <v>3</v>
      </c>
      <c r="H33" s="69">
        <f>IF(acumulado_porcentaje[[#This Row],[contar]]&gt;2,SUM(SMALL(acumulado_porcentaje[[#This Row],[Ene 2024]:[May 2024]],1),SMALL(acumulado_porcentaje[[#This Row],[Ene 2024]:[May 2024]],2),SMALL(acumulado_porcentaje[[#This Row],[Ene 2024]:[May 2024]],3)),"#N/A")</f>
        <v>2.163203534816617</v>
      </c>
      <c r="I33" t="str">
        <f>acumulado_porcentaje[[#This Row],[Nombre ]]&amp;" ("&amp;acumulado_porcentaje[[#This Row],[contar]]&amp;")"</f>
        <v>Luis Angel Garzon Velasco (3)</v>
      </c>
      <c r="K33" s="74">
        <f>ROW(acumulado_porcentaje[[#This Row],[Clasificación]])</f>
        <v>33</v>
      </c>
      <c r="L33" s="74" t="str">
        <f t="shared" si="1"/>
        <v>E33</v>
      </c>
      <c r="M33" s="45">
        <f ca="1">LARGE(B33:INDIRECT(L33),1)</f>
        <v>1.944403803950256</v>
      </c>
      <c r="N33" s="45">
        <f ca="1">LARGE(B33:INDIRECT(L33),2)</f>
        <v>0.1943319838056681</v>
      </c>
      <c r="O33" s="45">
        <f ca="1">SUMIFS(B33:INDIRECT(L33),B33:INDIRECT(L33),"&lt;&gt;"&amp;M33,B33:INDIRECT(L33),"&lt;&gt;"&amp;N33)</f>
        <v>0</v>
      </c>
    </row>
    <row r="34" spans="1:15" hidden="1" x14ac:dyDescent="0.2">
      <c r="A34" s="47" t="s">
        <v>338</v>
      </c>
      <c r="B34" s="47"/>
      <c r="C34" s="47">
        <v>1.2309999999999999</v>
      </c>
      <c r="D34" s="47"/>
      <c r="E34" s="47"/>
      <c r="G34" s="47">
        <f>5- COUNTIF(acumulado_porcentaje[[#This Row],[Ene 2024]:[May 2024]],"")</f>
        <v>1</v>
      </c>
      <c r="H34" s="69" t="str">
        <f>IF(acumulado_porcentaje[[#This Row],[contar]]&gt;2,SUM(SMALL(acumulado_porcentaje[[#This Row],[Ene 2024]:[May 2024]],1),SMALL(acumulado_porcentaje[[#This Row],[Ene 2024]:[May 2024]],2),SMALL(acumulado_porcentaje[[#This Row],[Ene 2024]:[May 2024]],3)),"#N/A")</f>
        <v>#N/A</v>
      </c>
      <c r="I34" t="str">
        <f>acumulado_porcentaje[[#This Row],[Nombre ]]&amp;" ("&amp;acumulado_porcentaje[[#This Row],[contar]]&amp;")"</f>
        <v>Alejandro Ld (1)</v>
      </c>
    </row>
    <row r="35" spans="1:15" hidden="1" x14ac:dyDescent="0.2">
      <c r="A35" s="45" t="s">
        <v>402</v>
      </c>
      <c r="B35" s="45">
        <v>2.6180836707152658E-2</v>
      </c>
      <c r="C35" s="45"/>
      <c r="D35" s="45"/>
      <c r="E35" s="45"/>
      <c r="F35" s="45"/>
      <c r="G35" s="47">
        <f>5- COUNTIF(acumulado_porcentaje[[#This Row],[Ene 2024]:[May 2024]],"")</f>
        <v>1</v>
      </c>
      <c r="H35" s="69" t="str">
        <f>IF(acumulado_porcentaje[[#This Row],[contar]]&gt;2,SUM(SMALL(acumulado_porcentaje[[#This Row],[Ene 2024]:[May 2024]],1),SMALL(acumulado_porcentaje[[#This Row],[Ene 2024]:[May 2024]],2),SMALL(acumulado_porcentaje[[#This Row],[Ene 2024]:[May 2024]],3)),"#N/A")</f>
        <v>#N/A</v>
      </c>
      <c r="I35" t="str">
        <f>acumulado_porcentaje[[#This Row],[Nombre ]]&amp;" ("&amp;acumulado_porcentaje[[#This Row],[contar]]&amp;")"</f>
        <v>Alfredo Cotrina Martínez (1)</v>
      </c>
    </row>
    <row r="36" spans="1:15" hidden="1" x14ac:dyDescent="0.2">
      <c r="A36" s="45" t="s">
        <v>415</v>
      </c>
      <c r="B36" s="45"/>
      <c r="C36" s="45">
        <v>0.75249999999999984</v>
      </c>
      <c r="D36" s="45"/>
      <c r="E36" s="45"/>
      <c r="F36" s="45"/>
      <c r="G36" s="47">
        <f>5- COUNTIF(acumulado_porcentaje[[#This Row],[Ene 2024]:[May 2024]],"")</f>
        <v>1</v>
      </c>
      <c r="H36" s="69" t="str">
        <f>IF(acumulado_porcentaje[[#This Row],[contar]]&gt;2,SUM(SMALL(acumulado_porcentaje[[#This Row],[Ene 2024]:[May 2024]],1),SMALL(acumulado_porcentaje[[#This Row],[Ene 2024]:[May 2024]],2),SMALL(acumulado_porcentaje[[#This Row],[Ene 2024]:[May 2024]],3)),"#N/A")</f>
        <v>#N/A</v>
      </c>
      <c r="I36" t="str">
        <f>acumulado_porcentaje[[#This Row],[Nombre ]]&amp;" ("&amp;acumulado_porcentaje[[#This Row],[contar]]&amp;")"</f>
        <v>Antonio López Gómez-Millán (1)</v>
      </c>
    </row>
    <row r="37" spans="1:15" hidden="1" x14ac:dyDescent="0.2">
      <c r="A37" s="45" t="s">
        <v>413</v>
      </c>
      <c r="B37" s="45"/>
      <c r="C37" s="45">
        <v>0.80500000000000005</v>
      </c>
      <c r="D37" s="45"/>
      <c r="E37" s="45"/>
      <c r="F37" s="45">
        <v>5.9421671433111049E-2</v>
      </c>
      <c r="G37" s="47">
        <f>5- COUNTIF(acumulado_porcentaje[[#This Row],[Ene 2024]:[May 2024]],"")</f>
        <v>2</v>
      </c>
      <c r="H37" s="69" t="str">
        <f>IF(acumulado_porcentaje[[#This Row],[contar]]&gt;2,SUM(SMALL(acumulado_porcentaje[[#This Row],[Ene 2024]:[May 2024]],1),SMALL(acumulado_porcentaje[[#This Row],[Ene 2024]:[May 2024]],2),SMALL(acumulado_porcentaje[[#This Row],[Ene 2024]:[May 2024]],3)),"#N/A")</f>
        <v>#N/A</v>
      </c>
      <c r="I37" t="str">
        <f>acumulado_porcentaje[[#This Row],[Nombre ]]&amp;" ("&amp;acumulado_porcentaje[[#This Row],[contar]]&amp;")"</f>
        <v>Beatriz Muñoz Rioboo (2)</v>
      </c>
    </row>
    <row r="38" spans="1:15" hidden="1" x14ac:dyDescent="0.2">
      <c r="A38" s="45" t="s">
        <v>216</v>
      </c>
      <c r="B38" s="45">
        <v>1.4170040485830114E-2</v>
      </c>
      <c r="C38" s="45"/>
      <c r="D38" s="45"/>
      <c r="E38" s="45"/>
      <c r="F38" s="45"/>
      <c r="G38" s="47">
        <f>5- COUNTIF(acumulado_porcentaje[[#This Row],[Ene 2024]:[May 2024]],"")</f>
        <v>1</v>
      </c>
      <c r="H38" s="69" t="str">
        <f>IF(acumulado_porcentaje[[#This Row],[contar]]&gt;2,SUM(SMALL(acumulado_porcentaje[[#This Row],[Ene 2024]:[May 2024]],1),SMALL(acumulado_porcentaje[[#This Row],[Ene 2024]:[May 2024]],2),SMALL(acumulado_porcentaje[[#This Row],[Ene 2024]:[May 2024]],3)),"#N/A")</f>
        <v>#N/A</v>
      </c>
      <c r="I38" t="str">
        <f>acumulado_porcentaje[[#This Row],[Nombre ]]&amp;" ("&amp;acumulado_porcentaje[[#This Row],[contar]]&amp;")"</f>
        <v>Brais García (1)</v>
      </c>
    </row>
    <row r="39" spans="1:15" hidden="1" x14ac:dyDescent="0.2">
      <c r="A39" s="45" t="s">
        <v>475</v>
      </c>
      <c r="B39" s="45"/>
      <c r="C39" s="45"/>
      <c r="D39" s="45">
        <v>0.7435897435897435</v>
      </c>
      <c r="E39" s="45"/>
      <c r="G39" s="47">
        <f>5- COUNTIF(acumulado_porcentaje[[#This Row],[Ene 2024]:[May 2024]],"")</f>
        <v>1</v>
      </c>
      <c r="H39" s="69" t="str">
        <f>IF(acumulado_porcentaje[[#This Row],[contar]]&gt;2,SUM(SMALL(acumulado_porcentaje[[#This Row],[Ene 2024]:[May 2024]],1),SMALL(acumulado_porcentaje[[#This Row],[Ene 2024]:[May 2024]],2),SMALL(acumulado_porcentaje[[#This Row],[Ene 2024]:[May 2024]],3)),"#N/A")</f>
        <v>#N/A</v>
      </c>
      <c r="I39" t="str">
        <f>acumulado_porcentaje[[#This Row],[Nombre ]]&amp;" ("&amp;acumulado_porcentaje[[#This Row],[contar]]&amp;")"</f>
        <v>Carlos Alcaide Méndez (1)</v>
      </c>
    </row>
    <row r="40" spans="1:15" hidden="1" x14ac:dyDescent="0.2">
      <c r="A40" s="45" t="s">
        <v>657</v>
      </c>
      <c r="B40" s="45"/>
      <c r="C40" s="45"/>
      <c r="D40" s="45"/>
      <c r="E40" s="45"/>
      <c r="F40">
        <v>9.532888465204957E-2</v>
      </c>
      <c r="G40" s="47">
        <f>5- COUNTIF(acumulado_porcentaje[[#This Row],[Ene 2024]:[May 2024]],"")</f>
        <v>1</v>
      </c>
      <c r="H40" s="69" t="str">
        <f>IF(acumulado_porcentaje[[#This Row],[contar]]&gt;2,SUM(SMALL(acumulado_porcentaje[[#This Row],[Ene 2024]:[May 2024]],1),SMALL(acumulado_porcentaje[[#This Row],[Ene 2024]:[May 2024]],2),SMALL(acumulado_porcentaje[[#This Row],[Ene 2024]:[May 2024]],3)),"#N/A")</f>
        <v>#N/A</v>
      </c>
      <c r="I40" t="str">
        <f>acumulado_porcentaje[[#This Row],[Nombre ]]&amp;" ("&amp;acumulado_porcentaje[[#This Row],[contar]]&amp;")"</f>
        <v>Carlos Martin (1)</v>
      </c>
    </row>
    <row r="41" spans="1:15" hidden="1" x14ac:dyDescent="0.2">
      <c r="A41" s="45" t="s">
        <v>656</v>
      </c>
      <c r="B41" s="45"/>
      <c r="C41" s="45"/>
      <c r="D41" s="45"/>
      <c r="E41" s="45"/>
      <c r="F41">
        <v>0.58373053701938349</v>
      </c>
      <c r="G41" s="47">
        <f>5- COUNTIF(acumulado_porcentaje[[#This Row],[Ene 2024]:[May 2024]],"")</f>
        <v>1</v>
      </c>
      <c r="H41" s="69" t="str">
        <f>IF(acumulado_porcentaje[[#This Row],[contar]]&gt;2,SUM(SMALL(acumulado_porcentaje[[#This Row],[Ene 2024]:[May 2024]],1),SMALL(acumulado_porcentaje[[#This Row],[Ene 2024]:[May 2024]],2),SMALL(acumulado_porcentaje[[#This Row],[Ene 2024]:[May 2024]],3)),"#N/A")</f>
        <v>#N/A</v>
      </c>
      <c r="I41" t="str">
        <f>acumulado_porcentaje[[#This Row],[Nombre ]]&amp;" ("&amp;acumulado_porcentaje[[#This Row],[contar]]&amp;")"</f>
        <v>Carlos Martínez García (1)</v>
      </c>
    </row>
    <row r="42" spans="1:15" hidden="1" x14ac:dyDescent="0.2">
      <c r="A42" s="45" t="s">
        <v>340</v>
      </c>
      <c r="B42" s="45"/>
      <c r="C42" s="45">
        <v>0.53825000000000001</v>
      </c>
      <c r="D42" s="45"/>
      <c r="E42" s="45"/>
      <c r="F42" s="45"/>
      <c r="G42" s="47">
        <f>5- COUNTIF(acumulado_porcentaje[[#This Row],[Ene 2024]:[May 2024]],"")</f>
        <v>1</v>
      </c>
      <c r="H42" s="69" t="str">
        <f>IF(acumulado_porcentaje[[#This Row],[contar]]&gt;2,SUM(SMALL(acumulado_porcentaje[[#This Row],[Ene 2024]:[May 2024]],1),SMALL(acumulado_porcentaje[[#This Row],[Ene 2024]:[May 2024]],2),SMALL(acumulado_porcentaje[[#This Row],[Ene 2024]:[May 2024]],3)),"#N/A")</f>
        <v>#N/A</v>
      </c>
      <c r="I42" t="str">
        <f>acumulado_porcentaje[[#This Row],[Nombre ]]&amp;" ("&amp;acumulado_porcentaje[[#This Row],[contar]]&amp;")"</f>
        <v>Cristian Trapero (1)</v>
      </c>
    </row>
    <row r="43" spans="1:15" hidden="1" x14ac:dyDescent="0.2">
      <c r="A43" s="45" t="s">
        <v>541</v>
      </c>
      <c r="B43" s="45"/>
      <c r="C43" s="45"/>
      <c r="D43" s="45"/>
      <c r="E43" s="45">
        <v>0.26773957571324053</v>
      </c>
      <c r="F43" s="45">
        <v>0.12265649825230376</v>
      </c>
      <c r="G43" s="47">
        <f>5- COUNTIF(acumulado_porcentaje[[#This Row],[Ene 2024]:[May 2024]],"")</f>
        <v>2</v>
      </c>
      <c r="H43" s="69" t="str">
        <f>IF(acumulado_porcentaje[[#This Row],[contar]]&gt;2,SUM(SMALL(acumulado_porcentaje[[#This Row],[Ene 2024]:[May 2024]],1),SMALL(acumulado_porcentaje[[#This Row],[Ene 2024]:[May 2024]],2),SMALL(acumulado_porcentaje[[#This Row],[Ene 2024]:[May 2024]],3)),"#N/A")</f>
        <v>#N/A</v>
      </c>
      <c r="I43" t="str">
        <f>acumulado_porcentaje[[#This Row],[Nombre ]]&amp;" ("&amp;acumulado_porcentaje[[#This Row],[contar]]&amp;")"</f>
        <v>Daniel Reganon (2)</v>
      </c>
    </row>
    <row r="44" spans="1:15" hidden="1" x14ac:dyDescent="0.2">
      <c r="A44" s="45" t="s">
        <v>472</v>
      </c>
      <c r="B44" s="45"/>
      <c r="C44" s="45"/>
      <c r="D44" s="45">
        <v>0.6060157790927021</v>
      </c>
      <c r="E44" s="45"/>
      <c r="F44" s="45"/>
      <c r="G44" s="47">
        <f>5- COUNTIF(acumulado_porcentaje[[#This Row],[Ene 2024]:[May 2024]],"")</f>
        <v>1</v>
      </c>
      <c r="H44" s="69" t="str">
        <f>IF(acumulado_porcentaje[[#This Row],[contar]]&gt;2,SUM(SMALL(acumulado_porcentaje[[#This Row],[Ene 2024]:[May 2024]],1),SMALL(acumulado_porcentaje[[#This Row],[Ene 2024]:[May 2024]],2),SMALL(acumulado_porcentaje[[#This Row],[Ene 2024]:[May 2024]],3)),"#N/A")</f>
        <v>#N/A</v>
      </c>
      <c r="I44" t="str">
        <f>acumulado_porcentaje[[#This Row],[Nombre ]]&amp;" ("&amp;acumulado_porcentaje[[#This Row],[contar]]&amp;")"</f>
        <v>Eduardo Caro Eduardo Caro (1)</v>
      </c>
    </row>
    <row r="45" spans="1:15" hidden="1" x14ac:dyDescent="0.2">
      <c r="A45" s="45" t="s">
        <v>654</v>
      </c>
      <c r="B45" s="45"/>
      <c r="C45" s="45"/>
      <c r="D45" s="45"/>
      <c r="E45" s="45"/>
      <c r="F45" s="45">
        <v>0.24690181124880839</v>
      </c>
      <c r="G45" s="47">
        <f>5- COUNTIF(acumulado_porcentaje[[#This Row],[Ene 2024]:[May 2024]],"")</f>
        <v>1</v>
      </c>
      <c r="H45" s="69" t="str">
        <f>IF(acumulado_porcentaje[[#This Row],[contar]]&gt;2,SUM(SMALL(acumulado_porcentaje[[#This Row],[Ene 2024]:[May 2024]],1),SMALL(acumulado_porcentaje[[#This Row],[Ene 2024]:[May 2024]],2),SMALL(acumulado_porcentaje[[#This Row],[Ene 2024]:[May 2024]],3)),"#N/A")</f>
        <v>#N/A</v>
      </c>
      <c r="I45" t="str">
        <f>acumulado_porcentaje[[#This Row],[Nombre ]]&amp;" ("&amp;acumulado_porcentaje[[#This Row],[contar]]&amp;")"</f>
        <v>Gabini Jiménez-Castillo (1)</v>
      </c>
    </row>
    <row r="46" spans="1:15" hidden="1" x14ac:dyDescent="0.2">
      <c r="A46" s="45" t="s">
        <v>655</v>
      </c>
      <c r="B46" s="45"/>
      <c r="C46" s="45"/>
      <c r="D46" s="45"/>
      <c r="E46" s="45"/>
      <c r="F46" s="45">
        <v>0.13123609787098833</v>
      </c>
      <c r="G46" s="47">
        <f>5- COUNTIF(acumulado_porcentaje[[#This Row],[Ene 2024]:[May 2024]],"")</f>
        <v>1</v>
      </c>
      <c r="H46" s="69" t="str">
        <f>IF(acumulado_porcentaje[[#This Row],[contar]]&gt;2,SUM(SMALL(acumulado_porcentaje[[#This Row],[Ene 2024]:[May 2024]],1),SMALL(acumulado_porcentaje[[#This Row],[Ene 2024]:[May 2024]],2),SMALL(acumulado_porcentaje[[#This Row],[Ene 2024]:[May 2024]],3)),"#N/A")</f>
        <v>#N/A</v>
      </c>
      <c r="I46" t="str">
        <f>acumulado_porcentaje[[#This Row],[Nombre ]]&amp;" ("&amp;acumulado_porcentaje[[#This Row],[contar]]&amp;")"</f>
        <v>Iñaki Moriana García (1)</v>
      </c>
    </row>
    <row r="47" spans="1:15" hidden="1" x14ac:dyDescent="0.2">
      <c r="A47" s="45" t="s">
        <v>223</v>
      </c>
      <c r="B47" s="45">
        <v>1.0796221322537075E-2</v>
      </c>
      <c r="C47" s="45"/>
      <c r="D47" s="45"/>
      <c r="E47" s="45"/>
      <c r="F47" s="45"/>
      <c r="G47" s="47">
        <f>5- COUNTIF(acumulado_porcentaje[[#This Row],[Ene 2024]:[May 2024]],"")</f>
        <v>1</v>
      </c>
      <c r="H47" s="69" t="str">
        <f>IF(acumulado_porcentaje[[#This Row],[contar]]&gt;2,SUM(SMALL(acumulado_porcentaje[[#This Row],[Ene 2024]:[May 2024]],1),SMALL(acumulado_porcentaje[[#This Row],[Ene 2024]:[May 2024]],2),SMALL(acumulado_porcentaje[[#This Row],[Ene 2024]:[May 2024]],3)),"#N/A")</f>
        <v>#N/A</v>
      </c>
      <c r="I47" t="str">
        <f>acumulado_porcentaje[[#This Row],[Nombre ]]&amp;" ("&amp;acumulado_porcentaje[[#This Row],[contar]]&amp;")"</f>
        <v>Javier Cervera (1)</v>
      </c>
    </row>
    <row r="48" spans="1:15" hidden="1" x14ac:dyDescent="0.2">
      <c r="A48" s="45" t="s">
        <v>224</v>
      </c>
      <c r="B48" s="45">
        <v>0.10175438596491218</v>
      </c>
      <c r="C48" s="45">
        <v>0.80899999999999994</v>
      </c>
      <c r="D48" s="45"/>
      <c r="E48" s="45"/>
      <c r="F48" s="45"/>
      <c r="G48" s="47">
        <f>5- COUNTIF(acumulado_porcentaje[[#This Row],[Ene 2024]:[May 2024]],"")</f>
        <v>2</v>
      </c>
      <c r="H48" s="69" t="str">
        <f>IF(acumulado_porcentaje[[#This Row],[contar]]&gt;2,SUM(SMALL(acumulado_porcentaje[[#This Row],[Ene 2024]:[May 2024]],1),SMALL(acumulado_porcentaje[[#This Row],[Ene 2024]:[May 2024]],2),SMALL(acumulado_porcentaje[[#This Row],[Ene 2024]:[May 2024]],3)),"#N/A")</f>
        <v>#N/A</v>
      </c>
      <c r="I48" t="str">
        <f>acumulado_porcentaje[[#This Row],[Nombre ]]&amp;" ("&amp;acumulado_porcentaje[[#This Row],[contar]]&amp;")"</f>
        <v>Jesús López (2)</v>
      </c>
    </row>
    <row r="49" spans="1:9" hidden="1" x14ac:dyDescent="0.2">
      <c r="A49" s="45" t="s">
        <v>650</v>
      </c>
      <c r="B49" s="45"/>
      <c r="C49" s="45"/>
      <c r="D49" s="45"/>
      <c r="E49" s="45"/>
      <c r="F49" s="45">
        <v>0.21194788687639027</v>
      </c>
      <c r="G49" s="47">
        <f>5- COUNTIF(acumulado_porcentaje[[#This Row],[Ene 2024]:[May 2024]],"")</f>
        <v>1</v>
      </c>
      <c r="H49" s="69" t="str">
        <f>IF(acumulado_porcentaje[[#This Row],[contar]]&gt;2,SUM(SMALL(acumulado_porcentaje[[#This Row],[Ene 2024]:[May 2024]],1),SMALL(acumulado_porcentaje[[#This Row],[Ene 2024]:[May 2024]],2),SMALL(acumulado_porcentaje[[#This Row],[Ene 2024]:[May 2024]],3)),"#N/A")</f>
        <v>#N/A</v>
      </c>
      <c r="I49" t="str">
        <f>acumulado_porcentaje[[#This Row],[Nombre ]]&amp;" ("&amp;acumulado_porcentaje[[#This Row],[contar]]&amp;")"</f>
        <v>Jose Antonio Quidiello Antuña (1)</v>
      </c>
    </row>
    <row r="50" spans="1:9" hidden="1" x14ac:dyDescent="0.2">
      <c r="A50" s="45" t="s">
        <v>220</v>
      </c>
      <c r="B50" s="45">
        <v>0.14979757085020257</v>
      </c>
      <c r="C50" s="45"/>
      <c r="D50" s="45"/>
      <c r="E50" s="45"/>
      <c r="F50" s="45"/>
      <c r="G50" s="47">
        <f>5- COUNTIF(acumulado_porcentaje[[#This Row],[Ene 2024]:[May 2024]],"")</f>
        <v>1</v>
      </c>
      <c r="H50" s="69" t="str">
        <f>IF(acumulado_porcentaje[[#This Row],[contar]]&gt;2,SUM(SMALL(acumulado_porcentaje[[#This Row],[Ene 2024]:[May 2024]],1),SMALL(acumulado_porcentaje[[#This Row],[Ene 2024]:[May 2024]],2),SMALL(acumulado_porcentaje[[#This Row],[Ene 2024]:[May 2024]],3)),"#N/A")</f>
        <v>#N/A</v>
      </c>
      <c r="I50" t="str">
        <f>acumulado_porcentaje[[#This Row],[Nombre ]]&amp;" ("&amp;acumulado_porcentaje[[#This Row],[contar]]&amp;")"</f>
        <v>Juan Sanjorge Sanjorge Grandal (1)</v>
      </c>
    </row>
    <row r="51" spans="1:9" hidden="1" x14ac:dyDescent="0.2">
      <c r="A51" s="45" t="s">
        <v>410</v>
      </c>
      <c r="B51" s="45">
        <v>0.23076923076923089</v>
      </c>
      <c r="C51" s="45"/>
      <c r="D51" s="45"/>
      <c r="E51" s="45"/>
      <c r="F51" s="45"/>
      <c r="G51" s="47">
        <f>5- COUNTIF(acumulado_porcentaje[[#This Row],[Ene 2024]:[May 2024]],"")</f>
        <v>1</v>
      </c>
      <c r="H51" s="69" t="str">
        <f>IF(acumulado_porcentaje[[#This Row],[contar]]&gt;2,SUM(SMALL(acumulado_porcentaje[[#This Row],[Ene 2024]:[May 2024]],1),SMALL(acumulado_porcentaje[[#This Row],[Ene 2024]:[May 2024]],2),SMALL(acumulado_porcentaje[[#This Row],[Ene 2024]:[May 2024]],3)),"#N/A")</f>
        <v>#N/A</v>
      </c>
      <c r="I51" t="str">
        <f>acumulado_porcentaje[[#This Row],[Nombre ]]&amp;" ("&amp;acumulado_porcentaje[[#This Row],[contar]]&amp;")"</f>
        <v>Manuel Bueno Pérez (1)</v>
      </c>
    </row>
    <row r="52" spans="1:9" hidden="1" x14ac:dyDescent="0.2">
      <c r="A52" s="45" t="s">
        <v>400</v>
      </c>
      <c r="B52" s="45">
        <v>0.21052631578947381</v>
      </c>
      <c r="C52" s="45"/>
      <c r="D52" s="45"/>
      <c r="E52" s="45"/>
      <c r="F52" s="45">
        <v>0.20114394661582455</v>
      </c>
      <c r="G52" s="47">
        <f>5- COUNTIF(acumulado_porcentaje[[#This Row],[Ene 2024]:[May 2024]],"")</f>
        <v>2</v>
      </c>
      <c r="H52" s="69" t="str">
        <f>IF(acumulado_porcentaje[[#This Row],[contar]]&gt;2,SUM(SMALL(acumulado_porcentaje[[#This Row],[Ene 2024]:[May 2024]],1),SMALL(acumulado_porcentaje[[#This Row],[Ene 2024]:[May 2024]],2),SMALL(acumulado_porcentaje[[#This Row],[Ene 2024]:[May 2024]],3)),"#N/A")</f>
        <v>#N/A</v>
      </c>
      <c r="I52" t="str">
        <f>acumulado_porcentaje[[#This Row],[Nombre ]]&amp;" ("&amp;acumulado_porcentaje[[#This Row],[contar]]&amp;")"</f>
        <v>Manuel Nogales Guillén (2)</v>
      </c>
    </row>
    <row r="53" spans="1:9" hidden="1" x14ac:dyDescent="0.2">
      <c r="A53" s="45" t="s">
        <v>405</v>
      </c>
      <c r="B53" s="45">
        <v>0.11106612685560041</v>
      </c>
      <c r="C53" s="45"/>
      <c r="D53" s="45"/>
      <c r="E53" s="45"/>
      <c r="F53" s="45"/>
      <c r="G53" s="47">
        <f>5- COUNTIF(acumulado_porcentaje[[#This Row],[Ene 2024]:[May 2024]],"")</f>
        <v>1</v>
      </c>
      <c r="H53" s="69" t="str">
        <f>IF(acumulado_porcentaje[[#This Row],[contar]]&gt;2,SUM(SMALL(acumulado_porcentaje[[#This Row],[Ene 2024]:[May 2024]],1),SMALL(acumulado_porcentaje[[#This Row],[Ene 2024]:[May 2024]],2),SMALL(acumulado_porcentaje[[#This Row],[Ene 2024]:[May 2024]],3)),"#N/A")</f>
        <v>#N/A</v>
      </c>
      <c r="I53" t="str">
        <f>acumulado_porcentaje[[#This Row],[Nombre ]]&amp;" ("&amp;acumulado_porcentaje[[#This Row],[contar]]&amp;")"</f>
        <v>Marc Soler Collell (1)</v>
      </c>
    </row>
    <row r="54" spans="1:9" hidden="1" x14ac:dyDescent="0.2">
      <c r="A54" s="45" t="s">
        <v>652</v>
      </c>
      <c r="B54" s="45"/>
      <c r="C54" s="45"/>
      <c r="D54" s="45"/>
      <c r="E54" s="45"/>
      <c r="F54" s="45">
        <v>6.0057197330791248E-2</v>
      </c>
      <c r="G54" s="47">
        <f>5- COUNTIF(acumulado_porcentaje[[#This Row],[Ene 2024]:[May 2024]],"")</f>
        <v>1</v>
      </c>
      <c r="H54" s="69" t="str">
        <f>IF(acumulado_porcentaje[[#This Row],[contar]]&gt;2,SUM(SMALL(acumulado_porcentaje[[#This Row],[Ene 2024]:[May 2024]],1),SMALL(acumulado_porcentaje[[#This Row],[Ene 2024]:[May 2024]],2),SMALL(acumulado_porcentaje[[#This Row],[Ene 2024]:[May 2024]],3)),"#N/A")</f>
        <v>#N/A</v>
      </c>
      <c r="I54" t="str">
        <f>acumulado_porcentaje[[#This Row],[Nombre ]]&amp;" ("&amp;acumulado_porcentaje[[#This Row],[contar]]&amp;")"</f>
        <v>Miguel Roa Prieto (1)</v>
      </c>
    </row>
    <row r="55" spans="1:9" hidden="1" x14ac:dyDescent="0.2">
      <c r="A55" s="45" t="s">
        <v>651</v>
      </c>
      <c r="B55" s="45"/>
      <c r="C55" s="45"/>
      <c r="D55" s="45"/>
      <c r="E55" s="45"/>
      <c r="F55" s="45">
        <v>0.13409596441054969</v>
      </c>
      <c r="G55" s="47">
        <f>5- COUNTIF(acumulado_porcentaje[[#This Row],[Ene 2024]:[May 2024]],"")</f>
        <v>1</v>
      </c>
      <c r="H55" s="69" t="str">
        <f>IF(acumulado_porcentaje[[#This Row],[contar]]&gt;2,SUM(SMALL(acumulado_porcentaje[[#This Row],[Ene 2024]:[May 2024]],1),SMALL(acumulado_porcentaje[[#This Row],[Ene 2024]:[May 2024]],2),SMALL(acumulado_porcentaje[[#This Row],[Ene 2024]:[May 2024]],3)),"#N/A")</f>
        <v>#N/A</v>
      </c>
      <c r="I55" t="str">
        <f>acumulado_porcentaje[[#This Row],[Nombre ]]&amp;" ("&amp;acumulado_porcentaje[[#This Row],[contar]]&amp;")"</f>
        <v>Nelson Hernandez Hernandez (1)</v>
      </c>
    </row>
    <row r="56" spans="1:9" hidden="1" x14ac:dyDescent="0.2">
      <c r="A56" s="45" t="s">
        <v>227</v>
      </c>
      <c r="B56" s="45">
        <v>0.18016194331983817</v>
      </c>
      <c r="C56" s="45"/>
      <c r="D56" s="45"/>
      <c r="E56" s="45"/>
      <c r="F56" s="45"/>
      <c r="G56" s="47">
        <f>5- COUNTIF(acumulado_porcentaje[[#This Row],[Ene 2024]:[May 2024]],"")</f>
        <v>1</v>
      </c>
      <c r="H56" s="69" t="str">
        <f>IF(acumulado_porcentaje[[#This Row],[contar]]&gt;2,SUM(SMALL(acumulado_porcentaje[[#This Row],[Ene 2024]:[May 2024]],1),SMALL(acumulado_porcentaje[[#This Row],[Ene 2024]:[May 2024]],2),SMALL(acumulado_porcentaje[[#This Row],[Ene 2024]:[May 2024]],3)),"#N/A")</f>
        <v>#N/A</v>
      </c>
      <c r="I56" t="str">
        <f>acumulado_porcentaje[[#This Row],[Nombre ]]&amp;" ("&amp;acumulado_porcentaje[[#This Row],[contar]]&amp;")"</f>
        <v>Olivia Infantes (1)</v>
      </c>
    </row>
    <row r="57" spans="1:9" hidden="1" x14ac:dyDescent="0.2">
      <c r="A57" s="45" t="s">
        <v>473</v>
      </c>
      <c r="B57" s="45"/>
      <c r="C57" s="45"/>
      <c r="D57" s="45">
        <v>2.2199211045364886</v>
      </c>
      <c r="E57" s="45"/>
      <c r="F57" s="45"/>
      <c r="G57" s="47">
        <f>5- COUNTIF(acumulado_porcentaje[[#This Row],[Ene 2024]:[May 2024]],"")</f>
        <v>1</v>
      </c>
      <c r="H57" s="69" t="str">
        <f>IF(acumulado_porcentaje[[#This Row],[contar]]&gt;2,SUM(SMALL(acumulado_porcentaje[[#This Row],[Ene 2024]:[May 2024]],1),SMALL(acumulado_porcentaje[[#This Row],[Ene 2024]:[May 2024]],2),SMALL(acumulado_porcentaje[[#This Row],[Ene 2024]:[May 2024]],3)),"#N/A")</f>
        <v>#N/A</v>
      </c>
      <c r="I57" t="str">
        <f>acumulado_porcentaje[[#This Row],[Nombre ]]&amp;" ("&amp;acumulado_porcentaje[[#This Row],[contar]]&amp;")"</f>
        <v>Pablo Baigorria Kobylinski (1)</v>
      </c>
    </row>
    <row r="58" spans="1:9" hidden="1" x14ac:dyDescent="0.2">
      <c r="A58" s="45" t="s">
        <v>416</v>
      </c>
      <c r="B58" s="45"/>
      <c r="C58" s="45">
        <v>1.18875</v>
      </c>
      <c r="D58" s="45"/>
      <c r="E58" s="45"/>
      <c r="F58" s="45"/>
      <c r="G58" s="47">
        <f>5- COUNTIF(acumulado_porcentaje[[#This Row],[Ene 2024]:[May 2024]],"")</f>
        <v>1</v>
      </c>
      <c r="H58" s="69" t="str">
        <f>IF(acumulado_porcentaje[[#This Row],[contar]]&gt;2,SUM(SMALL(acumulado_porcentaje[[#This Row],[Ene 2024]:[May 2024]],1),SMALL(acumulado_porcentaje[[#This Row],[Ene 2024]:[May 2024]],2),SMALL(acumulado_porcentaje[[#This Row],[Ene 2024]:[May 2024]],3)),"#N/A")</f>
        <v>#N/A</v>
      </c>
      <c r="I58" t="str">
        <f>acumulado_porcentaje[[#This Row],[Nombre ]]&amp;" ("&amp;acumulado_porcentaje[[#This Row],[contar]]&amp;")"</f>
        <v>Roberto De Dios García (1)</v>
      </c>
    </row>
    <row r="59" spans="1:9" hidden="1" x14ac:dyDescent="0.2">
      <c r="A59" s="45" t="s">
        <v>542</v>
      </c>
      <c r="B59" s="45"/>
      <c r="C59" s="45"/>
      <c r="D59" s="45"/>
      <c r="E59" s="45">
        <v>0.45647403072421361</v>
      </c>
      <c r="F59" s="45">
        <v>0.15411503018748007</v>
      </c>
      <c r="G59" s="47">
        <f>5- COUNTIF(acumulado_porcentaje[[#This Row],[Ene 2024]:[May 2024]],"")</f>
        <v>2</v>
      </c>
      <c r="H59" s="69" t="str">
        <f>IF(acumulado_porcentaje[[#This Row],[contar]]&gt;2,SUM(SMALL(acumulado_porcentaje[[#This Row],[Ene 2024]:[May 2024]],1),SMALL(acumulado_porcentaje[[#This Row],[Ene 2024]:[May 2024]],2),SMALL(acumulado_porcentaje[[#This Row],[Ene 2024]:[May 2024]],3)),"#N/A")</f>
        <v>#N/A</v>
      </c>
      <c r="I59" t="str">
        <f>acumulado_porcentaje[[#This Row],[Nombre ]]&amp;" ("&amp;acumulado_porcentaje[[#This Row],[contar]]&amp;")"</f>
        <v>Sergio Alfonso (2)</v>
      </c>
    </row>
    <row r="60" spans="1:9" hidden="1" x14ac:dyDescent="0.2">
      <c r="A60" s="45" t="s">
        <v>658</v>
      </c>
      <c r="B60" s="45"/>
      <c r="C60" s="45"/>
      <c r="D60" s="45"/>
      <c r="E60" s="45"/>
      <c r="F60" s="45">
        <v>0.40387670797584996</v>
      </c>
      <c r="G60" s="47">
        <f>5- COUNTIF(acumulado_porcentaje[[#This Row],[Ene 2024]:[May 2024]],"")</f>
        <v>1</v>
      </c>
      <c r="H60" s="69" t="str">
        <f>IF(acumulado_porcentaje[[#This Row],[contar]]&gt;2,SUM(SMALL(acumulado_porcentaje[[#This Row],[Ene 2024]:[May 2024]],1),SMALL(acumulado_porcentaje[[#This Row],[Ene 2024]:[May 2024]],2),SMALL(acumulado_porcentaje[[#This Row],[Ene 2024]:[May 2024]],3)),"#N/A")</f>
        <v>#N/A</v>
      </c>
      <c r="I60" t="str">
        <f>acumulado_porcentaje[[#This Row],[Nombre ]]&amp;" ("&amp;acumulado_porcentaje[[#This Row],[contar]]&amp;")"</f>
        <v>Sergio Gallego Bolaños (1)</v>
      </c>
    </row>
    <row r="61" spans="1:9" hidden="1" x14ac:dyDescent="0.2">
      <c r="A61" s="45" t="s">
        <v>653</v>
      </c>
      <c r="B61" s="45"/>
      <c r="C61" s="45"/>
      <c r="D61" s="45"/>
      <c r="E61" s="45"/>
      <c r="F61" s="45">
        <v>0.42421353670162054</v>
      </c>
      <c r="G61" s="47">
        <f>5- COUNTIF(acumulado_porcentaje[[#This Row],[Ene 2024]:[May 2024]],"")</f>
        <v>1</v>
      </c>
      <c r="H61" s="69" t="str">
        <f>IF(acumulado_porcentaje[[#This Row],[contar]]&gt;2,SUM(SMALL(acumulado_porcentaje[[#This Row],[Ene 2024]:[May 2024]],1),SMALL(acumulado_porcentaje[[#This Row],[Ene 2024]:[May 2024]],2),SMALL(acumulado_porcentaje[[#This Row],[Ene 2024]:[May 2024]],3)),"#N/A")</f>
        <v>#N/A</v>
      </c>
      <c r="I61" t="str">
        <f>acumulado_porcentaje[[#This Row],[Nombre ]]&amp;" ("&amp;acumulado_porcentaje[[#This Row],[contar]]&amp;")"</f>
        <v>Sergio Nistal Prieto (1)</v>
      </c>
    </row>
    <row r="62" spans="1:9" hidden="1" x14ac:dyDescent="0.2">
      <c r="A62" s="45" t="s">
        <v>339</v>
      </c>
      <c r="B62" s="45"/>
      <c r="C62" s="45">
        <v>1.155</v>
      </c>
      <c r="D62" s="45"/>
      <c r="E62" s="45"/>
      <c r="F62" s="45"/>
      <c r="G62" s="47">
        <f>5- COUNTIF(acumulado_porcentaje[[#This Row],[Ene 2024]:[May 2024]],"")</f>
        <v>1</v>
      </c>
      <c r="H62" s="69" t="str">
        <f>IF(acumulado_porcentaje[[#This Row],[contar]]&gt;2,SUM(SMALL(acumulado_porcentaje[[#This Row],[Ene 2024]:[May 2024]],1),SMALL(acumulado_porcentaje[[#This Row],[Ene 2024]:[May 2024]],2),SMALL(acumulado_porcentaje[[#This Row],[Ene 2024]:[May 2024]],3)),"#N/A")</f>
        <v>#N/A</v>
      </c>
      <c r="I62" t="str">
        <f>acumulado_porcentaje[[#This Row],[Nombre ]]&amp;" ("&amp;acumulado_porcentaje[[#This Row],[contar]]&amp;")"</f>
        <v>Sergio Ortega Celares (1)</v>
      </c>
    </row>
    <row r="63" spans="1:9" hidden="1" x14ac:dyDescent="0.2">
      <c r="A63" s="45" t="s">
        <v>239</v>
      </c>
      <c r="B63" s="45">
        <v>0.21592442645074225</v>
      </c>
      <c r="C63" s="45"/>
      <c r="D63" s="45"/>
      <c r="E63" s="45"/>
      <c r="F63" s="45"/>
      <c r="G63" s="47">
        <f>5- COUNTIF(acumulado_porcentaje[[#This Row],[Ene 2024]:[May 2024]],"")</f>
        <v>1</v>
      </c>
      <c r="H63" s="69" t="str">
        <f>IF(acumulado_porcentaje[[#This Row],[contar]]&gt;2,SUM(SMALL(acumulado_porcentaje[[#This Row],[Ene 2024]:[May 2024]],1),SMALL(acumulado_porcentaje[[#This Row],[Ene 2024]:[May 2024]],2),SMALL(acumulado_porcentaje[[#This Row],[Ene 2024]:[May 2024]],3)),"#N/A")</f>
        <v>#N/A</v>
      </c>
      <c r="I63" t="str">
        <f>acumulado_porcentaje[[#This Row],[Nombre ]]&amp;" ("&amp;acumulado_porcentaje[[#This Row],[contar]]&amp;")"</f>
        <v>Vitor Costa Costa (1)</v>
      </c>
    </row>
    <row r="64" spans="1:9" hidden="1" x14ac:dyDescent="0.2">
      <c r="A64" s="45" t="s">
        <v>544</v>
      </c>
      <c r="B64" s="45"/>
      <c r="C64" s="45"/>
      <c r="D64" s="45"/>
      <c r="E64" s="45">
        <v>0.71909290416971472</v>
      </c>
      <c r="F64" s="45"/>
      <c r="G64" s="47">
        <f>5- COUNTIF(acumulado_porcentaje[[#This Row],[Ene 2024]:[May 2024]],"")</f>
        <v>1</v>
      </c>
      <c r="H64" s="69" t="str">
        <f>IF(acumulado_porcentaje[[#This Row],[contar]]&gt;2,SUM(SMALL(acumulado_porcentaje[[#This Row],[Ene 2024]:[May 2024]],1),SMALL(acumulado_porcentaje[[#This Row],[Ene 2024]:[May 2024]],2),SMALL(acumulado_porcentaje[[#This Row],[Ene 2024]:[May 2024]],3)),"#N/A")</f>
        <v>#N/A</v>
      </c>
      <c r="I64" t="str">
        <f>acumulado_porcentaje[[#This Row],[Nombre ]]&amp;" ("&amp;acumulado_porcentaje[[#This Row],[contar]]&amp;")"</f>
        <v>Álvaro Barahona San Marcos (1)</v>
      </c>
    </row>
    <row r="76" spans="2:3" x14ac:dyDescent="0.2">
      <c r="B76" s="45"/>
      <c r="C76" s="45"/>
    </row>
    <row r="77" spans="2:3" x14ac:dyDescent="0.2">
      <c r="B77" s="45"/>
      <c r="C77" s="75" t="s">
        <v>146</v>
      </c>
    </row>
    <row r="78" spans="2:3" x14ac:dyDescent="0.2">
      <c r="B78" s="45" t="s">
        <v>666</v>
      </c>
      <c r="C78" s="74">
        <f>MATCH(C77,1:1,0)</f>
        <v>5</v>
      </c>
    </row>
    <row r="79" spans="2:3" x14ac:dyDescent="0.2">
      <c r="B79" s="45" t="s">
        <v>667</v>
      </c>
      <c r="C79" s="74">
        <f>C78-1</f>
        <v>4</v>
      </c>
    </row>
    <row r="80" spans="2:3" x14ac:dyDescent="0.2">
      <c r="B80" s="45"/>
      <c r="C80" s="74" t="str">
        <f>ADDRESS(1,C78)</f>
        <v>$E$1</v>
      </c>
    </row>
    <row r="81" spans="2:3" x14ac:dyDescent="0.2">
      <c r="B81" s="45"/>
      <c r="C81" s="74" t="str">
        <f>MID(C80,2,1)</f>
        <v>E</v>
      </c>
    </row>
    <row r="82" spans="2:3" x14ac:dyDescent="0.2">
      <c r="B82" s="45"/>
      <c r="C82" s="45"/>
    </row>
    <row r="97" spans="1:1" x14ac:dyDescent="0.2">
      <c r="A97" s="57" t="str">
        <f>"3 mejores resultados hasta el "&amp;may!H1&amp;" de mayo incluído*"</f>
        <v>3 mejores resultados hasta el 27 de mayo incluído*</v>
      </c>
    </row>
  </sheetData>
  <phoneticPr fontId="9" type="noConversion"/>
  <dataValidations count="1">
    <dataValidation type="list" allowBlank="1" showInputMessage="1" showErrorMessage="1" sqref="C77" xr:uid="{E842F2BA-4DC3-4A5E-A318-57237D096379}">
      <formula1>$B$1:$F$1</formula1>
    </dataValidation>
  </dataValidation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I64"/>
  <sheetViews>
    <sheetView showGridLines="0" workbookViewId="0">
      <selection activeCell="D7" sqref="D7"/>
    </sheetView>
  </sheetViews>
  <sheetFormatPr baseColWidth="10" defaultRowHeight="12" x14ac:dyDescent="0.2"/>
  <cols>
    <col min="1" max="1" width="27.1406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8.28515625" style="4" bestFit="1" customWidth="1"/>
    <col min="9" max="9" width="9.28515625" style="4" bestFit="1" customWidth="1"/>
  </cols>
  <sheetData>
    <row r="1" spans="1:9" x14ac:dyDescent="0.2">
      <c r="A1" t="s">
        <v>0</v>
      </c>
      <c r="B1" s="4" t="s">
        <v>99</v>
      </c>
      <c r="C1" s="4" t="s">
        <v>266</v>
      </c>
      <c r="D1" s="4" t="s">
        <v>417</v>
      </c>
      <c r="E1" s="4" t="s">
        <v>146</v>
      </c>
      <c r="F1" t="s">
        <v>565</v>
      </c>
      <c r="G1" s="70" t="s">
        <v>560</v>
      </c>
      <c r="H1" s="70" t="s">
        <v>554</v>
      </c>
      <c r="I1" s="70" t="s">
        <v>555</v>
      </c>
    </row>
    <row r="2" spans="1:9" x14ac:dyDescent="0.2">
      <c r="A2" t="s">
        <v>404</v>
      </c>
      <c r="B2" s="4">
        <v>0.18000000000000682</v>
      </c>
      <c r="C2" s="4">
        <v>13.54</v>
      </c>
      <c r="F2">
        <v>0.94000000000000128</v>
      </c>
      <c r="G2" s="4">
        <f>5- COUNTIF(acumulado_absoluto[[#This Row],[Ene 2024]:[May 2024]],"")</f>
        <v>3</v>
      </c>
      <c r="H2" s="4">
        <f>IF(acumulado_absoluto[[#This Row],[contar]]&gt;2,SUM(SMALL(acumulado_absoluto[[#This Row],[Ene 2024]:[May 2024]],1),SMALL(acumulado_absoluto[[#This Row],[Ene 2024]:[May 2024]],2)),"#N/A")</f>
        <v>1.1200000000000081</v>
      </c>
      <c r="I2" s="4">
        <f>acumulado_absoluto[[#This Row],[min]]</f>
        <v>1.1200000000000081</v>
      </c>
    </row>
    <row r="3" spans="1:9" x14ac:dyDescent="0.2">
      <c r="A3" t="s">
        <v>362</v>
      </c>
      <c r="B3" s="4">
        <v>0.20000000000000284</v>
      </c>
      <c r="C3" s="4">
        <v>29.849999999999994</v>
      </c>
      <c r="D3" s="4">
        <v>15.32</v>
      </c>
      <c r="E3" s="4">
        <v>10.53</v>
      </c>
      <c r="F3">
        <v>3.1400000000000006</v>
      </c>
      <c r="G3" s="4">
        <f>5- COUNTIF(acumulado_absoluto[[#This Row],[Ene 2024]:[May 2024]],"")</f>
        <v>5</v>
      </c>
      <c r="H3" s="4">
        <f>IF(acumulado_absoluto[[#This Row],[contar]]&gt;2,SUM(SMALL(acumulado_absoluto[[#This Row],[Ene 2024]:[May 2024]],1),SMALL(acumulado_absoluto[[#This Row],[Ene 2024]:[May 2024]],2)),"#N/A")</f>
        <v>3.3400000000000034</v>
      </c>
      <c r="I3" s="4">
        <f>acumulado_absoluto[[#This Row],[min]]</f>
        <v>3.3400000000000034</v>
      </c>
    </row>
    <row r="4" spans="1:9" x14ac:dyDescent="0.2">
      <c r="A4" t="s">
        <v>474</v>
      </c>
      <c r="D4" s="4">
        <v>0.11999999999999744</v>
      </c>
      <c r="E4" s="4">
        <v>8.83</v>
      </c>
      <c r="F4">
        <v>3.66</v>
      </c>
      <c r="G4" s="4">
        <f>5- COUNTIF(acumulado_absoluto[[#This Row],[Ene 2024]:[May 2024]],"")</f>
        <v>3</v>
      </c>
      <c r="H4" s="4">
        <f>IF(acumulado_absoluto[[#This Row],[contar]]&gt;2,SUM(SMALL(acumulado_absoluto[[#This Row],[Ene 2024]:[May 2024]],1),SMALL(acumulado_absoluto[[#This Row],[Ene 2024]:[May 2024]],2)),"#N/A")</f>
        <v>3.7799999999999976</v>
      </c>
      <c r="I4" s="4">
        <f>acumulado_absoluto[[#This Row],[min]]</f>
        <v>3.7799999999999976</v>
      </c>
    </row>
    <row r="5" spans="1:9" x14ac:dyDescent="0.2">
      <c r="A5" t="s">
        <v>336</v>
      </c>
      <c r="B5" s="4">
        <v>2.3999999999999915</v>
      </c>
      <c r="C5" s="4">
        <v>29.200000000000003</v>
      </c>
      <c r="D5" s="4">
        <v>3.4199999999999982</v>
      </c>
      <c r="E5" s="4">
        <v>6.83</v>
      </c>
      <c r="F5">
        <v>1.4299999999999997</v>
      </c>
      <c r="G5" s="4">
        <f>5- COUNTIF(acumulado_absoluto[[#This Row],[Ene 2024]:[May 2024]],"")</f>
        <v>5</v>
      </c>
      <c r="H5" s="4">
        <f>IF(acumulado_absoluto[[#This Row],[contar]]&gt;2,SUM(SMALL(acumulado_absoluto[[#This Row],[Ene 2024]:[May 2024]],1),SMALL(acumulado_absoluto[[#This Row],[Ene 2024]:[May 2024]],2)),"#N/A")</f>
        <v>3.8299999999999912</v>
      </c>
      <c r="I5" s="4">
        <f>acumulado_absoluto[[#This Row],[min]]</f>
        <v>3.8299999999999912</v>
      </c>
    </row>
    <row r="6" spans="1:9" x14ac:dyDescent="0.2">
      <c r="A6" t="s">
        <v>399</v>
      </c>
      <c r="B6" s="4">
        <v>0.46000000000000796</v>
      </c>
      <c r="C6" s="4">
        <v>25.86</v>
      </c>
      <c r="F6">
        <v>3.7899999999999956</v>
      </c>
      <c r="G6" s="4">
        <f>5- COUNTIF(acumulado_absoluto[[#This Row],[Ene 2024]:[May 2024]],"")</f>
        <v>3</v>
      </c>
      <c r="H6" s="4">
        <f>IF(acumulado_absoluto[[#This Row],[contar]]&gt;2,SUM(SMALL(acumulado_absoluto[[#This Row],[Ene 2024]:[May 2024]],1),SMALL(acumulado_absoluto[[#This Row],[Ene 2024]:[May 2024]],2)),"#N/A")</f>
        <v>4.2500000000000036</v>
      </c>
      <c r="I6" s="4">
        <f>acumulado_absoluto[[#This Row],[min]]</f>
        <v>4.2500000000000036</v>
      </c>
    </row>
    <row r="7" spans="1:9" x14ac:dyDescent="0.2">
      <c r="A7" t="s">
        <v>408</v>
      </c>
      <c r="B7" s="4">
        <v>2.8699999999999903</v>
      </c>
      <c r="C7" s="4">
        <v>35.730000000000004</v>
      </c>
      <c r="D7" s="4">
        <v>13.030000000000001</v>
      </c>
      <c r="E7" s="4">
        <v>10.56</v>
      </c>
      <c r="F7">
        <v>1.8399999999999999</v>
      </c>
      <c r="G7" s="4">
        <f>5- COUNTIF(acumulado_absoluto[[#This Row],[Ene 2024]:[May 2024]],"")</f>
        <v>5</v>
      </c>
      <c r="H7" s="4">
        <f>IF(acumulado_absoluto[[#This Row],[contar]]&gt;2,SUM(SMALL(acumulado_absoluto[[#This Row],[Ene 2024]:[May 2024]],1),SMALL(acumulado_absoluto[[#This Row],[Ene 2024]:[May 2024]],2)),"#N/A")</f>
        <v>4.7099999999999902</v>
      </c>
      <c r="I7" s="4">
        <f>acumulado_absoluto[[#This Row],[min]]</f>
        <v>4.7099999999999902</v>
      </c>
    </row>
    <row r="8" spans="1:9" x14ac:dyDescent="0.2">
      <c r="A8" t="s">
        <v>222</v>
      </c>
      <c r="B8" s="4">
        <v>0.64999999999999147</v>
      </c>
      <c r="C8" s="4">
        <v>33.879999999999995</v>
      </c>
      <c r="D8" s="4">
        <v>10.219999999999999</v>
      </c>
      <c r="E8" s="4">
        <v>4.83</v>
      </c>
      <c r="F8">
        <v>5.2900000000000027</v>
      </c>
      <c r="G8" s="4">
        <f>5- COUNTIF(acumulado_absoluto[[#This Row],[Ene 2024]:[May 2024]],"")</f>
        <v>5</v>
      </c>
      <c r="H8" s="4">
        <f>IF(acumulado_absoluto[[#This Row],[contar]]&gt;2,SUM(SMALL(acumulado_absoluto[[#This Row],[Ene 2024]:[May 2024]],1),SMALL(acumulado_absoluto[[#This Row],[Ene 2024]:[May 2024]],2)),"#N/A")</f>
        <v>5.4799999999999915</v>
      </c>
      <c r="I8" s="4">
        <f>acumulado_absoluto[[#This Row],[min]]</f>
        <v>5.4799999999999915</v>
      </c>
    </row>
    <row r="9" spans="1:9" x14ac:dyDescent="0.2">
      <c r="A9" t="s">
        <v>226</v>
      </c>
      <c r="B9" s="4">
        <v>1.25</v>
      </c>
      <c r="C9" s="4">
        <v>22.5</v>
      </c>
      <c r="D9" s="4">
        <v>4.5199999999999996</v>
      </c>
      <c r="E9" s="4">
        <v>8.8400000000000016</v>
      </c>
      <c r="F9">
        <v>7.0500000000000007</v>
      </c>
      <c r="G9" s="4">
        <f>5- COUNTIF(acumulado_absoluto[[#This Row],[Ene 2024]:[May 2024]],"")</f>
        <v>5</v>
      </c>
      <c r="H9" s="4">
        <f>IF(acumulado_absoluto[[#This Row],[contar]]&gt;2,SUM(SMALL(acumulado_absoluto[[#This Row],[Ene 2024]:[May 2024]],1),SMALL(acumulado_absoluto[[#This Row],[Ene 2024]:[May 2024]],2)),"#N/A")</f>
        <v>5.77</v>
      </c>
      <c r="I9" s="4">
        <f>acumulado_absoluto[[#This Row],[min]]</f>
        <v>5.77</v>
      </c>
    </row>
    <row r="10" spans="1:9" x14ac:dyDescent="0.2">
      <c r="A10" t="s">
        <v>381</v>
      </c>
      <c r="B10" s="4">
        <v>2.4000000000000057</v>
      </c>
      <c r="C10" s="4">
        <v>20.020000000000003</v>
      </c>
      <c r="F10">
        <v>3.870000000000001</v>
      </c>
      <c r="G10" s="4">
        <f>5- COUNTIF(acumulado_absoluto[[#This Row],[Ene 2024]:[May 2024]],"")</f>
        <v>3</v>
      </c>
      <c r="H10" s="4">
        <f>IF(acumulado_absoluto[[#This Row],[contar]]&gt;2,SUM(SMALL(acumulado_absoluto[[#This Row],[Ene 2024]:[May 2024]],1),SMALL(acumulado_absoluto[[#This Row],[Ene 2024]:[May 2024]],2)),"#N/A")</f>
        <v>6.2700000000000067</v>
      </c>
      <c r="I10" s="4">
        <f>acumulado_absoluto[[#This Row],[min]]</f>
        <v>6.2700000000000067</v>
      </c>
    </row>
    <row r="11" spans="1:9" x14ac:dyDescent="0.2">
      <c r="A11" t="s">
        <v>406</v>
      </c>
      <c r="B11" s="4">
        <v>0.90000000000000568</v>
      </c>
      <c r="C11" s="4">
        <v>25</v>
      </c>
      <c r="D11" s="4">
        <v>11.719999999999999</v>
      </c>
      <c r="E11" s="4">
        <v>14.83</v>
      </c>
      <c r="F11">
        <v>6.4400000000000013</v>
      </c>
      <c r="G11" s="4">
        <f>5- COUNTIF(acumulado_absoluto[[#This Row],[Ene 2024]:[May 2024]],"")</f>
        <v>5</v>
      </c>
      <c r="H11" s="4">
        <f>IF(acumulado_absoluto[[#This Row],[contar]]&gt;2,SUM(SMALL(acumulado_absoluto[[#This Row],[Ene 2024]:[May 2024]],1),SMALL(acumulado_absoluto[[#This Row],[Ene 2024]:[May 2024]],2)),"#N/A")</f>
        <v>7.340000000000007</v>
      </c>
      <c r="I11" s="4">
        <f>acumulado_absoluto[[#This Row],[min]]</f>
        <v>7.340000000000007</v>
      </c>
    </row>
    <row r="12" spans="1:9" x14ac:dyDescent="0.2">
      <c r="A12" t="s">
        <v>221</v>
      </c>
      <c r="B12" s="4">
        <v>4.1800000000000068</v>
      </c>
      <c r="C12" s="4">
        <v>19.299999999999997</v>
      </c>
      <c r="D12" s="4">
        <v>3.2099999999999973</v>
      </c>
      <c r="E12" s="4">
        <v>5.83</v>
      </c>
      <c r="F12">
        <v>6.5100000000000016</v>
      </c>
      <c r="G12" s="4">
        <f>5- COUNTIF(acumulado_absoluto[[#This Row],[Ene 2024]:[May 2024]],"")</f>
        <v>5</v>
      </c>
      <c r="H12" s="4">
        <f>IF(acumulado_absoluto[[#This Row],[contar]]&gt;2,SUM(SMALL(acumulado_absoluto[[#This Row],[Ene 2024]:[May 2024]],1),SMALL(acumulado_absoluto[[#This Row],[Ene 2024]:[May 2024]],2)),"#N/A")</f>
        <v>7.3900000000000041</v>
      </c>
      <c r="I12" s="4">
        <f>acumulado_absoluto[[#This Row],[min]]</f>
        <v>7.3900000000000041</v>
      </c>
    </row>
    <row r="13" spans="1:9" x14ac:dyDescent="0.2">
      <c r="A13" t="s">
        <v>335</v>
      </c>
      <c r="B13" s="4">
        <v>5.2000000000000028</v>
      </c>
      <c r="C13" s="4">
        <v>28.099999999999994</v>
      </c>
      <c r="F13">
        <v>2.7699999999999996</v>
      </c>
      <c r="G13" s="4">
        <f>5- COUNTIF(acumulado_absoluto[[#This Row],[Ene 2024]:[May 2024]],"")</f>
        <v>3</v>
      </c>
      <c r="H13" s="4">
        <f>IF(acumulado_absoluto[[#This Row],[contar]]&gt;2,SUM(SMALL(acumulado_absoluto[[#This Row],[Ene 2024]:[May 2024]],1),SMALL(acumulado_absoluto[[#This Row],[Ene 2024]:[May 2024]],2)),"#N/A")</f>
        <v>7.9700000000000024</v>
      </c>
      <c r="I13" s="4">
        <f>acumulado_absoluto[[#This Row],[min]]</f>
        <v>7.9700000000000024</v>
      </c>
    </row>
    <row r="14" spans="1:9" x14ac:dyDescent="0.2">
      <c r="A14" t="s">
        <v>543</v>
      </c>
      <c r="C14" s="4">
        <v>27.200000000000003</v>
      </c>
      <c r="D14" s="4">
        <v>6.9599999999999973</v>
      </c>
      <c r="E14" s="4">
        <v>5.4</v>
      </c>
      <c r="F14">
        <v>2.8200000000000003</v>
      </c>
      <c r="G14" s="4">
        <f>5- COUNTIF(acumulado_absoluto[[#This Row],[Ene 2024]:[May 2024]],"")</f>
        <v>4</v>
      </c>
      <c r="H14" s="4">
        <f>IF(acumulado_absoluto[[#This Row],[contar]]&gt;2,SUM(SMALL(acumulado_absoluto[[#This Row],[Ene 2024]:[May 2024]],1),SMALL(acumulado_absoluto[[#This Row],[Ene 2024]:[May 2024]],2)),"#N/A")</f>
        <v>8.2200000000000006</v>
      </c>
      <c r="I14" s="4">
        <f>acumulado_absoluto[[#This Row],[min]]</f>
        <v>8.2200000000000006</v>
      </c>
    </row>
    <row r="15" spans="1:9" x14ac:dyDescent="0.2">
      <c r="A15" t="s">
        <v>409</v>
      </c>
      <c r="B15" s="4">
        <v>7.5900000000000034</v>
      </c>
      <c r="C15" s="4">
        <v>29.620000000000005</v>
      </c>
      <c r="D15" s="4">
        <v>35.409999999999997</v>
      </c>
      <c r="E15" s="4">
        <v>23.879999999999995</v>
      </c>
      <c r="F15">
        <v>1.75</v>
      </c>
      <c r="G15" s="4">
        <f>5- COUNTIF(acumulado_absoluto[[#This Row],[Ene 2024]:[May 2024]],"")</f>
        <v>5</v>
      </c>
      <c r="H15" s="4">
        <f>IF(acumulado_absoluto[[#This Row],[contar]]&gt;2,SUM(SMALL(acumulado_absoluto[[#This Row],[Ene 2024]:[May 2024]],1),SMALL(acumulado_absoluto[[#This Row],[Ene 2024]:[May 2024]],2)),"#N/A")</f>
        <v>9.3400000000000034</v>
      </c>
      <c r="I15" s="4">
        <f>acumulado_absoluto[[#This Row],[min]]</f>
        <v>9.3400000000000034</v>
      </c>
    </row>
    <row r="16" spans="1:9" x14ac:dyDescent="0.2">
      <c r="A16" t="s">
        <v>9</v>
      </c>
      <c r="B16" s="4">
        <v>5.9000000000000057</v>
      </c>
      <c r="C16" s="4">
        <v>28</v>
      </c>
      <c r="D16" s="4">
        <v>24.72</v>
      </c>
      <c r="E16" s="4">
        <v>26.33</v>
      </c>
      <c r="F16">
        <v>3.5599999999999987</v>
      </c>
      <c r="G16" s="4">
        <f>5- COUNTIF(acumulado_absoluto[[#This Row],[Ene 2024]:[May 2024]],"")</f>
        <v>5</v>
      </c>
      <c r="H16" s="4">
        <f>IF(acumulado_absoluto[[#This Row],[contar]]&gt;2,SUM(SMALL(acumulado_absoluto[[#This Row],[Ene 2024]:[May 2024]],1),SMALL(acumulado_absoluto[[#This Row],[Ene 2024]:[May 2024]],2)),"#N/A")</f>
        <v>9.4600000000000044</v>
      </c>
      <c r="I16" s="4">
        <f>acumulado_absoluto[[#This Row],[min]]</f>
        <v>9.4600000000000044</v>
      </c>
    </row>
    <row r="17" spans="1:9" x14ac:dyDescent="0.2">
      <c r="A17" t="s">
        <v>364</v>
      </c>
      <c r="C17" s="4">
        <v>31.010000000000005</v>
      </c>
      <c r="D17" s="4">
        <v>27.39</v>
      </c>
      <c r="E17" s="4">
        <v>11.040000000000001</v>
      </c>
      <c r="F17">
        <v>0.43999999999999773</v>
      </c>
      <c r="G17" s="4">
        <f>5- COUNTIF(acumulado_absoluto[[#This Row],[Ene 2024]:[May 2024]],"")</f>
        <v>4</v>
      </c>
      <c r="H17" s="4">
        <f>IF(acumulado_absoluto[[#This Row],[contar]]&gt;2,SUM(SMALL(acumulado_absoluto[[#This Row],[Ene 2024]:[May 2024]],1),SMALL(acumulado_absoluto[[#This Row],[Ene 2024]:[May 2024]],2)),"#N/A")</f>
        <v>11.479999999999999</v>
      </c>
      <c r="I17" s="4">
        <f>acumulado_absoluto[[#This Row],[min]]</f>
        <v>11.479999999999999</v>
      </c>
    </row>
    <row r="18" spans="1:9" x14ac:dyDescent="0.2">
      <c r="A18" t="s">
        <v>363</v>
      </c>
      <c r="B18" s="4">
        <v>3.2999999999999972</v>
      </c>
      <c r="C18" s="4">
        <v>25.400000000000006</v>
      </c>
      <c r="D18" s="4">
        <v>9.52</v>
      </c>
      <c r="E18" s="4">
        <v>9.1300000000000008</v>
      </c>
      <c r="F18">
        <v>9.84</v>
      </c>
      <c r="G18" s="4">
        <f>5- COUNTIF(acumulado_absoluto[[#This Row],[Ene 2024]:[May 2024]],"")</f>
        <v>5</v>
      </c>
      <c r="H18" s="4">
        <f>IF(acumulado_absoluto[[#This Row],[contar]]&gt;2,SUM(SMALL(acumulado_absoluto[[#This Row],[Ene 2024]:[May 2024]],1),SMALL(acumulado_absoluto[[#This Row],[Ene 2024]:[May 2024]],2)),"#N/A")</f>
        <v>12.429999999999998</v>
      </c>
      <c r="I18" s="4">
        <f>acumulado_absoluto[[#This Row],[min]]</f>
        <v>12.429999999999998</v>
      </c>
    </row>
    <row r="19" spans="1:9" x14ac:dyDescent="0.2">
      <c r="A19" t="s">
        <v>414</v>
      </c>
      <c r="C19" s="4">
        <v>24.349999999999994</v>
      </c>
      <c r="D19" s="4">
        <v>15.049999999999997</v>
      </c>
      <c r="E19" s="4">
        <v>9.8400000000000016</v>
      </c>
      <c r="F19">
        <v>3.34</v>
      </c>
      <c r="G19" s="4">
        <f>5- COUNTIF(acumulado_absoluto[[#This Row],[Ene 2024]:[May 2024]],"")</f>
        <v>4</v>
      </c>
      <c r="H19" s="4">
        <f>IF(acumulado_absoluto[[#This Row],[contar]]&gt;2,SUM(SMALL(acumulado_absoluto[[#This Row],[Ene 2024]:[May 2024]],1),SMALL(acumulado_absoluto[[#This Row],[Ene 2024]:[May 2024]],2)),"#N/A")</f>
        <v>13.180000000000001</v>
      </c>
      <c r="I19" s="4">
        <f>acumulado_absoluto[[#This Row],[min]]</f>
        <v>13.180000000000001</v>
      </c>
    </row>
    <row r="20" spans="1:9" x14ac:dyDescent="0.2">
      <c r="A20" t="s">
        <v>215</v>
      </c>
      <c r="B20" s="4">
        <v>3.6000000000000085</v>
      </c>
      <c r="C20" s="4">
        <v>28.950000000000003</v>
      </c>
      <c r="E20" s="4">
        <v>30.83</v>
      </c>
      <c r="F20">
        <v>9.66</v>
      </c>
      <c r="G20" s="4">
        <f>5- COUNTIF(acumulado_absoluto[[#This Row],[Ene 2024]:[May 2024]],"")</f>
        <v>4</v>
      </c>
      <c r="H20" s="4">
        <f>IF(acumulado_absoluto[[#This Row],[contar]]&gt;2,SUM(SMALL(acumulado_absoluto[[#This Row],[Ene 2024]:[May 2024]],1),SMALL(acumulado_absoluto[[#This Row],[Ene 2024]:[May 2024]],2)),"#N/A")</f>
        <v>13.260000000000009</v>
      </c>
      <c r="I20" s="4">
        <f>acumulado_absoluto[[#This Row],[min]]</f>
        <v>13.260000000000009</v>
      </c>
    </row>
    <row r="21" spans="1:9" x14ac:dyDescent="0.2">
      <c r="A21" t="s">
        <v>403</v>
      </c>
      <c r="B21" s="4">
        <v>14.400000000000006</v>
      </c>
      <c r="E21" s="4">
        <v>26.58</v>
      </c>
      <c r="F21">
        <v>0.74000000000000199</v>
      </c>
      <c r="G21" s="4">
        <f>5- COUNTIF(acumulado_absoluto[[#This Row],[Ene 2024]:[May 2024]],"")</f>
        <v>3</v>
      </c>
      <c r="H21" s="4">
        <f>IF(acumulado_absoluto[[#This Row],[contar]]&gt;2,SUM(SMALL(acumulado_absoluto[[#This Row],[Ene 2024]:[May 2024]],1),SMALL(acumulado_absoluto[[#This Row],[Ene 2024]:[May 2024]],2)),"#N/A")</f>
        <v>15.140000000000008</v>
      </c>
      <c r="I21" s="4">
        <f>acumulado_absoluto[[#This Row],[min]]</f>
        <v>15.140000000000008</v>
      </c>
    </row>
    <row r="22" spans="1:9" x14ac:dyDescent="0.2">
      <c r="A22" t="s">
        <v>328</v>
      </c>
      <c r="C22" s="4">
        <v>25.200000000000003</v>
      </c>
      <c r="E22" s="4">
        <v>13.930000000000001</v>
      </c>
      <c r="F22">
        <v>1.4400000000000013</v>
      </c>
      <c r="G22" s="4">
        <f>5- COUNTIF(acumulado_absoluto[[#This Row],[Ene 2024]:[May 2024]],"")</f>
        <v>3</v>
      </c>
      <c r="H22" s="4">
        <f>IF(acumulado_absoluto[[#This Row],[contar]]&gt;2,SUM(SMALL(acumulado_absoluto[[#This Row],[Ene 2024]:[May 2024]],1),SMALL(acumulado_absoluto[[#This Row],[Ene 2024]:[May 2024]],2)),"#N/A")</f>
        <v>15.370000000000003</v>
      </c>
      <c r="I22" s="4">
        <f>acumulado_absoluto[[#This Row],[min]]</f>
        <v>15.370000000000003</v>
      </c>
    </row>
    <row r="23" spans="1:9" x14ac:dyDescent="0.2">
      <c r="A23" t="s">
        <v>219</v>
      </c>
      <c r="B23" s="4">
        <v>13.980000000000004</v>
      </c>
      <c r="C23" s="4">
        <v>29.689999999999998</v>
      </c>
      <c r="D23" s="4">
        <v>16.379999999999995</v>
      </c>
      <c r="F23">
        <v>1.9100000000000001</v>
      </c>
      <c r="G23" s="4">
        <f>5- COUNTIF(acumulado_absoluto[[#This Row],[Ene 2024]:[May 2024]],"")</f>
        <v>4</v>
      </c>
      <c r="H23" s="4">
        <f>IF(acumulado_absoluto[[#This Row],[contar]]&gt;2,SUM(SMALL(acumulado_absoluto[[#This Row],[Ene 2024]:[May 2024]],1),SMALL(acumulado_absoluto[[#This Row],[Ene 2024]:[May 2024]],2)),"#N/A")</f>
        <v>15.890000000000004</v>
      </c>
      <c r="I23" s="4">
        <f>acumulado_absoluto[[#This Row],[min]]</f>
        <v>15.890000000000004</v>
      </c>
    </row>
    <row r="24" spans="1:9" x14ac:dyDescent="0.2">
      <c r="A24" t="s">
        <v>217</v>
      </c>
      <c r="B24" s="4">
        <v>14.599999999999994</v>
      </c>
      <c r="C24" s="4">
        <v>29.959999999999994</v>
      </c>
      <c r="D24" s="4">
        <v>24.729999999999997</v>
      </c>
      <c r="E24" s="4">
        <v>19.659999999999997</v>
      </c>
      <c r="F24">
        <v>1.889999999999997</v>
      </c>
      <c r="G24" s="4">
        <f>5- COUNTIF(acumulado_absoluto[[#This Row],[Ene 2024]:[May 2024]],"")</f>
        <v>5</v>
      </c>
      <c r="H24" s="4">
        <f>IF(acumulado_absoluto[[#This Row],[contar]]&gt;2,SUM(SMALL(acumulado_absoluto[[#This Row],[Ene 2024]:[May 2024]],1),SMALL(acumulado_absoluto[[#This Row],[Ene 2024]:[May 2024]],2)),"#N/A")</f>
        <v>16.489999999999991</v>
      </c>
      <c r="I24" s="4">
        <f>acumulado_absoluto[[#This Row],[min]]</f>
        <v>16.489999999999991</v>
      </c>
    </row>
    <row r="25" spans="1:9" x14ac:dyDescent="0.2">
      <c r="A25" t="s">
        <v>218</v>
      </c>
      <c r="B25" s="4">
        <v>11.300000000000011</v>
      </c>
      <c r="C25" s="4">
        <v>24.459999999999994</v>
      </c>
      <c r="D25" s="4">
        <v>6.2199999999999989</v>
      </c>
      <c r="E25" s="4">
        <v>12.229999999999999</v>
      </c>
      <c r="F25">
        <v>15.940000000000001</v>
      </c>
      <c r="G25" s="4">
        <f>5- COUNTIF(acumulado_absoluto[[#This Row],[Ene 2024]:[May 2024]],"")</f>
        <v>5</v>
      </c>
      <c r="H25" s="4">
        <f>IF(acumulado_absoluto[[#This Row],[contar]]&gt;2,SUM(SMALL(acumulado_absoluto[[#This Row],[Ene 2024]:[May 2024]],1),SMALL(acumulado_absoluto[[#This Row],[Ene 2024]:[May 2024]],2)),"#N/A")</f>
        <v>17.52000000000001</v>
      </c>
      <c r="I25" s="4">
        <f>acumulado_absoluto[[#This Row],[min]]</f>
        <v>17.52000000000001</v>
      </c>
    </row>
    <row r="26" spans="1:9" x14ac:dyDescent="0.2">
      <c r="A26" t="s">
        <v>292</v>
      </c>
      <c r="C26" s="4">
        <v>20.100000000000001</v>
      </c>
      <c r="D26" s="4">
        <v>9.1199999999999974</v>
      </c>
      <c r="E26" s="4">
        <v>10.229999999999999</v>
      </c>
      <c r="F26"/>
      <c r="G26" s="4">
        <f>5- COUNTIF(acumulado_absoluto[[#This Row],[Ene 2024]:[May 2024]],"")</f>
        <v>3</v>
      </c>
      <c r="H26" s="4">
        <f>IF(acumulado_absoluto[[#This Row],[contar]]&gt;2,SUM(SMALL(acumulado_absoluto[[#This Row],[Ene 2024]:[May 2024]],1),SMALL(acumulado_absoluto[[#This Row],[Ene 2024]:[May 2024]],2)),"#N/A")</f>
        <v>19.349999999999994</v>
      </c>
      <c r="I26" s="4">
        <f>acumulado_absoluto[[#This Row],[min]]</f>
        <v>19.349999999999994</v>
      </c>
    </row>
    <row r="27" spans="1:9" x14ac:dyDescent="0.2">
      <c r="A27" t="s">
        <v>411</v>
      </c>
      <c r="B27" s="4">
        <v>28.680000000000007</v>
      </c>
      <c r="E27" s="4">
        <v>10.220000000000001</v>
      </c>
      <c r="F27">
        <v>9.4200000000000017</v>
      </c>
      <c r="G27" s="4">
        <f>5- COUNTIF(acumulado_absoluto[[#This Row],[Ene 2024]:[May 2024]],"")</f>
        <v>3</v>
      </c>
      <c r="H27" s="4">
        <f>IF(acumulado_absoluto[[#This Row],[contar]]&gt;2,SUM(SMALL(acumulado_absoluto[[#This Row],[Ene 2024]:[May 2024]],1),SMALL(acumulado_absoluto[[#This Row],[Ene 2024]:[May 2024]],2)),"#N/A")</f>
        <v>19.64</v>
      </c>
      <c r="I27" s="4">
        <f>acumulado_absoluto[[#This Row],[min]]</f>
        <v>19.64</v>
      </c>
    </row>
    <row r="28" spans="1:9" x14ac:dyDescent="0.2">
      <c r="A28" t="s">
        <v>225</v>
      </c>
      <c r="B28" s="4">
        <v>11.219999999999999</v>
      </c>
      <c r="C28" s="4">
        <v>32.25</v>
      </c>
      <c r="D28" s="4">
        <v>25.949999999999996</v>
      </c>
      <c r="E28" s="4">
        <v>9.65</v>
      </c>
      <c r="F28">
        <v>20.330000000000002</v>
      </c>
      <c r="G28" s="4">
        <f>5- COUNTIF(acumulado_absoluto[[#This Row],[Ene 2024]:[May 2024]],"")</f>
        <v>5</v>
      </c>
      <c r="H28" s="4">
        <f>IF(acumulado_absoluto[[#This Row],[contar]]&gt;2,SUM(SMALL(acumulado_absoluto[[#This Row],[Ene 2024]:[May 2024]],1),SMALL(acumulado_absoluto[[#This Row],[Ene 2024]:[May 2024]],2)),"#N/A")</f>
        <v>20.869999999999997</v>
      </c>
      <c r="I28" s="4">
        <f>acumulado_absoluto[[#This Row],[min]]</f>
        <v>20.869999999999997</v>
      </c>
    </row>
    <row r="29" spans="1:9" x14ac:dyDescent="0.2">
      <c r="A29" t="s">
        <v>242</v>
      </c>
      <c r="B29" s="4">
        <v>13.599999999999994</v>
      </c>
      <c r="E29" s="4">
        <v>8.33</v>
      </c>
      <c r="F29">
        <v>23.94</v>
      </c>
      <c r="G29" s="4">
        <f>5- COUNTIF(acumulado_absoluto[[#This Row],[Ene 2024]:[May 2024]],"")</f>
        <v>3</v>
      </c>
      <c r="H29" s="4">
        <f>IF(acumulado_absoluto[[#This Row],[contar]]&gt;2,SUM(SMALL(acumulado_absoluto[[#This Row],[Ene 2024]:[May 2024]],1),SMALL(acumulado_absoluto[[#This Row],[Ene 2024]:[May 2024]],2)),"#N/A")</f>
        <v>21.929999999999993</v>
      </c>
      <c r="I29" s="4">
        <f>acumulado_absoluto[[#This Row],[min]]</f>
        <v>21.929999999999993</v>
      </c>
    </row>
    <row r="30" spans="1:9" x14ac:dyDescent="0.2">
      <c r="A30" t="s">
        <v>337</v>
      </c>
      <c r="C30" s="4">
        <v>20.060000000000002</v>
      </c>
      <c r="E30" s="4">
        <v>19.670000000000002</v>
      </c>
      <c r="F30">
        <v>4.09</v>
      </c>
      <c r="G30" s="4">
        <f>5- COUNTIF(acumulado_absoluto[[#This Row],[Ene 2024]:[May 2024]],"")</f>
        <v>3</v>
      </c>
      <c r="H30" s="4">
        <f>IF(acumulado_absoluto[[#This Row],[contar]]&gt;2,SUM(SMALL(acumulado_absoluto[[#This Row],[Ene 2024]:[May 2024]],1),SMALL(acumulado_absoluto[[#This Row],[Ene 2024]:[May 2024]],2)),"#N/A")</f>
        <v>23.76</v>
      </c>
      <c r="I30" s="4">
        <f>acumulado_absoluto[[#This Row],[min]]</f>
        <v>23.76</v>
      </c>
    </row>
    <row r="31" spans="1:9" x14ac:dyDescent="0.2">
      <c r="A31" t="s">
        <v>412</v>
      </c>
      <c r="B31" s="4">
        <v>6.980000000000004</v>
      </c>
      <c r="C31" s="4">
        <v>39.799999999999997</v>
      </c>
      <c r="D31" s="4">
        <v>41.4</v>
      </c>
      <c r="E31" s="4">
        <v>75.23</v>
      </c>
      <c r="F31">
        <v>17.16</v>
      </c>
      <c r="G31" s="4">
        <f>5- COUNTIF(acumulado_absoluto[[#This Row],[Ene 2024]:[May 2024]],"")</f>
        <v>5</v>
      </c>
      <c r="H31" s="4">
        <f>IF(acumulado_absoluto[[#This Row],[contar]]&gt;2,SUM(SMALL(acumulado_absoluto[[#This Row],[Ene 2024]:[May 2024]],1),SMALL(acumulado_absoluto[[#This Row],[Ene 2024]:[May 2024]],2)),"#N/A")</f>
        <v>24.140000000000004</v>
      </c>
      <c r="I31" s="4">
        <f>acumulado_absoluto[[#This Row],[min]]</f>
        <v>24.140000000000004</v>
      </c>
    </row>
    <row r="32" spans="1:9" x14ac:dyDescent="0.2">
      <c r="A32" t="s">
        <v>407</v>
      </c>
      <c r="B32" s="4">
        <v>1.5500000000000114</v>
      </c>
      <c r="C32" s="4">
        <v>30.22</v>
      </c>
      <c r="D32" s="4">
        <v>27.439999999999998</v>
      </c>
      <c r="F32"/>
      <c r="G32" s="4">
        <f>5- COUNTIF(acumulado_absoluto[[#This Row],[Ene 2024]:[May 2024]],"")</f>
        <v>3</v>
      </c>
      <c r="H32" s="4">
        <f>IF(acumulado_absoluto[[#This Row],[contar]]&gt;2,SUM(SMALL(acumulado_absoluto[[#This Row],[Ene 2024]:[May 2024]],1),SMALL(acumulado_absoluto[[#This Row],[Ene 2024]:[May 2024]],2)),"#N/A")</f>
        <v>28.990000000000009</v>
      </c>
      <c r="I32" s="4">
        <f>acumulado_absoluto[[#This Row],[min]]</f>
        <v>28.990000000000009</v>
      </c>
    </row>
    <row r="33" spans="1:9" x14ac:dyDescent="0.2">
      <c r="A33" t="s">
        <v>401</v>
      </c>
      <c r="B33" s="4">
        <v>13</v>
      </c>
      <c r="C33" s="4">
        <v>35</v>
      </c>
      <c r="D33" s="4">
        <v>34.72</v>
      </c>
      <c r="E33" s="4">
        <v>33.78</v>
      </c>
      <c r="F33">
        <v>22.560000000000002</v>
      </c>
      <c r="G33" s="4">
        <f>5- COUNTIF(acumulado_absoluto[[#This Row],[Ene 2024]:[May 2024]],"")</f>
        <v>5</v>
      </c>
      <c r="H33" s="4">
        <f>IF(acumulado_absoluto[[#This Row],[contar]]&gt;2,SUM(SMALL(acumulado_absoluto[[#This Row],[Ene 2024]:[May 2024]],1),SMALL(acumulado_absoluto[[#This Row],[Ene 2024]:[May 2024]],2)),"#N/A")</f>
        <v>35.56</v>
      </c>
      <c r="I33" s="4">
        <f>acumulado_absoluto[[#This Row],[min]]</f>
        <v>35.56</v>
      </c>
    </row>
    <row r="34" spans="1:9" hidden="1" x14ac:dyDescent="0.2">
      <c r="A34" t="s">
        <v>338</v>
      </c>
      <c r="C34" s="4">
        <v>49.239999999999995</v>
      </c>
      <c r="F34"/>
      <c r="G34" s="4">
        <f>5- COUNTIF(acumulado_absoluto[[#This Row],[Ene 2024]:[May 2024]],"")</f>
        <v>1</v>
      </c>
      <c r="H34" s="4" t="str">
        <f>IF(acumulado_absoluto[[#This Row],[contar]]&gt;2,SUM(SMALL(acumulado_absoluto[[#This Row],[Ene 2024]:[May 2024]],1),SMALL(acumulado_absoluto[[#This Row],[Ene 2024]:[May 2024]],2)),"#N/A")</f>
        <v>#N/A</v>
      </c>
      <c r="I34" s="4" t="str">
        <f>acumulado_absoluto[[#This Row],[min]]</f>
        <v>#N/A</v>
      </c>
    </row>
    <row r="35" spans="1:9" hidden="1" x14ac:dyDescent="0.2">
      <c r="A35" t="s">
        <v>402</v>
      </c>
      <c r="B35" s="4">
        <v>1.9400000000000119</v>
      </c>
      <c r="F35"/>
      <c r="G35" s="4">
        <f>5- COUNTIF(acumulado_absoluto[[#This Row],[Ene 2024]:[May 2024]],"")</f>
        <v>1</v>
      </c>
      <c r="H35" s="4" t="str">
        <f>IF(acumulado_absoluto[[#This Row],[contar]]&gt;2,SUM(SMALL(acumulado_absoluto[[#This Row],[Ene 2024]:[May 2024]],1),SMALL(acumulado_absoluto[[#This Row],[Ene 2024]:[May 2024]],2)),"#N/A")</f>
        <v>#N/A</v>
      </c>
      <c r="I35" s="4" t="str">
        <f>acumulado_absoluto[[#This Row],[min]]</f>
        <v>#N/A</v>
      </c>
    </row>
    <row r="36" spans="1:9" hidden="1" x14ac:dyDescent="0.2">
      <c r="A36" t="s">
        <v>415</v>
      </c>
      <c r="C36" s="4">
        <v>30.099999999999994</v>
      </c>
      <c r="F36"/>
      <c r="G36" s="4">
        <f>5- COUNTIF(acumulado_absoluto[[#This Row],[Ene 2024]:[May 2024]],"")</f>
        <v>1</v>
      </c>
      <c r="H36" s="4" t="str">
        <f>IF(acumulado_absoluto[[#This Row],[contar]]&gt;2,SUM(SMALL(acumulado_absoluto[[#This Row],[Ene 2024]:[May 2024]],1),SMALL(acumulado_absoluto[[#This Row],[Ene 2024]:[May 2024]],2)),"#N/A")</f>
        <v>#N/A</v>
      </c>
      <c r="I36" s="4" t="str">
        <f>acumulado_absoluto[[#This Row],[min]]</f>
        <v>#N/A</v>
      </c>
    </row>
    <row r="37" spans="1:9" hidden="1" x14ac:dyDescent="0.2">
      <c r="A37" t="s">
        <v>413</v>
      </c>
      <c r="C37" s="4">
        <v>32.200000000000003</v>
      </c>
      <c r="F37">
        <v>1.9000000000000021</v>
      </c>
      <c r="G37" s="4">
        <f>5- COUNTIF(acumulado_absoluto[[#This Row],[Ene 2024]:[May 2024]],"")</f>
        <v>2</v>
      </c>
      <c r="H37" s="4" t="str">
        <f>IF(acumulado_absoluto[[#This Row],[contar]]&gt;2,SUM(SMALL(acumulado_absoluto[[#This Row],[Ene 2024]:[May 2024]],1),SMALL(acumulado_absoluto[[#This Row],[Ene 2024]:[May 2024]],2)),"#N/A")</f>
        <v>#N/A</v>
      </c>
      <c r="I37" s="4" t="str">
        <f>acumulado_absoluto[[#This Row],[min]]</f>
        <v>#N/A</v>
      </c>
    </row>
    <row r="38" spans="1:9" hidden="1" x14ac:dyDescent="0.2">
      <c r="A38" t="s">
        <v>216</v>
      </c>
      <c r="B38" s="4">
        <v>1.0500000000000114</v>
      </c>
      <c r="F38"/>
      <c r="G38" s="4">
        <f>5- COUNTIF(acumulado_absoluto[[#This Row],[Ene 2024]:[May 2024]],"")</f>
        <v>1</v>
      </c>
      <c r="H38" s="4" t="str">
        <f>IF(acumulado_absoluto[[#This Row],[contar]]&gt;2,SUM(SMALL(acumulado_absoluto[[#This Row],[Ene 2024]:[May 2024]],1),SMALL(acumulado_absoluto[[#This Row],[Ene 2024]:[May 2024]],2)),"#N/A")</f>
        <v>#N/A</v>
      </c>
      <c r="I38" s="4" t="str">
        <f>acumulado_absoluto[[#This Row],[min]]</f>
        <v>#N/A</v>
      </c>
    </row>
    <row r="39" spans="1:9" hidden="1" x14ac:dyDescent="0.2">
      <c r="A39" t="s">
        <v>475</v>
      </c>
      <c r="D39" s="4">
        <v>15.079999999999998</v>
      </c>
      <c r="F39"/>
      <c r="G39" s="4">
        <f>5- COUNTIF(acumulado_absoluto[[#This Row],[Ene 2024]:[May 2024]],"")</f>
        <v>1</v>
      </c>
      <c r="H39" s="4" t="str">
        <f>IF(acumulado_absoluto[[#This Row],[contar]]&gt;2,SUM(SMALL(acumulado_absoluto[[#This Row],[Ene 2024]:[May 2024]],1),SMALL(acumulado_absoluto[[#This Row],[Ene 2024]:[May 2024]],2)),"#N/A")</f>
        <v>#N/A</v>
      </c>
      <c r="I39" s="4" t="str">
        <f>acumulado_absoluto[[#This Row],[min]]</f>
        <v>#N/A</v>
      </c>
    </row>
    <row r="40" spans="1:9" hidden="1" x14ac:dyDescent="0.2">
      <c r="A40" t="s">
        <v>657</v>
      </c>
      <c r="F40">
        <v>3.0299999999999976</v>
      </c>
      <c r="G40" s="4">
        <f>5- COUNTIF(acumulado_absoluto[[#This Row],[Ene 2024]:[May 2024]],"")</f>
        <v>1</v>
      </c>
      <c r="H40" s="4" t="str">
        <f>IF(acumulado_absoluto[[#This Row],[contar]]&gt;2,SUM(SMALL(acumulado_absoluto[[#This Row],[Ene 2024]:[May 2024]],1),SMALL(acumulado_absoluto[[#This Row],[Ene 2024]:[May 2024]],2)),"#N/A")</f>
        <v>#N/A</v>
      </c>
      <c r="I40" s="4" t="str">
        <f>acumulado_absoluto[[#This Row],[min]]</f>
        <v>#N/A</v>
      </c>
    </row>
    <row r="41" spans="1:9" hidden="1" x14ac:dyDescent="0.2">
      <c r="A41" t="s">
        <v>656</v>
      </c>
      <c r="F41">
        <v>18.340000000000003</v>
      </c>
      <c r="G41" s="4">
        <f>5- COUNTIF(acumulado_absoluto[[#This Row],[Ene 2024]:[May 2024]],"")</f>
        <v>1</v>
      </c>
      <c r="H41" s="4" t="str">
        <f>IF(acumulado_absoluto[[#This Row],[contar]]&gt;2,SUM(SMALL(acumulado_absoluto[[#This Row],[Ene 2024]:[May 2024]],1),SMALL(acumulado_absoluto[[#This Row],[Ene 2024]:[May 2024]],2)),"#N/A")</f>
        <v>#N/A</v>
      </c>
      <c r="I41" s="4" t="str">
        <f>acumulado_absoluto[[#This Row],[min]]</f>
        <v>#N/A</v>
      </c>
    </row>
    <row r="42" spans="1:9" hidden="1" x14ac:dyDescent="0.2">
      <c r="A42" t="s">
        <v>340</v>
      </c>
      <c r="C42" s="4">
        <v>21.53</v>
      </c>
      <c r="F42"/>
      <c r="G42" s="4">
        <f>5- COUNTIF(acumulado_absoluto[[#This Row],[Ene 2024]:[May 2024]],"")</f>
        <v>1</v>
      </c>
      <c r="H42" s="4" t="str">
        <f>IF(acumulado_absoluto[[#This Row],[contar]]&gt;2,SUM(SMALL(acumulado_absoluto[[#This Row],[Ene 2024]:[May 2024]],1),SMALL(acumulado_absoluto[[#This Row],[Ene 2024]:[May 2024]],2)),"#N/A")</f>
        <v>#N/A</v>
      </c>
      <c r="I42" s="4" t="str">
        <f>acumulado_absoluto[[#This Row],[min]]</f>
        <v>#N/A</v>
      </c>
    </row>
    <row r="43" spans="1:9" hidden="1" x14ac:dyDescent="0.2">
      <c r="A43" t="s">
        <v>541</v>
      </c>
      <c r="E43" s="4">
        <v>3.6599999999999984</v>
      </c>
      <c r="F43">
        <v>3.889999999999997</v>
      </c>
      <c r="G43" s="4">
        <f>5- COUNTIF(acumulado_absoluto[[#This Row],[Ene 2024]:[May 2024]],"")</f>
        <v>2</v>
      </c>
      <c r="H43" s="4" t="str">
        <f>IF(acumulado_absoluto[[#This Row],[contar]]&gt;2,SUM(SMALL(acumulado_absoluto[[#This Row],[Ene 2024]:[May 2024]],1),SMALL(acumulado_absoluto[[#This Row],[Ene 2024]:[May 2024]],2)),"#N/A")</f>
        <v>#N/A</v>
      </c>
      <c r="I43" s="4" t="str">
        <f>acumulado_absoluto[[#This Row],[min]]</f>
        <v>#N/A</v>
      </c>
    </row>
    <row r="44" spans="1:9" hidden="1" x14ac:dyDescent="0.2">
      <c r="A44" t="s">
        <v>472</v>
      </c>
      <c r="D44" s="4">
        <v>12.29</v>
      </c>
      <c r="F44"/>
      <c r="G44" s="4">
        <f>5- COUNTIF(acumulado_absoluto[[#This Row],[Ene 2024]:[May 2024]],"")</f>
        <v>1</v>
      </c>
      <c r="H44" s="4" t="str">
        <f>IF(acumulado_absoluto[[#This Row],[contar]]&gt;2,SUM(SMALL(acumulado_absoluto[[#This Row],[Ene 2024]:[May 2024]],1),SMALL(acumulado_absoluto[[#This Row],[Ene 2024]:[May 2024]],2)),"#N/A")</f>
        <v>#N/A</v>
      </c>
      <c r="I44" s="4" t="str">
        <f>acumulado_absoluto[[#This Row],[min]]</f>
        <v>#N/A</v>
      </c>
    </row>
    <row r="45" spans="1:9" hidden="1" x14ac:dyDescent="0.2">
      <c r="A45" t="s">
        <v>654</v>
      </c>
      <c r="F45">
        <v>7.740000000000002</v>
      </c>
      <c r="G45" s="4">
        <f>5- COUNTIF(acumulado_absoluto[[#This Row],[Ene 2024]:[May 2024]],"")</f>
        <v>1</v>
      </c>
      <c r="H45" s="4" t="str">
        <f>IF(acumulado_absoluto[[#This Row],[contar]]&gt;2,SUM(SMALL(acumulado_absoluto[[#This Row],[Ene 2024]:[May 2024]],1),SMALL(acumulado_absoluto[[#This Row],[Ene 2024]:[May 2024]],2)),"#N/A")</f>
        <v>#N/A</v>
      </c>
      <c r="I45" s="4" t="str">
        <f>acumulado_absoluto[[#This Row],[min]]</f>
        <v>#N/A</v>
      </c>
    </row>
    <row r="46" spans="1:9" hidden="1" x14ac:dyDescent="0.2">
      <c r="A46" t="s">
        <v>655</v>
      </c>
      <c r="F46">
        <v>4.16</v>
      </c>
      <c r="G46" s="4">
        <f>5- COUNTIF(acumulado_absoluto[[#This Row],[Ene 2024]:[May 2024]],"")</f>
        <v>1</v>
      </c>
      <c r="H46" s="4" t="str">
        <f>IF(acumulado_absoluto[[#This Row],[contar]]&gt;2,SUM(SMALL(acumulado_absoluto[[#This Row],[Ene 2024]:[May 2024]],1),SMALL(acumulado_absoluto[[#This Row],[Ene 2024]:[May 2024]],2)),"#N/A")</f>
        <v>#N/A</v>
      </c>
      <c r="I46" s="4" t="str">
        <f>acumulado_absoluto[[#This Row],[min]]</f>
        <v>#N/A</v>
      </c>
    </row>
    <row r="47" spans="1:9" hidden="1" x14ac:dyDescent="0.2">
      <c r="A47" t="s">
        <v>223</v>
      </c>
      <c r="B47" s="4">
        <v>0.79999999999999716</v>
      </c>
      <c r="F47"/>
      <c r="G47" s="4">
        <f>5- COUNTIF(acumulado_absoluto[[#This Row],[Ene 2024]:[May 2024]],"")</f>
        <v>1</v>
      </c>
      <c r="H47" s="4" t="str">
        <f>IF(acumulado_absoluto[[#This Row],[contar]]&gt;2,SUM(SMALL(acumulado_absoluto[[#This Row],[Ene 2024]:[May 2024]],1),SMALL(acumulado_absoluto[[#This Row],[Ene 2024]:[May 2024]],2)),"#N/A")</f>
        <v>#N/A</v>
      </c>
      <c r="I47" s="4" t="str">
        <f>acumulado_absoluto[[#This Row],[min]]</f>
        <v>#N/A</v>
      </c>
    </row>
    <row r="48" spans="1:9" hidden="1" x14ac:dyDescent="0.2">
      <c r="A48" t="s">
        <v>224</v>
      </c>
      <c r="B48" s="4">
        <v>7.539999999999992</v>
      </c>
      <c r="C48" s="4">
        <v>32.36</v>
      </c>
      <c r="F48"/>
      <c r="G48" s="4">
        <f>5- COUNTIF(acumulado_absoluto[[#This Row],[Ene 2024]:[May 2024]],"")</f>
        <v>2</v>
      </c>
      <c r="H48" s="4" t="str">
        <f>IF(acumulado_absoluto[[#This Row],[contar]]&gt;2,SUM(SMALL(acumulado_absoluto[[#This Row],[Ene 2024]:[May 2024]],1),SMALL(acumulado_absoluto[[#This Row],[Ene 2024]:[May 2024]],2)),"#N/A")</f>
        <v>#N/A</v>
      </c>
      <c r="I48" s="4" t="str">
        <f>acumulado_absoluto[[#This Row],[min]]</f>
        <v>#N/A</v>
      </c>
    </row>
    <row r="49" spans="1:9" hidden="1" x14ac:dyDescent="0.2">
      <c r="A49" t="s">
        <v>650</v>
      </c>
      <c r="F49">
        <v>6.6999999999999993</v>
      </c>
      <c r="G49" s="4">
        <f>5- COUNTIF(acumulado_absoluto[[#This Row],[Ene 2024]:[May 2024]],"")</f>
        <v>1</v>
      </c>
      <c r="H49" s="4" t="str">
        <f>IF(acumulado_absoluto[[#This Row],[contar]]&gt;2,SUM(SMALL(acumulado_absoluto[[#This Row],[Ene 2024]:[May 2024]],1),SMALL(acumulado_absoluto[[#This Row],[Ene 2024]:[May 2024]],2)),"#N/A")</f>
        <v>#N/A</v>
      </c>
      <c r="I49" s="4" t="str">
        <f>acumulado_absoluto[[#This Row],[min]]</f>
        <v>#N/A</v>
      </c>
    </row>
    <row r="50" spans="1:9" hidden="1" x14ac:dyDescent="0.2">
      <c r="A50" t="s">
        <v>220</v>
      </c>
      <c r="B50" s="4">
        <v>11.100000000000009</v>
      </c>
      <c r="F50"/>
      <c r="G50" s="4">
        <f>5- COUNTIF(acumulado_absoluto[[#This Row],[Ene 2024]:[May 2024]],"")</f>
        <v>1</v>
      </c>
      <c r="H50" s="4" t="str">
        <f>IF(acumulado_absoluto[[#This Row],[contar]]&gt;2,SUM(SMALL(acumulado_absoluto[[#This Row],[Ene 2024]:[May 2024]],1),SMALL(acumulado_absoluto[[#This Row],[Ene 2024]:[May 2024]],2)),"#N/A")</f>
        <v>#N/A</v>
      </c>
      <c r="I50" s="4" t="str">
        <f>acumulado_absoluto[[#This Row],[min]]</f>
        <v>#N/A</v>
      </c>
    </row>
    <row r="51" spans="1:9" hidden="1" x14ac:dyDescent="0.2">
      <c r="A51" t="s">
        <v>410</v>
      </c>
      <c r="B51" s="4">
        <v>17.100000000000009</v>
      </c>
      <c r="F51"/>
      <c r="G51" s="4">
        <f>5- COUNTIF(acumulado_absoluto[[#This Row],[Ene 2024]:[May 2024]],"")</f>
        <v>1</v>
      </c>
      <c r="H51" s="4" t="str">
        <f>IF(acumulado_absoluto[[#This Row],[contar]]&gt;2,SUM(SMALL(acumulado_absoluto[[#This Row],[Ene 2024]:[May 2024]],1),SMALL(acumulado_absoluto[[#This Row],[Ene 2024]:[May 2024]],2)),"#N/A")</f>
        <v>#N/A</v>
      </c>
      <c r="I51" s="4" t="str">
        <f>acumulado_absoluto[[#This Row],[min]]</f>
        <v>#N/A</v>
      </c>
    </row>
    <row r="52" spans="1:9" hidden="1" x14ac:dyDescent="0.2">
      <c r="A52" t="s">
        <v>400</v>
      </c>
      <c r="B52" s="4">
        <v>15.600000000000009</v>
      </c>
      <c r="F52">
        <v>6.3599999999999959</v>
      </c>
      <c r="G52" s="4">
        <f>5- COUNTIF(acumulado_absoluto[[#This Row],[Ene 2024]:[May 2024]],"")</f>
        <v>2</v>
      </c>
      <c r="H52" s="4" t="str">
        <f>IF(acumulado_absoluto[[#This Row],[contar]]&gt;2,SUM(SMALL(acumulado_absoluto[[#This Row],[Ene 2024]:[May 2024]],1),SMALL(acumulado_absoluto[[#This Row],[Ene 2024]:[May 2024]],2)),"#N/A")</f>
        <v>#N/A</v>
      </c>
      <c r="I52" s="4" t="str">
        <f>acumulado_absoluto[[#This Row],[min]]</f>
        <v>#N/A</v>
      </c>
    </row>
    <row r="53" spans="1:9" hidden="1" x14ac:dyDescent="0.2">
      <c r="A53" t="s">
        <v>405</v>
      </c>
      <c r="B53" s="4">
        <v>8.2299999999999898</v>
      </c>
      <c r="F53"/>
      <c r="G53" s="4">
        <f>5- COUNTIF(acumulado_absoluto[[#This Row],[Ene 2024]:[May 2024]],"")</f>
        <v>1</v>
      </c>
      <c r="H53" s="4" t="str">
        <f>IF(acumulado_absoluto[[#This Row],[contar]]&gt;2,SUM(SMALL(acumulado_absoluto[[#This Row],[Ene 2024]:[May 2024]],1),SMALL(acumulado_absoluto[[#This Row],[Ene 2024]:[May 2024]],2)),"#N/A")</f>
        <v>#N/A</v>
      </c>
      <c r="I53" s="4" t="str">
        <f>acumulado_absoluto[[#This Row],[min]]</f>
        <v>#N/A</v>
      </c>
    </row>
    <row r="54" spans="1:9" hidden="1" x14ac:dyDescent="0.2">
      <c r="A54" t="s">
        <v>652</v>
      </c>
      <c r="F54">
        <v>1.9199999999999982</v>
      </c>
      <c r="G54" s="4">
        <f>5- COUNTIF(acumulado_absoluto[[#This Row],[Ene 2024]:[May 2024]],"")</f>
        <v>1</v>
      </c>
      <c r="H54" s="4" t="str">
        <f>IF(acumulado_absoluto[[#This Row],[contar]]&gt;2,SUM(SMALL(acumulado_absoluto[[#This Row],[Ene 2024]:[May 2024]],1),SMALL(acumulado_absoluto[[#This Row],[Ene 2024]:[May 2024]],2)),"#N/A")</f>
        <v>#N/A</v>
      </c>
      <c r="I54" s="4" t="str">
        <f>acumulado_absoluto[[#This Row],[min]]</f>
        <v>#N/A</v>
      </c>
    </row>
    <row r="55" spans="1:9" hidden="1" x14ac:dyDescent="0.2">
      <c r="A55" t="s">
        <v>651</v>
      </c>
      <c r="F55">
        <v>4.1900000000000013</v>
      </c>
      <c r="G55" s="4">
        <f>5- COUNTIF(acumulado_absoluto[[#This Row],[Ene 2024]:[May 2024]],"")</f>
        <v>1</v>
      </c>
      <c r="H55" s="4" t="str">
        <f>IF(acumulado_absoluto[[#This Row],[contar]]&gt;2,SUM(SMALL(acumulado_absoluto[[#This Row],[Ene 2024]:[May 2024]],1),SMALL(acumulado_absoluto[[#This Row],[Ene 2024]:[May 2024]],2)),"#N/A")</f>
        <v>#N/A</v>
      </c>
      <c r="I55" s="4" t="str">
        <f>acumulado_absoluto[[#This Row],[min]]</f>
        <v>#N/A</v>
      </c>
    </row>
    <row r="56" spans="1:9" hidden="1" x14ac:dyDescent="0.2">
      <c r="A56" t="s">
        <v>227</v>
      </c>
      <c r="B56" s="4">
        <v>13.350000000000009</v>
      </c>
      <c r="F56"/>
      <c r="G56" s="4">
        <f>5- COUNTIF(acumulado_absoluto[[#This Row],[Ene 2024]:[May 2024]],"")</f>
        <v>1</v>
      </c>
      <c r="H56" s="4" t="str">
        <f>IF(acumulado_absoluto[[#This Row],[contar]]&gt;2,SUM(SMALL(acumulado_absoluto[[#This Row],[Ene 2024]:[May 2024]],1),SMALL(acumulado_absoluto[[#This Row],[Ene 2024]:[May 2024]],2)),"#N/A")</f>
        <v>#N/A</v>
      </c>
      <c r="I56" s="4" t="str">
        <f>acumulado_absoluto[[#This Row],[min]]</f>
        <v>#N/A</v>
      </c>
    </row>
    <row r="57" spans="1:9" hidden="1" x14ac:dyDescent="0.2">
      <c r="A57" t="s">
        <v>473</v>
      </c>
      <c r="D57" s="4">
        <v>45.019999999999996</v>
      </c>
      <c r="F57"/>
      <c r="G57" s="4">
        <f>5- COUNTIF(acumulado_absoluto[[#This Row],[Ene 2024]:[May 2024]],"")</f>
        <v>1</v>
      </c>
      <c r="H57" s="4" t="str">
        <f>IF(acumulado_absoluto[[#This Row],[contar]]&gt;2,SUM(SMALL(acumulado_absoluto[[#This Row],[Ene 2024]:[May 2024]],1),SMALL(acumulado_absoluto[[#This Row],[Ene 2024]:[May 2024]],2)),"#N/A")</f>
        <v>#N/A</v>
      </c>
      <c r="I57" s="4" t="str">
        <f>acumulado_absoluto[[#This Row],[min]]</f>
        <v>#N/A</v>
      </c>
    </row>
    <row r="58" spans="1:9" hidden="1" x14ac:dyDescent="0.2">
      <c r="A58" t="s">
        <v>416</v>
      </c>
      <c r="C58" s="4">
        <v>47.55</v>
      </c>
      <c r="F58"/>
      <c r="G58" s="4">
        <f>5- COUNTIF(acumulado_absoluto[[#This Row],[Ene 2024]:[May 2024]],"")</f>
        <v>1</v>
      </c>
      <c r="H58" s="4" t="str">
        <f>IF(acumulado_absoluto[[#This Row],[contar]]&gt;2,SUM(SMALL(acumulado_absoluto[[#This Row],[Ene 2024]:[May 2024]],1),SMALL(acumulado_absoluto[[#This Row],[Ene 2024]:[May 2024]],2)),"#N/A")</f>
        <v>#N/A</v>
      </c>
      <c r="I58" s="4" t="str">
        <f>acumulado_absoluto[[#This Row],[min]]</f>
        <v>#N/A</v>
      </c>
    </row>
    <row r="59" spans="1:9" hidden="1" x14ac:dyDescent="0.2">
      <c r="A59" t="s">
        <v>542</v>
      </c>
      <c r="E59" s="4">
        <v>6.24</v>
      </c>
      <c r="F59">
        <v>4.82</v>
      </c>
      <c r="G59" s="4">
        <f>5- COUNTIF(acumulado_absoluto[[#This Row],[Ene 2024]:[May 2024]],"")</f>
        <v>2</v>
      </c>
      <c r="H59" s="4" t="str">
        <f>IF(acumulado_absoluto[[#This Row],[contar]]&gt;2,SUM(SMALL(acumulado_absoluto[[#This Row],[Ene 2024]:[May 2024]],1),SMALL(acumulado_absoluto[[#This Row],[Ene 2024]:[May 2024]],2)),"#N/A")</f>
        <v>#N/A</v>
      </c>
      <c r="I59" s="4" t="str">
        <f>acumulado_absoluto[[#This Row],[min]]</f>
        <v>#N/A</v>
      </c>
    </row>
    <row r="60" spans="1:9" hidden="1" x14ac:dyDescent="0.2">
      <c r="A60" t="s">
        <v>658</v>
      </c>
      <c r="F60">
        <v>12.68</v>
      </c>
      <c r="G60" s="4">
        <f>5- COUNTIF(acumulado_absoluto[[#This Row],[Ene 2024]:[May 2024]],"")</f>
        <v>1</v>
      </c>
      <c r="H60" s="4" t="str">
        <f>IF(acumulado_absoluto[[#This Row],[contar]]&gt;2,SUM(SMALL(acumulado_absoluto[[#This Row],[Ene 2024]:[May 2024]],1),SMALL(acumulado_absoluto[[#This Row],[Ene 2024]:[May 2024]],2)),"#N/A")</f>
        <v>#N/A</v>
      </c>
      <c r="I60" s="4" t="str">
        <f>acumulado_absoluto[[#This Row],[min]]</f>
        <v>#N/A</v>
      </c>
    </row>
    <row r="61" spans="1:9" hidden="1" x14ac:dyDescent="0.2">
      <c r="A61" t="s">
        <v>653</v>
      </c>
      <c r="F61">
        <v>13.32</v>
      </c>
      <c r="G61" s="4">
        <f>5- COUNTIF(acumulado_absoluto[[#This Row],[Ene 2024]:[May 2024]],"")</f>
        <v>1</v>
      </c>
      <c r="H61" s="4" t="str">
        <f>IF(acumulado_absoluto[[#This Row],[contar]]&gt;2,SUM(SMALL(acumulado_absoluto[[#This Row],[Ene 2024]:[May 2024]],1),SMALL(acumulado_absoluto[[#This Row],[Ene 2024]:[May 2024]],2)),"#N/A")</f>
        <v>#N/A</v>
      </c>
      <c r="I61" s="4" t="str">
        <f>acumulado_absoluto[[#This Row],[min]]</f>
        <v>#N/A</v>
      </c>
    </row>
    <row r="62" spans="1:9" hidden="1" x14ac:dyDescent="0.2">
      <c r="A62" t="s">
        <v>339</v>
      </c>
      <c r="C62" s="4">
        <v>46.2</v>
      </c>
      <c r="F62"/>
      <c r="G62" s="4">
        <f>5- COUNTIF(acumulado_absoluto[[#This Row],[Ene 2024]:[May 2024]],"")</f>
        <v>1</v>
      </c>
      <c r="H62" s="4" t="str">
        <f>IF(acumulado_absoluto[[#This Row],[contar]]&gt;2,SUM(SMALL(acumulado_absoluto[[#This Row],[Ene 2024]:[May 2024]],1),SMALL(acumulado_absoluto[[#This Row],[Ene 2024]:[May 2024]],2)),"#N/A")</f>
        <v>#N/A</v>
      </c>
      <c r="I62" s="4" t="str">
        <f>acumulado_absoluto[[#This Row],[min]]</f>
        <v>#N/A</v>
      </c>
    </row>
    <row r="63" spans="1:9" hidden="1" x14ac:dyDescent="0.2">
      <c r="A63" t="s">
        <v>239</v>
      </c>
      <c r="B63" s="4">
        <v>16</v>
      </c>
      <c r="F63"/>
      <c r="G63" s="4">
        <f>5- COUNTIF(acumulado_absoluto[[#This Row],[Ene 2024]:[May 2024]],"")</f>
        <v>1</v>
      </c>
      <c r="H63" s="4" t="str">
        <f>IF(acumulado_absoluto[[#This Row],[contar]]&gt;2,SUM(SMALL(acumulado_absoluto[[#This Row],[Ene 2024]:[May 2024]],1),SMALL(acumulado_absoluto[[#This Row],[Ene 2024]:[May 2024]],2)),"#N/A")</f>
        <v>#N/A</v>
      </c>
      <c r="I63" s="4" t="str">
        <f>acumulado_absoluto[[#This Row],[min]]</f>
        <v>#N/A</v>
      </c>
    </row>
    <row r="64" spans="1:9" hidden="1" x14ac:dyDescent="0.2">
      <c r="A64" t="s">
        <v>544</v>
      </c>
      <c r="E64" s="4">
        <v>9.83</v>
      </c>
      <c r="F64"/>
      <c r="G64" s="4">
        <f>5- COUNTIF(acumulado_absoluto[[#This Row],[Ene 2024]:[May 2024]],"")</f>
        <v>1</v>
      </c>
      <c r="H64" s="4" t="str">
        <f>IF(acumulado_absoluto[[#This Row],[contar]]&gt;2,SUM(SMALL(acumulado_absoluto[[#This Row],[Ene 2024]:[May 2024]],1),SMALL(acumulado_absoluto[[#This Row],[Ene 2024]:[May 2024]],2)),"#N/A")</f>
        <v>#N/A</v>
      </c>
      <c r="I64" s="4" t="str">
        <f>acumulado_absoluto[[#This Row],[min]]</f>
        <v>#N/A</v>
      </c>
    </row>
  </sheetData>
  <phoneticPr fontId="9" type="noConversion"/>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F2" sqref="F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556</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657</v>
      </c>
      <c r="F14">
        <f>COUNTA(acumulado_porcentaje_SIN_MAYO[[#This Row],[Ene 2024]:[Abr 2024]])</f>
        <v>0</v>
      </c>
      <c r="K14" s="55" t="s">
        <v>557</v>
      </c>
    </row>
    <row r="15" spans="1:15" x14ac:dyDescent="0.2">
      <c r="A15" t="s">
        <v>656</v>
      </c>
      <c r="F15">
        <f>COUNTA(acumulado_porcentaje_SIN_MAYO[[#This Row],[Ene 2024]:[Abr 2024]])</f>
        <v>0</v>
      </c>
      <c r="K15">
        <v>1</v>
      </c>
      <c r="L15">
        <v>2</v>
      </c>
      <c r="M15">
        <v>3</v>
      </c>
      <c r="N15">
        <v>4</v>
      </c>
      <c r="O15" t="s">
        <v>559</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654</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78" t="s">
        <v>558</v>
      </c>
      <c r="L23" s="78"/>
      <c r="M23" s="78"/>
      <c r="N23" s="78"/>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655</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561</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650</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652</v>
      </c>
      <c r="F48">
        <f>COUNTA(acumulado_porcentaje_SIN_MAYO[[#This Row],[Ene 2024]:[Abr 2024]])</f>
        <v>0</v>
      </c>
    </row>
    <row r="49" spans="1:6" x14ac:dyDescent="0.2">
      <c r="A49" t="s">
        <v>651</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658</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653</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67"/>
  <sheetViews>
    <sheetView zoomScaleNormal="100" workbookViewId="0">
      <selection activeCell="E24" sqref="E24"/>
    </sheetView>
  </sheetViews>
  <sheetFormatPr baseColWidth="10" defaultRowHeight="12" x14ac:dyDescent="0.2"/>
  <cols>
    <col min="1" max="1" width="12.42578125" bestFit="1" customWidth="1"/>
    <col min="2" max="2" width="18.710937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302</v>
      </c>
      <c r="C3" t="s">
        <v>301</v>
      </c>
    </row>
    <row r="4" spans="1:3" x14ac:dyDescent="0.2">
      <c r="A4" t="s">
        <v>200</v>
      </c>
      <c r="B4" t="s">
        <v>201</v>
      </c>
      <c r="C4" t="s">
        <v>595</v>
      </c>
    </row>
    <row r="5" spans="1:3" x14ac:dyDescent="0.2">
      <c r="A5" t="s">
        <v>124</v>
      </c>
      <c r="B5" t="s">
        <v>166</v>
      </c>
      <c r="C5" t="s">
        <v>124</v>
      </c>
    </row>
    <row r="6" spans="1:3" x14ac:dyDescent="0.2">
      <c r="A6" t="s">
        <v>124</v>
      </c>
      <c r="B6" t="s">
        <v>125</v>
      </c>
      <c r="C6" t="s">
        <v>563</v>
      </c>
    </row>
    <row r="7" spans="1:3" x14ac:dyDescent="0.2">
      <c r="A7" t="s">
        <v>392</v>
      </c>
      <c r="B7" t="s">
        <v>393</v>
      </c>
      <c r="C7" t="s">
        <v>181</v>
      </c>
    </row>
    <row r="8" spans="1:3" x14ac:dyDescent="0.2">
      <c r="A8" t="s">
        <v>290</v>
      </c>
      <c r="B8" t="s">
        <v>387</v>
      </c>
      <c r="C8" t="s">
        <v>290</v>
      </c>
    </row>
    <row r="9" spans="1:3" x14ac:dyDescent="0.2">
      <c r="A9" t="s">
        <v>384</v>
      </c>
      <c r="B9" t="s">
        <v>315</v>
      </c>
      <c r="C9" t="s">
        <v>317</v>
      </c>
    </row>
    <row r="10" spans="1:3" x14ac:dyDescent="0.2">
      <c r="A10" t="s">
        <v>107</v>
      </c>
      <c r="B10" t="s">
        <v>108</v>
      </c>
      <c r="C10" t="s">
        <v>111</v>
      </c>
    </row>
    <row r="11" spans="1:3" x14ac:dyDescent="0.2">
      <c r="A11" t="s">
        <v>103</v>
      </c>
      <c r="B11" t="s">
        <v>104</v>
      </c>
      <c r="C11" t="s">
        <v>103</v>
      </c>
    </row>
    <row r="12" spans="1:3" x14ac:dyDescent="0.2">
      <c r="A12" t="s">
        <v>160</v>
      </c>
      <c r="B12" t="s">
        <v>260</v>
      </c>
      <c r="C12" t="s">
        <v>263</v>
      </c>
    </row>
    <row r="13" spans="1:3" x14ac:dyDescent="0.2">
      <c r="A13" t="s">
        <v>160</v>
      </c>
      <c r="B13" t="s">
        <v>332</v>
      </c>
      <c r="C13" t="s">
        <v>647</v>
      </c>
    </row>
    <row r="14" spans="1:3" x14ac:dyDescent="0.2">
      <c r="A14" t="s">
        <v>160</v>
      </c>
      <c r="B14" t="s">
        <v>640</v>
      </c>
      <c r="C14" t="s">
        <v>642</v>
      </c>
    </row>
    <row r="15" spans="1:3" x14ac:dyDescent="0.2">
      <c r="A15" t="s">
        <v>160</v>
      </c>
      <c r="B15" t="s">
        <v>635</v>
      </c>
      <c r="C15" t="s">
        <v>638</v>
      </c>
    </row>
    <row r="16" spans="1:3" x14ac:dyDescent="0.2">
      <c r="A16" t="s">
        <v>160</v>
      </c>
      <c r="B16" t="s">
        <v>447</v>
      </c>
      <c r="C16" t="s">
        <v>449</v>
      </c>
    </row>
    <row r="17" spans="1:3" x14ac:dyDescent="0.2">
      <c r="A17" t="s">
        <v>264</v>
      </c>
      <c r="B17" t="s">
        <v>265</v>
      </c>
      <c r="C17" t="s">
        <v>264</v>
      </c>
    </row>
    <row r="18" spans="1:3" x14ac:dyDescent="0.2">
      <c r="A18" t="s">
        <v>525</v>
      </c>
      <c r="B18" t="s">
        <v>526</v>
      </c>
      <c r="C18" t="s">
        <v>525</v>
      </c>
    </row>
    <row r="19" spans="1:3" x14ac:dyDescent="0.2">
      <c r="A19" t="s">
        <v>424</v>
      </c>
      <c r="B19" t="s">
        <v>424</v>
      </c>
      <c r="C19" t="s">
        <v>424</v>
      </c>
    </row>
    <row r="20" spans="1:3" x14ac:dyDescent="0.2">
      <c r="A20" t="s">
        <v>195</v>
      </c>
      <c r="B20" t="s">
        <v>196</v>
      </c>
      <c r="C20" t="s">
        <v>199</v>
      </c>
    </row>
    <row r="21" spans="1:3" x14ac:dyDescent="0.2">
      <c r="A21" t="s">
        <v>120</v>
      </c>
      <c r="B21" t="s">
        <v>121</v>
      </c>
      <c r="C21" t="s">
        <v>123</v>
      </c>
    </row>
    <row r="22" spans="1:3" x14ac:dyDescent="0.2">
      <c r="A22" t="s">
        <v>305</v>
      </c>
      <c r="B22" t="s">
        <v>306</v>
      </c>
      <c r="C22" t="s">
        <v>309</v>
      </c>
    </row>
    <row r="23" spans="1:3" x14ac:dyDescent="0.2">
      <c r="A23" t="s">
        <v>626</v>
      </c>
      <c r="B23" t="s">
        <v>627</v>
      </c>
      <c r="C23" t="s">
        <v>629</v>
      </c>
    </row>
    <row r="24" spans="1:3" x14ac:dyDescent="0.2">
      <c r="A24" t="s">
        <v>130</v>
      </c>
      <c r="B24" t="s">
        <v>86</v>
      </c>
      <c r="C24" t="s">
        <v>462</v>
      </c>
    </row>
    <row r="25" spans="1:3" x14ac:dyDescent="0.2">
      <c r="A25" t="s">
        <v>669</v>
      </c>
      <c r="B25" t="s">
        <v>670</v>
      </c>
      <c r="C25" t="s">
        <v>669</v>
      </c>
    </row>
    <row r="26" spans="1:3" x14ac:dyDescent="0.2">
      <c r="A26" t="s">
        <v>342</v>
      </c>
      <c r="B26" t="s">
        <v>211</v>
      </c>
      <c r="C26" t="s">
        <v>213</v>
      </c>
    </row>
    <row r="27" spans="1:3" x14ac:dyDescent="0.2">
      <c r="A27" t="s">
        <v>630</v>
      </c>
      <c r="B27" t="s">
        <v>631</v>
      </c>
      <c r="C27" t="s">
        <v>630</v>
      </c>
    </row>
    <row r="28" spans="1:3" x14ac:dyDescent="0.2">
      <c r="A28" t="s">
        <v>138</v>
      </c>
      <c r="B28" t="s">
        <v>139</v>
      </c>
      <c r="C28" t="s">
        <v>451</v>
      </c>
    </row>
    <row r="29" spans="1:3" x14ac:dyDescent="0.2">
      <c r="A29" t="s">
        <v>28</v>
      </c>
      <c r="B29" t="s">
        <v>185</v>
      </c>
      <c r="C29" t="s">
        <v>187</v>
      </c>
    </row>
    <row r="30" spans="1:3" x14ac:dyDescent="0.2">
      <c r="A30" t="s">
        <v>28</v>
      </c>
      <c r="B30" t="s">
        <v>390</v>
      </c>
      <c r="C30" t="s">
        <v>242</v>
      </c>
    </row>
    <row r="31" spans="1:3" x14ac:dyDescent="0.2">
      <c r="A31" t="s">
        <v>28</v>
      </c>
      <c r="B31" t="s">
        <v>441</v>
      </c>
      <c r="C31" t="s">
        <v>535</v>
      </c>
    </row>
    <row r="32" spans="1:3" x14ac:dyDescent="0.2">
      <c r="A32" t="s">
        <v>28</v>
      </c>
      <c r="B32" t="s">
        <v>323</v>
      </c>
      <c r="C32" t="s">
        <v>2</v>
      </c>
    </row>
    <row r="33" spans="1:3" x14ac:dyDescent="0.2">
      <c r="A33" t="s">
        <v>28</v>
      </c>
      <c r="B33" t="s">
        <v>29</v>
      </c>
      <c r="C33" t="s">
        <v>471</v>
      </c>
    </row>
    <row r="34" spans="1:3" x14ac:dyDescent="0.2">
      <c r="A34" t="s">
        <v>188</v>
      </c>
      <c r="B34" t="s">
        <v>189</v>
      </c>
      <c r="C34" t="s">
        <v>188</v>
      </c>
    </row>
    <row r="35" spans="1:3" x14ac:dyDescent="0.2">
      <c r="A35" t="s">
        <v>112</v>
      </c>
      <c r="B35" t="s">
        <v>395</v>
      </c>
      <c r="C35" t="s">
        <v>112</v>
      </c>
    </row>
    <row r="36" spans="1:3" x14ac:dyDescent="0.2">
      <c r="A36" t="s">
        <v>131</v>
      </c>
      <c r="B36" t="s">
        <v>132</v>
      </c>
      <c r="C36" t="s">
        <v>464</v>
      </c>
    </row>
    <row r="37" spans="1:3" x14ac:dyDescent="0.2">
      <c r="A37" t="s">
        <v>579</v>
      </c>
      <c r="B37" t="s">
        <v>580</v>
      </c>
      <c r="C37" t="s">
        <v>583</v>
      </c>
    </row>
    <row r="38" spans="1:3" x14ac:dyDescent="0.2">
      <c r="A38" t="s">
        <v>175</v>
      </c>
      <c r="B38" t="s">
        <v>23</v>
      </c>
      <c r="C38" t="s">
        <v>178</v>
      </c>
    </row>
    <row r="39" spans="1:3" x14ac:dyDescent="0.2">
      <c r="A39" t="s">
        <v>385</v>
      </c>
      <c r="B39" t="s">
        <v>379</v>
      </c>
      <c r="C39" t="s">
        <v>615</v>
      </c>
    </row>
    <row r="40" spans="1:3" x14ac:dyDescent="0.2">
      <c r="A40" t="s">
        <v>145</v>
      </c>
      <c r="B40" t="s">
        <v>380</v>
      </c>
      <c r="C40" t="s">
        <v>145</v>
      </c>
    </row>
    <row r="41" spans="1:3" x14ac:dyDescent="0.2">
      <c r="A41" t="s">
        <v>382</v>
      </c>
      <c r="B41" t="s">
        <v>182</v>
      </c>
      <c r="C41" t="s">
        <v>623</v>
      </c>
    </row>
    <row r="42" spans="1:3" x14ac:dyDescent="0.2">
      <c r="A42" t="s">
        <v>8</v>
      </c>
      <c r="B42" t="s">
        <v>152</v>
      </c>
      <c r="C42" t="s">
        <v>8</v>
      </c>
    </row>
    <row r="43" spans="1:3" x14ac:dyDescent="0.2">
      <c r="A43" t="s">
        <v>135</v>
      </c>
      <c r="B43" t="s">
        <v>389</v>
      </c>
      <c r="C43" t="s">
        <v>456</v>
      </c>
    </row>
    <row r="44" spans="1:3" x14ac:dyDescent="0.2">
      <c r="A44" t="s">
        <v>67</v>
      </c>
      <c r="B44" t="s">
        <v>68</v>
      </c>
      <c r="C44" t="s">
        <v>171</v>
      </c>
    </row>
    <row r="45" spans="1:3" x14ac:dyDescent="0.2">
      <c r="A45" t="s">
        <v>298</v>
      </c>
      <c r="B45" t="s">
        <v>386</v>
      </c>
      <c r="C45" t="s">
        <v>467</v>
      </c>
    </row>
    <row r="46" spans="1:3" x14ac:dyDescent="0.2">
      <c r="A46" t="s">
        <v>115</v>
      </c>
      <c r="B46" t="s">
        <v>394</v>
      </c>
      <c r="C46" t="s">
        <v>117</v>
      </c>
    </row>
    <row r="47" spans="1:3" x14ac:dyDescent="0.2">
      <c r="A47" t="s">
        <v>115</v>
      </c>
      <c r="B47" t="s">
        <v>391</v>
      </c>
      <c r="C47" t="s">
        <v>194</v>
      </c>
    </row>
    <row r="48" spans="1:3" x14ac:dyDescent="0.2">
      <c r="A48" t="s">
        <v>46</v>
      </c>
      <c r="B48" t="s">
        <v>47</v>
      </c>
      <c r="C48" t="s">
        <v>159</v>
      </c>
    </row>
    <row r="49" spans="1:3" x14ac:dyDescent="0.2">
      <c r="A49" t="s">
        <v>357</v>
      </c>
      <c r="B49" t="s">
        <v>358</v>
      </c>
      <c r="C49" t="s">
        <v>361</v>
      </c>
    </row>
    <row r="50" spans="1:3" x14ac:dyDescent="0.2">
      <c r="A50" t="s">
        <v>609</v>
      </c>
      <c r="B50" t="s">
        <v>610</v>
      </c>
      <c r="C50" t="s">
        <v>612</v>
      </c>
    </row>
    <row r="51" spans="1:3" x14ac:dyDescent="0.2">
      <c r="A51" t="s">
        <v>603</v>
      </c>
      <c r="B51" t="s">
        <v>604</v>
      </c>
      <c r="C51" t="s">
        <v>603</v>
      </c>
    </row>
    <row r="52" spans="1:3" x14ac:dyDescent="0.2">
      <c r="A52" t="s">
        <v>207</v>
      </c>
      <c r="B52" t="s">
        <v>208</v>
      </c>
      <c r="C52" t="s">
        <v>207</v>
      </c>
    </row>
    <row r="53" spans="1:3" x14ac:dyDescent="0.2">
      <c r="A53" t="s">
        <v>531</v>
      </c>
      <c r="B53" t="s">
        <v>293</v>
      </c>
      <c r="C53" t="s">
        <v>531</v>
      </c>
    </row>
    <row r="54" spans="1:3" x14ac:dyDescent="0.2">
      <c r="A54" t="s">
        <v>435</v>
      </c>
      <c r="B54" t="s">
        <v>436</v>
      </c>
      <c r="C54" t="s">
        <v>435</v>
      </c>
    </row>
    <row r="55" spans="1:3" x14ac:dyDescent="0.2">
      <c r="A55" t="s">
        <v>204</v>
      </c>
      <c r="B55" t="s">
        <v>515</v>
      </c>
      <c r="C55" t="s">
        <v>351</v>
      </c>
    </row>
    <row r="56" spans="1:3" x14ac:dyDescent="0.2">
      <c r="A56" t="s">
        <v>204</v>
      </c>
      <c r="B56" t="s">
        <v>378</v>
      </c>
      <c r="C56" t="s">
        <v>37</v>
      </c>
    </row>
    <row r="57" spans="1:3" x14ac:dyDescent="0.2">
      <c r="A57" t="s">
        <v>204</v>
      </c>
      <c r="B57" t="s">
        <v>286</v>
      </c>
      <c r="C57" t="s">
        <v>289</v>
      </c>
    </row>
    <row r="58" spans="1:3" x14ac:dyDescent="0.2">
      <c r="A58" t="s">
        <v>76</v>
      </c>
      <c r="B58" t="s">
        <v>77</v>
      </c>
      <c r="C58" t="s">
        <v>76</v>
      </c>
    </row>
    <row r="59" spans="1:3" x14ac:dyDescent="0.2">
      <c r="A59" t="s">
        <v>598</v>
      </c>
      <c r="B59" t="s">
        <v>599</v>
      </c>
      <c r="C59" t="s">
        <v>601</v>
      </c>
    </row>
    <row r="60" spans="1:3" x14ac:dyDescent="0.2">
      <c r="A60" t="s">
        <v>72</v>
      </c>
      <c r="B60" t="s">
        <v>618</v>
      </c>
      <c r="C60" t="s">
        <v>621</v>
      </c>
    </row>
    <row r="61" spans="1:3" x14ac:dyDescent="0.2">
      <c r="A61" t="s">
        <v>72</v>
      </c>
      <c r="B61" t="s">
        <v>564</v>
      </c>
      <c r="C61" t="s">
        <v>568</v>
      </c>
    </row>
    <row r="62" spans="1:3" x14ac:dyDescent="0.2">
      <c r="A62" t="s">
        <v>72</v>
      </c>
      <c r="B62" t="s">
        <v>124</v>
      </c>
      <c r="C62" t="s">
        <v>542</v>
      </c>
    </row>
    <row r="63" spans="1:3" x14ac:dyDescent="0.2">
      <c r="A63" t="s">
        <v>72</v>
      </c>
      <c r="B63" t="s">
        <v>73</v>
      </c>
      <c r="C63" t="s">
        <v>278</v>
      </c>
    </row>
    <row r="64" spans="1:3" x14ac:dyDescent="0.2">
      <c r="A64" t="s">
        <v>72</v>
      </c>
      <c r="B64" t="s">
        <v>553</v>
      </c>
      <c r="C64" t="s">
        <v>353</v>
      </c>
    </row>
    <row r="65" spans="1:3" x14ac:dyDescent="0.2">
      <c r="A65" t="s">
        <v>388</v>
      </c>
      <c r="B65" t="s">
        <v>148</v>
      </c>
      <c r="C65" t="s">
        <v>388</v>
      </c>
    </row>
    <row r="66" spans="1:3" x14ac:dyDescent="0.2">
      <c r="A66" t="s">
        <v>256</v>
      </c>
      <c r="B66" t="s">
        <v>257</v>
      </c>
      <c r="C66" t="s">
        <v>240</v>
      </c>
    </row>
    <row r="67" spans="1:3" x14ac:dyDescent="0.2">
      <c r="A67" t="s">
        <v>521</v>
      </c>
      <c r="B67" t="s">
        <v>522</v>
      </c>
      <c r="C67" t="s">
        <v>523</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13</vt:i4>
      </vt:variant>
    </vt:vector>
  </HeadingPairs>
  <TitlesOfParts>
    <vt:vector size="13" baseType="lpstr">
      <vt:lpstr>in</vt:lpstr>
      <vt:lpstr>omie</vt:lpstr>
      <vt:lpstr>ene</vt:lpstr>
      <vt:lpstr>feb</vt:lpstr>
      <vt:lpstr>mar</vt:lpstr>
      <vt:lpstr>abr</vt:lpstr>
      <vt:lpstr>may</vt:lpstr>
      <vt:lpstr>externo</vt:lpstr>
      <vt:lpstr>res_mes</vt:lpstr>
      <vt:lpstr>acum_porc</vt:lpstr>
      <vt:lpstr>acum_abs</vt:lpstr>
      <vt:lpstr>estadisticas</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2024-05-26T18:28:20Z</dcterms:modified>
</cp:coreProperties>
</file>