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drawings/drawing1.xml" ContentType="application/vnd.openxmlformats-officedocument.drawing+xml"/>
  <Override PartName="/xl/ctrlProps/ctrlProp1.xml" ContentType="application/vnd.ms-excel.controlproperties+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10.xml" ContentType="application/vnd.openxmlformats-officedocument.spreadsheetml.query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charts/chart6.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tables/table12.xml" ContentType="application/vnd.openxmlformats-officedocument.spreadsheetml.table+xml"/>
  <Override PartName="/xl/queryTables/queryTable11.xml" ContentType="application/vnd.openxmlformats-officedocument.spreadsheetml.queryTable+xml"/>
  <Override PartName="/xl/tables/table13.xml" ContentType="application/vnd.openxmlformats-officedocument.spreadsheetml.table+xml"/>
  <Override PartName="/xl/tables/table14.xml" ContentType="application/vnd.openxmlformats-officedocument.spreadsheetml.table+xml"/>
  <Override PartName="/xl/queryTables/queryTable12.xml" ContentType="application/vnd.openxmlformats-officedocument.spreadsheetml.queryTable+xml"/>
  <Override PartName="/xl/charts/chart7.xml" ContentType="application/vnd.openxmlformats-officedocument.drawingml.chart+xml"/>
  <Override PartName="/xl/charts/style5.xml" ContentType="application/vnd.ms-office.chartstyle+xml"/>
  <Override PartName="/xl/charts/colors5.xml" ContentType="application/vnd.ms-office.chartcolorstyle+xml"/>
  <Override PartName="/xl/charts/chart8.xml" ContentType="application/vnd.openxmlformats-officedocument.drawingml.chart+xml"/>
  <Override PartName="/xl/charts/style6.xml" ContentType="application/vnd.ms-office.chartstyle+xml"/>
  <Override PartName="/xl/charts/colors6.xml" ContentType="application/vnd.ms-office.chartcolorstyle+xml"/>
  <Override PartName="/xl/charts/chart9.xml" ContentType="application/vnd.openxmlformats-officedocument.drawingml.chart+xml"/>
  <Override PartName="/xl/charts/style7.xml" ContentType="application/vnd.ms-office.chartstyle+xml"/>
  <Override PartName="/xl/charts/colors7.xml" ContentType="application/vnd.ms-office.chartcolorstyle+xml"/>
  <Override PartName="/xl/charts/chart10.xml" ContentType="application/vnd.openxmlformats-officedocument.drawingml.chart+xml"/>
  <Override PartName="/xl/charts/style8.xml" ContentType="application/vnd.ms-office.chartstyle+xml"/>
  <Override PartName="/xl/charts/colors8.xml" ContentType="application/vnd.ms-office.chartcolorstyle+xml"/>
  <Override PartName="/xl/charts/chart11.xml" ContentType="application/vnd.openxmlformats-officedocument.drawingml.chart+xml"/>
  <Override PartName="/xl/charts/style9.xml" ContentType="application/vnd.ms-office.chartstyle+xml"/>
  <Override PartName="/xl/charts/colors9.xml" ContentType="application/vnd.ms-office.chartcolorstyle+xml"/>
  <Override PartName="/xl/charts/chart12.xml" ContentType="application/vnd.openxmlformats-officedocument.drawingml.chart+xml"/>
  <Override PartName="/xl/charts/chart13.xml" ContentType="application/vnd.openxmlformats-officedocument.drawingml.chart+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15.xml" ContentType="application/vnd.openxmlformats-officedocument.spreadsheetml.table+xml"/>
  <Override PartName="/xl/tables/table16.xml" ContentType="application/vnd.openxmlformats-officedocument.spreadsheetml.table+xml"/>
  <Override PartName="/xl/queryTables/queryTable13.xml" ContentType="application/vnd.openxmlformats-officedocument.spreadsheetml.queryTable+xml"/>
  <Override PartName="/xl/tables/table17.xml" ContentType="application/vnd.openxmlformats-officedocument.spreadsheetml.table+xml"/>
  <Override PartName="/xl/queryTables/queryTable14.xml" ContentType="application/vnd.openxmlformats-officedocument.spreadsheetml.queryTable+xml"/>
  <Override PartName="/xl/charts/chart14.xml" ContentType="application/vnd.openxmlformats-officedocument.drawingml.chart+xml"/>
  <Override PartName="/xl/charts/style10.xml" ContentType="application/vnd.ms-office.chartstyle+xml"/>
  <Override PartName="/xl/charts/colors10.xml" ContentType="application/vnd.ms-office.chartcolorstyle+xml"/>
  <Override PartName="/xl/charts/chart15.xml" ContentType="application/vnd.openxmlformats-officedocument.drawingml.chart+xml"/>
  <Override PartName="/xl/charts/style11.xml" ContentType="application/vnd.ms-office.chartstyle+xml"/>
  <Override PartName="/xl/charts/colors11.xml" ContentType="application/vnd.ms-office.chartcolorstyle+xml"/>
  <Override PartName="/xl/charts/chart16.xml" ContentType="application/vnd.openxmlformats-officedocument.drawingml.chart+xml"/>
  <Override PartName="/xl/charts/style12.xml" ContentType="application/vnd.ms-office.chartstyle+xml"/>
  <Override PartName="/xl/charts/colors12.xml" ContentType="application/vnd.ms-office.chartcolorstyle+xml"/>
  <Override PartName="/xl/charts/chart17.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5.xml" ContentType="application/vnd.openxmlformats-officedocument.drawingml.chartshapes+xml"/>
  <Override PartName="/xl/charts/chart18.xml" ContentType="application/vnd.openxmlformats-officedocument.drawingml.chart+xml"/>
  <Override PartName="/xl/charts/style14.xml" ContentType="application/vnd.ms-office.chartstyle+xml"/>
  <Override PartName="/xl/charts/colors14.xml" ContentType="application/vnd.ms-office.chartcolorstyle+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6.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8.xml" ContentType="application/vnd.openxmlformats-officedocument.spreadsheetml.table+xml"/>
  <Override PartName="/xl/tables/table19.xml" ContentType="application/vnd.openxmlformats-officedocument.spreadsheetml.table+xml"/>
  <Override PartName="/xl/queryTables/queryTable15.xml" ContentType="application/vnd.openxmlformats-officedocument.spreadsheetml.queryTable+xml"/>
  <Override PartName="/xl/tables/table20.xml" ContentType="application/vnd.openxmlformats-officedocument.spreadsheetml.table+xml"/>
  <Override PartName="/xl/queryTables/queryTable16.xml" ContentType="application/vnd.openxmlformats-officedocument.spreadsheetml.queryTable+xml"/>
  <Override PartName="/xl/charts/chart22.xml" ContentType="application/vnd.openxmlformats-officedocument.drawingml.chart+xml"/>
  <Override PartName="/xl/charts/style16.xml" ContentType="application/vnd.ms-office.chartstyle+xml"/>
  <Override PartName="/xl/charts/colors16.xml" ContentType="application/vnd.ms-office.chartcolorstyle+xml"/>
  <Override PartName="/xl/charts/chart23.xml" ContentType="application/vnd.openxmlformats-officedocument.drawingml.chart+xml"/>
  <Override PartName="/xl/charts/style17.xml" ContentType="application/vnd.ms-office.chartstyle+xml"/>
  <Override PartName="/xl/charts/colors17.xml" ContentType="application/vnd.ms-office.chartcolorstyle+xml"/>
  <Override PartName="/xl/charts/chart24.xml" ContentType="application/vnd.openxmlformats-officedocument.drawingml.chart+xml"/>
  <Override PartName="/xl/charts/style18.xml" ContentType="application/vnd.ms-office.chartstyle+xml"/>
  <Override PartName="/xl/charts/colors18.xml" ContentType="application/vnd.ms-office.chartcolorstyle+xml"/>
  <Override PartName="/xl/charts/chart25.xml" ContentType="application/vnd.openxmlformats-officedocument.drawingml.chart+xml"/>
  <Override PartName="/xl/charts/style19.xml" ContentType="application/vnd.ms-office.chartstyle+xml"/>
  <Override PartName="/xl/charts/colors19.xml" ContentType="application/vnd.ms-office.chartcolorstyle+xml"/>
  <Override PartName="/xl/drawings/drawing7.xml" ContentType="application/vnd.openxmlformats-officedocument.drawingml.chartshapes+xml"/>
  <Override PartName="/xl/charts/chart26.xml" ContentType="application/vnd.openxmlformats-officedocument.drawingml.chart+xml"/>
  <Override PartName="/xl/charts/style20.xml" ContentType="application/vnd.ms-office.chartstyle+xml"/>
  <Override PartName="/xl/charts/colors20.xml" ContentType="application/vnd.ms-office.chartcolorstyle+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8.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tables/table21.xml" ContentType="application/vnd.openxmlformats-officedocument.spreadsheetml.table+xml"/>
  <Override PartName="/xl/tables/table22.xml" ContentType="application/vnd.openxmlformats-officedocument.spreadsheetml.table+xml"/>
  <Override PartName="/xl/queryTables/queryTable17.xml" ContentType="application/vnd.openxmlformats-officedocument.spreadsheetml.queryTable+xml"/>
  <Override PartName="/xl/tables/table23.xml" ContentType="application/vnd.openxmlformats-officedocument.spreadsheetml.table+xml"/>
  <Override PartName="/xl/queryTables/queryTable18.xml" ContentType="application/vnd.openxmlformats-officedocument.spreadsheetml.queryTable+xml"/>
  <Override PartName="/xl/charts/chart30.xml" ContentType="application/vnd.openxmlformats-officedocument.drawingml.chart+xml"/>
  <Override PartName="/xl/charts/style22.xml" ContentType="application/vnd.ms-office.chartstyle+xml"/>
  <Override PartName="/xl/charts/colors22.xml" ContentType="application/vnd.ms-office.chartcolorstyle+xml"/>
  <Override PartName="/xl/charts/chart31.xml" ContentType="application/vnd.openxmlformats-officedocument.drawingml.chart+xml"/>
  <Override PartName="/xl/charts/style23.xml" ContentType="application/vnd.ms-office.chartstyle+xml"/>
  <Override PartName="/xl/charts/colors23.xml" ContentType="application/vnd.ms-office.chartcolorstyle+xml"/>
  <Override PartName="/xl/charts/chart32.xml" ContentType="application/vnd.openxmlformats-officedocument.drawingml.chart+xml"/>
  <Override PartName="/xl/charts/style24.xml" ContentType="application/vnd.ms-office.chartstyle+xml"/>
  <Override PartName="/xl/charts/colors24.xml" ContentType="application/vnd.ms-office.chartcolorstyle+xml"/>
  <Override PartName="/xl/charts/chart33.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9.xml" ContentType="application/vnd.openxmlformats-officedocument.drawingml.chartshapes+xml"/>
  <Override PartName="/xl/charts/chart34.xml" ContentType="application/vnd.openxmlformats-officedocument.drawingml.chart+xml"/>
  <Override PartName="/xl/charts/style26.xml" ContentType="application/vnd.ms-office.chartstyle+xml"/>
  <Override PartName="/xl/charts/colors26.xml" ContentType="application/vnd.ms-office.chartcolorstyle+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10.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tables/table24.xml" ContentType="application/vnd.openxmlformats-officedocument.spreadsheetml.table+xml"/>
  <Override PartName="/xl/tables/table25.xml" ContentType="application/vnd.openxmlformats-officedocument.spreadsheetml.table+xml"/>
  <Override PartName="/xl/queryTables/queryTable19.xml" ContentType="application/vnd.openxmlformats-officedocument.spreadsheetml.queryTable+xml"/>
  <Override PartName="/xl/tables/table26.xml" ContentType="application/vnd.openxmlformats-officedocument.spreadsheetml.table+xml"/>
  <Override PartName="/xl/charts/chart38.xml" ContentType="application/vnd.openxmlformats-officedocument.drawingml.chart+xml"/>
  <Override PartName="/xl/charts/style28.xml" ContentType="application/vnd.ms-office.chartstyle+xml"/>
  <Override PartName="/xl/charts/colors28.xml" ContentType="application/vnd.ms-office.chartcolorstyle+xml"/>
  <Override PartName="/xl/charts/chart39.xml" ContentType="application/vnd.openxmlformats-officedocument.drawingml.chart+xml"/>
  <Override PartName="/xl/charts/style29.xml" ContentType="application/vnd.ms-office.chartstyle+xml"/>
  <Override PartName="/xl/charts/colors29.xml" ContentType="application/vnd.ms-office.chartcolorstyle+xml"/>
  <Override PartName="/xl/charts/chart40.xml" ContentType="application/vnd.openxmlformats-officedocument.drawingml.chart+xml"/>
  <Override PartName="/xl/charts/style30.xml" ContentType="application/vnd.ms-office.chartstyle+xml"/>
  <Override PartName="/xl/charts/colors30.xml" ContentType="application/vnd.ms-office.chartcolorstyle+xml"/>
  <Override PartName="/xl/charts/chart41.xml" ContentType="application/vnd.openxmlformats-officedocument.drawingml.chart+xml"/>
  <Override PartName="/xl/charts/style31.xml" ContentType="application/vnd.ms-office.chartstyle+xml"/>
  <Override PartName="/xl/charts/colors31.xml" ContentType="application/vnd.ms-office.chartcolorstyle+xml"/>
  <Override PartName="/xl/drawings/drawing11.xml" ContentType="application/vnd.openxmlformats-officedocument.drawingml.chartshapes+xml"/>
  <Override PartName="/xl/charts/chart42.xml" ContentType="application/vnd.openxmlformats-officedocument.drawingml.chart+xml"/>
  <Override PartName="/xl/charts/style32.xml" ContentType="application/vnd.ms-office.chartstyle+xml"/>
  <Override PartName="/xl/charts/colors32.xml" ContentType="application/vnd.ms-office.chartcolorstyle+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style33.xml" ContentType="application/vnd.ms-office.chartstyle+xml"/>
  <Override PartName="/xl/charts/colors33.xml" ContentType="application/vnd.ms-office.chartcolorstyle+xml"/>
  <Override PartName="/xl/charts/chart46.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12.xml" ContentType="application/vnd.openxmlformats-officedocument.drawing+xml"/>
  <Override PartName="/xl/tables/table27.xml" ContentType="application/vnd.openxmlformats-officedocument.spreadsheetml.table+xml"/>
  <Override PartName="/xl/charts/chart47.xml" ContentType="application/vnd.openxmlformats-officedocument.drawingml.chart+xml"/>
  <Override PartName="/xl/charts/style35.xml" ContentType="application/vnd.ms-office.chartstyle+xml"/>
  <Override PartName="/xl/charts/colors35.xml" ContentType="application/vnd.ms-office.chartcolorstyle+xml"/>
  <Override PartName="/xl/charts/chartEx1.xml" ContentType="application/vnd.ms-office.chartex+xml"/>
  <Override PartName="/xl/charts/style36.xml" ContentType="application/vnd.ms-office.chartstyle+xml"/>
  <Override PartName="/xl/charts/colors36.xml" ContentType="application/vnd.ms-office.chartcolorstyle+xml"/>
  <Override PartName="/xl/drawings/drawing13.xml" ContentType="application/vnd.openxmlformats-officedocument.drawing+xml"/>
  <Override PartName="/xl/tables/table28.xml" ContentType="application/vnd.openxmlformats-officedocument.spreadsheetml.table+xml"/>
  <Override PartName="/xl/tables/table29.xml" ContentType="application/vnd.openxmlformats-officedocument.spreadsheetml.table+xml"/>
  <Override PartName="/xl/queryTables/queryTable20.xml" ContentType="application/vnd.openxmlformats-officedocument.spreadsheetml.queryTable+xml"/>
  <Override PartName="/xl/tables/table30.xml" ContentType="application/vnd.openxmlformats-officedocument.spreadsheetml.table+xml"/>
  <Override PartName="/xl/queryTables/queryTable21.xml" ContentType="application/vnd.openxmlformats-officedocument.spreadsheetml.queryTable+xml"/>
  <Override PartName="/xl/tables/table31.xml" ContentType="application/vnd.openxmlformats-officedocument.spreadsheetml.table+xml"/>
  <Override PartName="/xl/queryTables/queryTable22.xml" ContentType="application/vnd.openxmlformats-officedocument.spreadsheetml.queryTable+xml"/>
  <Override PartName="/xl/tables/table32.xml" ContentType="application/vnd.openxmlformats-officedocument.spreadsheetml.table+xml"/>
  <Override PartName="/xl/queryTables/queryTable23.xml" ContentType="application/vnd.openxmlformats-officedocument.spreadsheetml.queryTable+xml"/>
  <Override PartName="/xl/tables/table33.xml" ContentType="application/vnd.openxmlformats-officedocument.spreadsheetml.table+xml"/>
  <Override PartName="/xl/queryTables/queryTable24.xml" ContentType="application/vnd.openxmlformats-officedocument.spreadsheetml.queryTable+xml"/>
  <Override PartName="/xl/tables/table34.xml" ContentType="application/vnd.openxmlformats-officedocument.spreadsheetml.table+xml"/>
  <Override PartName="/xl/queryTables/queryTable25.xml" ContentType="application/vnd.openxmlformats-officedocument.spreadsheetml.queryTable+xml"/>
  <Override PartName="/xl/tables/table35.xml" ContentType="application/vnd.openxmlformats-officedocument.spreadsheetml.table+xml"/>
  <Override PartName="/xl/queryTables/queryTable26.xml" ContentType="application/vnd.openxmlformats-officedocument.spreadsheetml.queryTable+xml"/>
  <Override PartName="/xl/tables/table36.xml" ContentType="application/vnd.openxmlformats-officedocument.spreadsheetml.table+xml"/>
  <Override PartName="/xl/queryTables/queryTable27.xml" ContentType="application/vnd.openxmlformats-officedocument.spreadsheetml.queryTable+xml"/>
  <Override PartName="/xl/tables/table37.xml" ContentType="application/vnd.openxmlformats-officedocument.spreadsheetml.table+xml"/>
  <Override PartName="/xl/queryTables/queryTable28.xml" ContentType="application/vnd.openxmlformats-officedocument.spreadsheetml.queryTable+xml"/>
  <Override PartName="/xl/tables/table38.xml" ContentType="application/vnd.openxmlformats-officedocument.spreadsheetml.table+xml"/>
  <Override PartName="/xl/queryTables/queryTable29.xml" ContentType="application/vnd.openxmlformats-officedocument.spreadsheetml.queryTable+xml"/>
  <Override PartName="/xl/drawings/drawing14.xml" ContentType="application/vnd.openxmlformats-officedocument.drawing+xml"/>
  <Override PartName="/xl/tables/table39.xml" ContentType="application/vnd.openxmlformats-officedocument.spreadsheetml.table+xml"/>
  <Override PartName="/xl/queryTables/queryTable30.xml" ContentType="application/vnd.openxmlformats-officedocument.spreadsheetml.queryTable+xml"/>
  <Override PartName="/xl/charts/chart48.xml" ContentType="application/vnd.openxmlformats-officedocument.drawingml.chart+xml"/>
  <Override PartName="/xl/charts/style37.xml" ContentType="application/vnd.ms-office.chartstyle+xml"/>
  <Override PartName="/xl/charts/colors37.xml" ContentType="application/vnd.ms-office.chartcolorstyle+xml"/>
  <Override PartName="/xl/drawings/drawing15.xml" ContentType="application/vnd.openxmlformats-officedocument.drawingml.chartshapes+xml"/>
  <Override PartName="/xl/drawings/drawing16.xml" ContentType="application/vnd.openxmlformats-officedocument.drawing+xml"/>
  <Override PartName="/xl/tables/table40.xml" ContentType="application/vnd.openxmlformats-officedocument.spreadsheetml.table+xml"/>
  <Override PartName="/xl/queryTables/queryTable31.xml" ContentType="application/vnd.openxmlformats-officedocument.spreadsheetml.queryTable+xml"/>
  <Override PartName="/xl/charts/chart49.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17.xml" ContentType="application/vnd.openxmlformats-officedocument.drawingml.chartshapes+xml"/>
  <Override PartName="/xl/pivotTables/pivotTable1.xml" ContentType="application/vnd.openxmlformats-officedocument.spreadsheetml.pivotTable+xml"/>
  <Override PartName="/xl/tables/table41.xml" ContentType="application/vnd.openxmlformats-officedocument.spreadsheetml.table+xml"/>
  <Override PartName="/xl/queryTables/queryTable32.xml" ContentType="application/vnd.openxmlformats-officedocument.spreadsheetml.queryTable+xml"/>
  <Override PartName="/xl/tables/table42.xml" ContentType="application/vnd.openxmlformats-officedocument.spreadsheetml.table+xml"/>
  <Override PartName="/xl/queryTables/queryTable3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updateLinks="never" codeName="ThisWorkbook" hidePivotFieldList="1" defaultThemeVersion="166925"/>
  <mc:AlternateContent xmlns:mc="http://schemas.openxmlformats.org/markup-compatibility/2006">
    <mc:Choice Requires="x15">
      <x15ac:absPath xmlns:x15ac="http://schemas.microsoft.com/office/spreadsheetml/2010/11/ac" url="C:\Users\jovid\Documents\015 JOSE\070 ENERGIA\00001 PUBLICACIONES LINKEDIN\002 Miniporras\superporras\"/>
    </mc:Choice>
  </mc:AlternateContent>
  <xr:revisionPtr revIDLastSave="0" documentId="13_ncr:1_{19C98EBA-9EA9-478B-AF64-50E5F8B9161E}" xr6:coauthVersionLast="47" xr6:coauthVersionMax="47" xr10:uidLastSave="{00000000-0000-0000-0000-000000000000}"/>
  <bookViews>
    <workbookView xWindow="-120" yWindow="-120" windowWidth="38640" windowHeight="21840" xr2:uid="{E6D04664-A019-450D-BA4D-AE8332CFC5BF}"/>
  </bookViews>
  <sheets>
    <sheet name="in" sheetId="5" r:id="rId1"/>
    <sheet name="omie" sheetId="1" r:id="rId2"/>
    <sheet name="ene" sheetId="6" r:id="rId3"/>
    <sheet name="feb" sheetId="11" r:id="rId4"/>
    <sheet name="mar" sheetId="15" r:id="rId5"/>
    <sheet name="abr" sheetId="24" r:id="rId6"/>
    <sheet name="may" sheetId="37" r:id="rId7"/>
    <sheet name="jun" sheetId="40" r:id="rId8"/>
    <sheet name="gauss" sheetId="41" r:id="rId9"/>
    <sheet name="powerrange" sheetId="39" r:id="rId10"/>
    <sheet name="externo" sheetId="7" r:id="rId11"/>
    <sheet name="res_mes" sheetId="12" r:id="rId12"/>
    <sheet name="acum_porc" sheetId="32" r:id="rId13"/>
    <sheet name="acum_abs" sheetId="33" r:id="rId14"/>
    <sheet name="estadisticas" sheetId="35" r:id="rId15"/>
    <sheet name="Hoja1" sheetId="36" r:id="rId16"/>
  </sheets>
  <externalReferences>
    <externalReference r:id="rId17"/>
  </externalReferences>
  <definedNames>
    <definedName name="_xlchart.v1.0" hidden="1">gauss!$B$3:$B$55</definedName>
    <definedName name="DatosExternos_1" localSheetId="5" hidden="1">abr!$A$6:$E$35</definedName>
    <definedName name="DatosExternos_1" localSheetId="13" hidden="1">acum_abs!$A$1:$G$78</definedName>
    <definedName name="DatosExternos_1" localSheetId="12" hidden="1">acum_porc!$A$1:$G$78</definedName>
    <definedName name="DatosExternos_1" localSheetId="2" hidden="1">ene!$A$6:$E$42</definedName>
    <definedName name="DatosExternos_1" localSheetId="14" hidden="1">estadisticas!$A$1:$E$64</definedName>
    <definedName name="DatosExternos_1" localSheetId="10" hidden="1">externo!$A$3:$E$27</definedName>
    <definedName name="DatosExternos_1" localSheetId="3" hidden="1">feb!$A$6:$E$41</definedName>
    <definedName name="DatosExternos_1" localSheetId="15" hidden="1">Hoja1!$A$1:$C$81</definedName>
    <definedName name="DatosExternos_1" localSheetId="0" hidden="1">in!$A$1:$H$242</definedName>
    <definedName name="DatosExternos_1" localSheetId="7" hidden="1">jun!$A$6:$E$59</definedName>
    <definedName name="DatosExternos_1" localSheetId="4" hidden="1">mar!$A$6:$E$31</definedName>
    <definedName name="DatosExternos_1" localSheetId="6" hidden="1">may!$A$6:$E$49</definedName>
    <definedName name="DatosExternos_1" localSheetId="1" hidden="1">omie!$A$4:$B$166</definedName>
    <definedName name="DatosExternos_1" localSheetId="11" hidden="1">res_mes!$A$1:$F$36</definedName>
    <definedName name="DatosExternos_2" localSheetId="5" hidden="1">abr!$P$6:$Q$36</definedName>
    <definedName name="DatosExternos_2" localSheetId="2" hidden="1">ene!$P$6:$Q$37</definedName>
    <definedName name="DatosExternos_2" localSheetId="10" hidden="1">externo!$G$3:$I$34</definedName>
    <definedName name="DatosExternos_2" localSheetId="3" hidden="1">feb!$P$6:$Q$35</definedName>
    <definedName name="DatosExternos_2" localSheetId="4" hidden="1">mar!$P$6:$Q$37</definedName>
    <definedName name="DatosExternos_2" localSheetId="6" hidden="1">may!$P$6:$Q$37</definedName>
    <definedName name="DatosExternos_2" localSheetId="1" hidden="1">omie!$D$4:$E$35</definedName>
    <definedName name="DatosExternos_2" localSheetId="11" hidden="1">res_mes!$H$1:$M$36</definedName>
    <definedName name="DatosExternos_3" localSheetId="10" hidden="1">externo!$K$3:$M$34</definedName>
    <definedName name="DatosExternos_3" localSheetId="1" hidden="1">omie!$G$4:$H$33</definedName>
    <definedName name="DatosExternos_3" localSheetId="11" hidden="1">res_mes!$O$1:$T$26</definedName>
    <definedName name="DatosExternos_4" localSheetId="10" hidden="1">externo!$O$3:$AD$34</definedName>
    <definedName name="DatosExternos_4" localSheetId="1" hidden="1">omie!$J$4:$K$35</definedName>
    <definedName name="DatosExternos_4" localSheetId="11" hidden="1">res_mes!$V$1:$AA$30</definedName>
    <definedName name="DatosExternos_5" localSheetId="1" hidden="1">omie!$M$4:$N$34</definedName>
    <definedName name="DatosExternos_5" localSheetId="11" hidden="1">res_mes!$AC$1:$AH$44</definedName>
    <definedName name="DatosExternos_6" localSheetId="1" hidden="1">omie!$P$4:$Q$35</definedName>
    <definedName name="DatosExternos_6" localSheetId="11" hidden="1">res_mes!$A$41:$F$94</definedName>
    <definedName name="DatosExternos_7" localSheetId="1" hidden="1">omie!$S$4:$T$14</definedName>
  </definedNames>
  <calcPr calcId="181029"/>
  <pivotCaches>
    <pivotCache cacheId="210" r:id="rId18"/>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9" i="33" l="1"/>
  <c r="I9" i="33" s="1"/>
  <c r="H2" i="33"/>
  <c r="I2" i="33" s="1"/>
  <c r="H11" i="33"/>
  <c r="I11" i="33" s="1"/>
  <c r="H10" i="33"/>
  <c r="I10" i="33" s="1"/>
  <c r="H3" i="33"/>
  <c r="I3" i="33" s="1"/>
  <c r="H12" i="33"/>
  <c r="I12" i="33" s="1"/>
  <c r="H17" i="33"/>
  <c r="I17" i="33" s="1"/>
  <c r="H7" i="33"/>
  <c r="I7" i="33" s="1"/>
  <c r="H8" i="33"/>
  <c r="I8" i="33" s="1"/>
  <c r="H5" i="33"/>
  <c r="I5" i="33" s="1"/>
  <c r="H6" i="33"/>
  <c r="I6" i="33" s="1"/>
  <c r="H15" i="33"/>
  <c r="I15" i="33" s="1"/>
  <c r="H16" i="33"/>
  <c r="I16" i="33" s="1"/>
  <c r="H28" i="33"/>
  <c r="I28" i="33" s="1"/>
  <c r="H14" i="33"/>
  <c r="I14" i="33" s="1"/>
  <c r="H13" i="33"/>
  <c r="I13" i="33" s="1"/>
  <c r="H20" i="33"/>
  <c r="I20" i="33" s="1"/>
  <c r="H23" i="33"/>
  <c r="I23" i="33" s="1"/>
  <c r="H22" i="33"/>
  <c r="I22" i="33" s="1"/>
  <c r="H26" i="33"/>
  <c r="I26" i="33" s="1"/>
  <c r="H18" i="33"/>
  <c r="I18" i="33" s="1"/>
  <c r="H21" i="33"/>
  <c r="I21" i="33" s="1"/>
  <c r="H25" i="33"/>
  <c r="I25" i="33" s="1"/>
  <c r="H32" i="33"/>
  <c r="I32" i="33" s="1"/>
  <c r="H24" i="33"/>
  <c r="I24" i="33" s="1"/>
  <c r="H19" i="33"/>
  <c r="I19" i="33" s="1"/>
  <c r="H27" i="33"/>
  <c r="I27" i="33" s="1"/>
  <c r="H29" i="33"/>
  <c r="I29" i="33" s="1"/>
  <c r="H31" i="33"/>
  <c r="I31" i="33" s="1"/>
  <c r="H30" i="33"/>
  <c r="I30" i="33" s="1"/>
  <c r="H33" i="33"/>
  <c r="I33" i="33" s="1"/>
  <c r="H34" i="33"/>
  <c r="I34" i="33" s="1"/>
  <c r="H35" i="33"/>
  <c r="I35" i="33" s="1"/>
  <c r="H36" i="33"/>
  <c r="I36" i="33" s="1"/>
  <c r="H37" i="33"/>
  <c r="I37" i="33" s="1"/>
  <c r="H38" i="33"/>
  <c r="I38" i="33" s="1"/>
  <c r="H39" i="33"/>
  <c r="I39" i="33" s="1"/>
  <c r="H40" i="33"/>
  <c r="I40" i="33" s="1"/>
  <c r="H41" i="33"/>
  <c r="H42" i="33"/>
  <c r="I42" i="33" s="1"/>
  <c r="H43" i="33"/>
  <c r="I43" i="33" s="1"/>
  <c r="H44" i="33"/>
  <c r="I44" i="33" s="1"/>
  <c r="H45" i="33"/>
  <c r="I45" i="33" s="1"/>
  <c r="H46" i="33"/>
  <c r="I46" i="33" s="1"/>
  <c r="H47" i="33"/>
  <c r="I47" i="33" s="1"/>
  <c r="H48" i="33"/>
  <c r="I48" i="33" s="1"/>
  <c r="H49" i="33"/>
  <c r="I49" i="33" s="1"/>
  <c r="H50" i="33"/>
  <c r="I50" i="33" s="1"/>
  <c r="H51" i="33"/>
  <c r="I51" i="33" s="1"/>
  <c r="H52" i="33"/>
  <c r="H53" i="33"/>
  <c r="H54" i="33"/>
  <c r="I54" i="33" s="1"/>
  <c r="H55" i="33"/>
  <c r="I55" i="33" s="1"/>
  <c r="H56" i="33"/>
  <c r="I56" i="33" s="1"/>
  <c r="H57" i="33"/>
  <c r="I57" i="33" s="1"/>
  <c r="H58" i="33"/>
  <c r="I58" i="33" s="1"/>
  <c r="H59" i="33"/>
  <c r="I59" i="33" s="1"/>
  <c r="H60" i="33"/>
  <c r="I60" i="33" s="1"/>
  <c r="H61" i="33"/>
  <c r="I61" i="33" s="1"/>
  <c r="H62" i="33"/>
  <c r="I62" i="33" s="1"/>
  <c r="H63" i="33"/>
  <c r="I63" i="33" s="1"/>
  <c r="H64" i="33"/>
  <c r="I64" i="33" s="1"/>
  <c r="H65" i="33"/>
  <c r="I65" i="33" s="1"/>
  <c r="H66" i="33"/>
  <c r="I66" i="33" s="1"/>
  <c r="H67" i="33"/>
  <c r="I67" i="33" s="1"/>
  <c r="H68" i="33"/>
  <c r="I68" i="33" s="1"/>
  <c r="H69" i="33"/>
  <c r="I69" i="33" s="1"/>
  <c r="H70" i="33"/>
  <c r="I70" i="33" s="1"/>
  <c r="H71" i="33"/>
  <c r="I71" i="33" s="1"/>
  <c r="H72" i="33"/>
  <c r="I72" i="33" s="1"/>
  <c r="H73" i="33"/>
  <c r="I73" i="33" s="1"/>
  <c r="H74" i="33"/>
  <c r="I74" i="33" s="1"/>
  <c r="H75" i="33"/>
  <c r="I75" i="33" s="1"/>
  <c r="H76" i="33"/>
  <c r="H77" i="33"/>
  <c r="I77" i="33" s="1"/>
  <c r="H78" i="33"/>
  <c r="I78" i="33" s="1"/>
  <c r="H4" i="33"/>
  <c r="I4" i="33" s="1"/>
  <c r="R2" i="32"/>
  <c r="H83" i="32"/>
  <c r="H27" i="32"/>
  <c r="I27" i="32" s="1"/>
  <c r="H15" i="32"/>
  <c r="I15" i="32" s="1"/>
  <c r="H34" i="32"/>
  <c r="I34" i="32" s="1"/>
  <c r="H35" i="32"/>
  <c r="J35" i="32" s="1"/>
  <c r="H5" i="32"/>
  <c r="I5" i="32" s="1"/>
  <c r="H19" i="32"/>
  <c r="I19" i="32" s="1"/>
  <c r="H36" i="32"/>
  <c r="I36" i="32" s="1"/>
  <c r="H38" i="32"/>
  <c r="I38" i="32" s="1"/>
  <c r="H39" i="32"/>
  <c r="I39" i="32" s="1"/>
  <c r="H40" i="32"/>
  <c r="I40" i="32" s="1"/>
  <c r="H18" i="32"/>
  <c r="I18" i="32" s="1"/>
  <c r="H41" i="32"/>
  <c r="I41" i="32" s="1"/>
  <c r="H11" i="32"/>
  <c r="I11" i="32" s="1"/>
  <c r="H42" i="32"/>
  <c r="I42" i="32" s="1"/>
  <c r="H43" i="32"/>
  <c r="I43" i="32" s="1"/>
  <c r="H44" i="32"/>
  <c r="I44" i="32" s="1"/>
  <c r="H45" i="32"/>
  <c r="I45" i="32" s="1"/>
  <c r="H46" i="32"/>
  <c r="I46" i="32" s="1"/>
  <c r="H47" i="32"/>
  <c r="J47" i="32" s="1"/>
  <c r="H23" i="32"/>
  <c r="I23" i="32" s="1"/>
  <c r="H21" i="32"/>
  <c r="I21" i="32" s="1"/>
  <c r="H32" i="32"/>
  <c r="I32" i="32" s="1"/>
  <c r="H48" i="32"/>
  <c r="I48" i="32" s="1"/>
  <c r="H9" i="32"/>
  <c r="I9" i="32" s="1"/>
  <c r="H49" i="32"/>
  <c r="I49" i="32" s="1"/>
  <c r="H50" i="32"/>
  <c r="I50" i="32" s="1"/>
  <c r="H16" i="32"/>
  <c r="I16" i="32" s="1"/>
  <c r="H51" i="32"/>
  <c r="I51" i="32" s="1"/>
  <c r="H17" i="32"/>
  <c r="I17" i="32" s="1"/>
  <c r="H52" i="32"/>
  <c r="I52" i="32" s="1"/>
  <c r="H14" i="32"/>
  <c r="I14" i="32" s="1"/>
  <c r="H24" i="32"/>
  <c r="I24" i="32" s="1"/>
  <c r="H53" i="32"/>
  <c r="I53" i="32" s="1"/>
  <c r="H54" i="32"/>
  <c r="I54" i="32" s="1"/>
  <c r="H7" i="32"/>
  <c r="I7" i="32" s="1"/>
  <c r="H2" i="32"/>
  <c r="I2" i="32" s="1"/>
  <c r="H55" i="32"/>
  <c r="I55" i="32" s="1"/>
  <c r="H56" i="32"/>
  <c r="I56" i="32" s="1"/>
  <c r="H29" i="32"/>
  <c r="I29" i="32" s="1"/>
  <c r="H20" i="32"/>
  <c r="I20" i="32" s="1"/>
  <c r="H58" i="32"/>
  <c r="I58" i="32" s="1"/>
  <c r="H57" i="32"/>
  <c r="I57" i="32" s="1"/>
  <c r="H59" i="32"/>
  <c r="I59" i="32" s="1"/>
  <c r="H4" i="32"/>
  <c r="I4" i="32" s="1"/>
  <c r="H26" i="32"/>
  <c r="I26" i="32" s="1"/>
  <c r="H3" i="32"/>
  <c r="I3" i="32" s="1"/>
  <c r="H28" i="32"/>
  <c r="J28" i="32" s="1"/>
  <c r="H60" i="32"/>
  <c r="I60" i="32" s="1"/>
  <c r="H10" i="32"/>
  <c r="I10" i="32" s="1"/>
  <c r="H22" i="32"/>
  <c r="I22" i="32" s="1"/>
  <c r="H33" i="32"/>
  <c r="I33" i="32" s="1"/>
  <c r="H61" i="32"/>
  <c r="J61" i="32" s="1"/>
  <c r="H62" i="32"/>
  <c r="I62" i="32" s="1"/>
  <c r="H63" i="32"/>
  <c r="I63" i="32" s="1"/>
  <c r="H25" i="32"/>
  <c r="I25" i="32" s="1"/>
  <c r="H64" i="32"/>
  <c r="I64" i="32" s="1"/>
  <c r="H65" i="32"/>
  <c r="I65" i="32" s="1"/>
  <c r="H66" i="32"/>
  <c r="I66" i="32" s="1"/>
  <c r="H30" i="32"/>
  <c r="J30" i="32" s="1"/>
  <c r="H67" i="32"/>
  <c r="I67" i="32" s="1"/>
  <c r="H68" i="32"/>
  <c r="I68" i="32" s="1"/>
  <c r="H69" i="32"/>
  <c r="I69" i="32" s="1"/>
  <c r="H70" i="32"/>
  <c r="I70" i="32" s="1"/>
  <c r="H6" i="32"/>
  <c r="I6" i="32" s="1"/>
  <c r="H71" i="32"/>
  <c r="I71" i="32" s="1"/>
  <c r="H8" i="32"/>
  <c r="I8" i="32" s="1"/>
  <c r="H13" i="32"/>
  <c r="J13" i="32" s="1"/>
  <c r="H72" i="32"/>
  <c r="I72" i="32" s="1"/>
  <c r="H73" i="32"/>
  <c r="I73" i="32" s="1"/>
  <c r="H74" i="32"/>
  <c r="I74" i="32" s="1"/>
  <c r="H12" i="32"/>
  <c r="I12" i="32" s="1"/>
  <c r="H75" i="32"/>
  <c r="I75" i="32" s="1"/>
  <c r="H76" i="32"/>
  <c r="I76" i="32" s="1"/>
  <c r="H31" i="32"/>
  <c r="I31" i="32" s="1"/>
  <c r="H78" i="32"/>
  <c r="I78" i="32" s="1"/>
  <c r="H77" i="32"/>
  <c r="I77" i="32" s="1"/>
  <c r="H37" i="32"/>
  <c r="I37" i="32" s="1"/>
  <c r="J34" i="32"/>
  <c r="J5" i="32"/>
  <c r="J19" i="32"/>
  <c r="J36" i="32"/>
  <c r="J38" i="32"/>
  <c r="J41" i="32"/>
  <c r="J11" i="32"/>
  <c r="J42" i="32"/>
  <c r="J43" i="32"/>
  <c r="J44" i="32"/>
  <c r="J45" i="32"/>
  <c r="J46" i="32"/>
  <c r="J23" i="32"/>
  <c r="J9" i="32"/>
  <c r="J49" i="32"/>
  <c r="J16" i="32"/>
  <c r="J51" i="32"/>
  <c r="J17" i="32"/>
  <c r="J52" i="32"/>
  <c r="J14" i="32"/>
  <c r="J24" i="32"/>
  <c r="J2" i="32"/>
  <c r="J29" i="32"/>
  <c r="J20" i="32"/>
  <c r="J58" i="32"/>
  <c r="J57" i="32"/>
  <c r="J59" i="32"/>
  <c r="J4" i="32"/>
  <c r="J60" i="32"/>
  <c r="J10" i="32"/>
  <c r="J33" i="32"/>
  <c r="J62" i="32"/>
  <c r="J63" i="32"/>
  <c r="J25" i="32"/>
  <c r="J64" i="32"/>
  <c r="J67" i="32"/>
  <c r="J68" i="32"/>
  <c r="J69" i="32"/>
  <c r="J70" i="32"/>
  <c r="J6" i="32"/>
  <c r="J71" i="32"/>
  <c r="J8" i="32"/>
  <c r="J72" i="32"/>
  <c r="J75" i="32"/>
  <c r="J76" i="32"/>
  <c r="J78" i="32"/>
  <c r="J77" i="32"/>
  <c r="J37" i="32"/>
  <c r="Q36" i="40"/>
  <c r="Q35" i="40"/>
  <c r="Q34" i="40"/>
  <c r="Q33" i="40"/>
  <c r="Q32" i="40"/>
  <c r="Q31" i="40"/>
  <c r="Q30" i="40"/>
  <c r="Q29" i="40"/>
  <c r="Q28" i="40"/>
  <c r="Q27" i="40"/>
  <c r="Q26" i="40"/>
  <c r="Q25" i="40"/>
  <c r="Q24" i="40"/>
  <c r="Q23" i="40"/>
  <c r="Q22" i="40"/>
  <c r="Q21" i="40"/>
  <c r="Q20" i="40"/>
  <c r="Q19" i="40"/>
  <c r="Q18" i="40"/>
  <c r="Q17" i="40"/>
  <c r="Q16" i="40"/>
  <c r="Q15" i="40"/>
  <c r="Q14" i="40"/>
  <c r="Q13" i="40"/>
  <c r="Q12" i="40"/>
  <c r="Q11" i="40"/>
  <c r="Q10" i="40"/>
  <c r="Q9" i="40"/>
  <c r="Q8" i="40"/>
  <c r="AE4" i="7"/>
  <c r="AE5" i="7"/>
  <c r="AE6" i="7"/>
  <c r="AE7" i="7"/>
  <c r="AE8" i="7"/>
  <c r="AE9" i="7"/>
  <c r="AE10" i="7"/>
  <c r="AE11" i="7"/>
  <c r="AE12" i="7"/>
  <c r="AE13" i="7"/>
  <c r="I53" i="33" l="1"/>
  <c r="I41" i="33"/>
  <c r="I76" i="33"/>
  <c r="I52" i="33"/>
  <c r="J50" i="32"/>
  <c r="J31" i="32"/>
  <c r="J56" i="32"/>
  <c r="J15" i="32"/>
  <c r="J22" i="32"/>
  <c r="I30" i="32"/>
  <c r="I28" i="32"/>
  <c r="I13" i="32"/>
  <c r="I47" i="32"/>
  <c r="I61" i="32"/>
  <c r="I35" i="32"/>
  <c r="J55" i="32"/>
  <c r="J27" i="32"/>
  <c r="J48" i="32"/>
  <c r="J12" i="32"/>
  <c r="J74" i="32"/>
  <c r="J66" i="32"/>
  <c r="J3" i="32"/>
  <c r="J54" i="32"/>
  <c r="J32" i="32"/>
  <c r="J40" i="32"/>
  <c r="J7" i="32"/>
  <c r="J73" i="32"/>
  <c r="J65" i="32"/>
  <c r="J26" i="32"/>
  <c r="J53" i="32"/>
  <c r="J21" i="32"/>
  <c r="J39" i="32"/>
  <c r="J18" i="32"/>
  <c r="Q7" i="40"/>
  <c r="B5" i="40" l="1"/>
  <c r="L45" i="41"/>
  <c r="L46" i="41" s="1"/>
  <c r="F5" i="41"/>
  <c r="F4" i="41"/>
  <c r="F3" i="41"/>
  <c r="C21" i="41" s="1"/>
  <c r="L55" i="40"/>
  <c r="L56" i="40"/>
  <c r="L57" i="40"/>
  <c r="L58" i="40"/>
  <c r="L59" i="40"/>
  <c r="M55" i="40"/>
  <c r="M56" i="40"/>
  <c r="M57" i="40"/>
  <c r="M58" i="40"/>
  <c r="M59" i="40"/>
  <c r="T3" i="1"/>
  <c r="C13" i="41" l="1"/>
  <c r="C48" i="41"/>
  <c r="C24" i="41"/>
  <c r="C20" i="41"/>
  <c r="D42" i="41"/>
  <c r="C23" i="41"/>
  <c r="C11" i="41"/>
  <c r="D19" i="41"/>
  <c r="D18" i="41"/>
  <c r="D17" i="41"/>
  <c r="C10" i="41"/>
  <c r="D41" i="41"/>
  <c r="C47" i="41"/>
  <c r="D40" i="41"/>
  <c r="C46" i="41"/>
  <c r="C22" i="41"/>
  <c r="D16" i="41"/>
  <c r="C9" i="41"/>
  <c r="D38" i="41"/>
  <c r="C44" i="41"/>
  <c r="D37" i="41"/>
  <c r="C19" i="41"/>
  <c r="D31" i="41"/>
  <c r="C36" i="41"/>
  <c r="D30" i="41"/>
  <c r="D6" i="41"/>
  <c r="D29" i="41"/>
  <c r="D5" i="41"/>
  <c r="C34" i="41"/>
  <c r="D50" i="41"/>
  <c r="D28" i="41"/>
  <c r="D4" i="41"/>
  <c r="C33" i="41"/>
  <c r="C8" i="41"/>
  <c r="C32" i="41"/>
  <c r="C7" i="41"/>
  <c r="D21" i="41"/>
  <c r="D39" i="41"/>
  <c r="C45" i="41"/>
  <c r="D55" i="41"/>
  <c r="D15" i="41"/>
  <c r="D54" i="41"/>
  <c r="D14" i="41"/>
  <c r="C43" i="41"/>
  <c r="D53" i="41"/>
  <c r="D7" i="41"/>
  <c r="D52" i="41"/>
  <c r="C35" i="41"/>
  <c r="D51" i="41"/>
  <c r="D49" i="41"/>
  <c r="D27" i="41"/>
  <c r="D43" i="41"/>
  <c r="D26" i="41"/>
  <c r="C55" i="41"/>
  <c r="C31" i="41"/>
  <c r="C12" i="41"/>
  <c r="D25" i="41"/>
  <c r="C54" i="41"/>
  <c r="C30" i="41"/>
  <c r="M46" i="41" s="1"/>
  <c r="C6" i="41"/>
  <c r="D48" i="41"/>
  <c r="D24" i="41"/>
  <c r="C53" i="41"/>
  <c r="C29" i="41"/>
  <c r="C17" i="41"/>
  <c r="D47" i="41"/>
  <c r="D35" i="41"/>
  <c r="D11" i="41"/>
  <c r="C40" i="41"/>
  <c r="C28" i="41"/>
  <c r="C16" i="41"/>
  <c r="C4" i="41"/>
  <c r="D46" i="41"/>
  <c r="D34" i="41"/>
  <c r="D22" i="41"/>
  <c r="D10" i="41"/>
  <c r="C51" i="41"/>
  <c r="C39" i="41"/>
  <c r="C27" i="41"/>
  <c r="C15" i="41"/>
  <c r="C3" i="41"/>
  <c r="D13" i="41"/>
  <c r="C42" i="41"/>
  <c r="C18" i="41"/>
  <c r="D36" i="41"/>
  <c r="D12" i="41"/>
  <c r="C41" i="41"/>
  <c r="C5" i="41"/>
  <c r="D23" i="41"/>
  <c r="C52" i="41"/>
  <c r="C38" i="41"/>
  <c r="C14" i="41"/>
  <c r="D45" i="41"/>
  <c r="D33" i="41"/>
  <c r="D9" i="41"/>
  <c r="C50" i="41"/>
  <c r="C26" i="41"/>
  <c r="D3" i="41"/>
  <c r="D44" i="41"/>
  <c r="D32" i="41"/>
  <c r="D20" i="41"/>
  <c r="D8" i="41"/>
  <c r="C49" i="41"/>
  <c r="C37" i="41"/>
  <c r="C25" i="41"/>
  <c r="F2" i="35"/>
  <c r="F3" i="35"/>
  <c r="F4" i="35"/>
  <c r="F5" i="35"/>
  <c r="F6" i="35"/>
  <c r="F7" i="35"/>
  <c r="F8" i="35"/>
  <c r="F9" i="35"/>
  <c r="F10" i="35"/>
  <c r="F11" i="35"/>
  <c r="F12" i="35"/>
  <c r="F13" i="35"/>
  <c r="F14" i="35"/>
  <c r="F15" i="35"/>
  <c r="F16" i="35"/>
  <c r="F17" i="35"/>
  <c r="F18" i="35"/>
  <c r="F19" i="35"/>
  <c r="F20" i="35"/>
  <c r="F21" i="35"/>
  <c r="F22" i="35"/>
  <c r="F23" i="35"/>
  <c r="F24" i="35"/>
  <c r="F25" i="35"/>
  <c r="F26" i="35"/>
  <c r="F27" i="35"/>
  <c r="F28" i="35"/>
  <c r="F29" i="35"/>
  <c r="F30" i="35"/>
  <c r="F31" i="35"/>
  <c r="F32" i="35"/>
  <c r="F33" i="35"/>
  <c r="F34" i="35"/>
  <c r="F35" i="35"/>
  <c r="F36" i="35"/>
  <c r="F37" i="35"/>
  <c r="F38" i="35"/>
  <c r="F39" i="35"/>
  <c r="F40" i="35"/>
  <c r="F41" i="35"/>
  <c r="F42" i="35"/>
  <c r="F43" i="35"/>
  <c r="F44" i="35"/>
  <c r="F45" i="35"/>
  <c r="F46" i="35"/>
  <c r="F47" i="35"/>
  <c r="F48" i="35"/>
  <c r="F49" i="35"/>
  <c r="F50" i="35"/>
  <c r="F51" i="35"/>
  <c r="F52" i="35"/>
  <c r="F53" i="35"/>
  <c r="F54" i="35"/>
  <c r="F55" i="35"/>
  <c r="F56" i="35"/>
  <c r="F57" i="35"/>
  <c r="F58" i="35"/>
  <c r="F59" i="35"/>
  <c r="F60" i="35"/>
  <c r="F61" i="35"/>
  <c r="F62" i="35"/>
  <c r="F63" i="35"/>
  <c r="F64" i="35"/>
  <c r="L50" i="40"/>
  <c r="L51" i="40"/>
  <c r="L52" i="40"/>
  <c r="L53" i="40"/>
  <c r="L54" i="40"/>
  <c r="M50" i="40"/>
  <c r="M51" i="40"/>
  <c r="M52" i="40"/>
  <c r="M53" i="40"/>
  <c r="M54" i="40"/>
  <c r="B4" i="40"/>
  <c r="M49" i="40"/>
  <c r="L49" i="40"/>
  <c r="M48" i="40"/>
  <c r="L48" i="40"/>
  <c r="M47" i="40"/>
  <c r="L47" i="40"/>
  <c r="M46" i="40"/>
  <c r="L46" i="40"/>
  <c r="M45" i="40"/>
  <c r="L45" i="40"/>
  <c r="M44" i="40"/>
  <c r="L44" i="40"/>
  <c r="M43" i="40"/>
  <c r="L43" i="40"/>
  <c r="M42" i="40"/>
  <c r="L42" i="40"/>
  <c r="M41" i="40"/>
  <c r="L41" i="40"/>
  <c r="M40" i="40"/>
  <c r="L40" i="40"/>
  <c r="M39" i="40"/>
  <c r="L39" i="40"/>
  <c r="M38" i="40"/>
  <c r="L38" i="40"/>
  <c r="M37" i="40"/>
  <c r="L37" i="40"/>
  <c r="M36" i="40"/>
  <c r="L36" i="40"/>
  <c r="M35" i="40"/>
  <c r="L35" i="40"/>
  <c r="M34" i="40"/>
  <c r="L34" i="40"/>
  <c r="M33" i="40"/>
  <c r="L33" i="40"/>
  <c r="M32" i="40"/>
  <c r="L32" i="40"/>
  <c r="M31" i="40"/>
  <c r="L31" i="40"/>
  <c r="M30" i="40"/>
  <c r="L30" i="40"/>
  <c r="M29" i="40"/>
  <c r="L29" i="40"/>
  <c r="M28" i="40"/>
  <c r="L28" i="40"/>
  <c r="M27" i="40"/>
  <c r="L27" i="40"/>
  <c r="M26" i="40"/>
  <c r="L26" i="40"/>
  <c r="M25" i="40"/>
  <c r="L25" i="40"/>
  <c r="M24" i="40"/>
  <c r="L24" i="40"/>
  <c r="M23" i="40"/>
  <c r="L23" i="40"/>
  <c r="M22" i="40"/>
  <c r="L22" i="40"/>
  <c r="M21" i="40"/>
  <c r="L21" i="40"/>
  <c r="M20" i="40"/>
  <c r="L20" i="40"/>
  <c r="M19" i="40"/>
  <c r="L19" i="40"/>
  <c r="M18" i="40"/>
  <c r="L18" i="40"/>
  <c r="M17" i="40"/>
  <c r="L17" i="40"/>
  <c r="M16" i="40"/>
  <c r="L16" i="40"/>
  <c r="M15" i="40"/>
  <c r="L15" i="40"/>
  <c r="M14" i="40"/>
  <c r="L14" i="40"/>
  <c r="M13" i="40"/>
  <c r="L13" i="40"/>
  <c r="M12" i="40"/>
  <c r="L12" i="40"/>
  <c r="M11" i="40"/>
  <c r="L11" i="40"/>
  <c r="M10" i="40"/>
  <c r="L10" i="40"/>
  <c r="M9" i="40"/>
  <c r="L9" i="40"/>
  <c r="M8" i="40"/>
  <c r="L8" i="40"/>
  <c r="M7" i="40"/>
  <c r="L7" i="40"/>
  <c r="H4" i="40"/>
  <c r="N3" i="40"/>
  <c r="H2" i="40"/>
  <c r="B2" i="40"/>
  <c r="B1" i="40"/>
  <c r="B3" i="40" l="1"/>
  <c r="F31" i="40" l="1"/>
  <c r="G31" i="40" s="1"/>
  <c r="F29" i="40"/>
  <c r="G29" i="40" s="1"/>
  <c r="F12" i="40"/>
  <c r="G12" i="40" s="1"/>
  <c r="F26" i="40"/>
  <c r="G26" i="40" s="1"/>
  <c r="F20" i="40"/>
  <c r="G20" i="40" s="1"/>
  <c r="F56" i="40"/>
  <c r="G56" i="40" s="1"/>
  <c r="F13" i="40"/>
  <c r="G13" i="40" s="1"/>
  <c r="F11" i="40"/>
  <c r="G11" i="40" s="1"/>
  <c r="F59" i="40"/>
  <c r="G59" i="40" s="1"/>
  <c r="F41" i="40"/>
  <c r="G41" i="40" s="1"/>
  <c r="F15" i="40"/>
  <c r="G15" i="40" s="1"/>
  <c r="F17" i="40"/>
  <c r="G17" i="40" s="1"/>
  <c r="F40" i="40"/>
  <c r="G40" i="40" s="1"/>
  <c r="F19" i="40"/>
  <c r="G19" i="40" s="1"/>
  <c r="F48" i="40"/>
  <c r="G48" i="40" s="1"/>
  <c r="F46" i="40"/>
  <c r="G46" i="40" s="1"/>
  <c r="F10" i="40"/>
  <c r="G10" i="40" s="1"/>
  <c r="F16" i="40"/>
  <c r="G16" i="40" s="1"/>
  <c r="F14" i="40"/>
  <c r="G14" i="40" s="1"/>
  <c r="F34" i="40"/>
  <c r="G34" i="40" s="1"/>
  <c r="F52" i="40"/>
  <c r="G52" i="40" s="1"/>
  <c r="F49" i="40"/>
  <c r="G49" i="40" s="1"/>
  <c r="F28" i="40"/>
  <c r="G28" i="40" s="1"/>
  <c r="F23" i="40"/>
  <c r="G23" i="40" s="1"/>
  <c r="F42" i="40"/>
  <c r="G42" i="40" s="1"/>
  <c r="F50" i="40"/>
  <c r="G50" i="40" s="1"/>
  <c r="F45" i="40"/>
  <c r="G45" i="40" s="1"/>
  <c r="F35" i="40"/>
  <c r="G35" i="40" s="1"/>
  <c r="F36" i="40"/>
  <c r="G36" i="40" s="1"/>
  <c r="F38" i="40"/>
  <c r="G38" i="40" s="1"/>
  <c r="F9" i="40"/>
  <c r="G9" i="40" s="1"/>
  <c r="F21" i="40"/>
  <c r="G21" i="40" s="1"/>
  <c r="O21" i="40" s="1"/>
  <c r="F53" i="40"/>
  <c r="G53" i="40" s="1"/>
  <c r="F37" i="40"/>
  <c r="G37" i="40" s="1"/>
  <c r="F58" i="40"/>
  <c r="G58" i="40" s="1"/>
  <c r="F7" i="40"/>
  <c r="G7" i="40" s="1"/>
  <c r="F27" i="40"/>
  <c r="G27" i="40" s="1"/>
  <c r="F32" i="40"/>
  <c r="G32" i="40" s="1"/>
  <c r="F33" i="40"/>
  <c r="G33" i="40" s="1"/>
  <c r="F43" i="40"/>
  <c r="G43" i="40" s="1"/>
  <c r="F51" i="40"/>
  <c r="G51" i="40" s="1"/>
  <c r="F8" i="40"/>
  <c r="G8" i="40" s="1"/>
  <c r="F47" i="40"/>
  <c r="G47" i="40" s="1"/>
  <c r="F39" i="40"/>
  <c r="G39" i="40" s="1"/>
  <c r="F44" i="40"/>
  <c r="G44" i="40" s="1"/>
  <c r="F30" i="40"/>
  <c r="G30" i="40" s="1"/>
  <c r="F24" i="40"/>
  <c r="G24" i="40" s="1"/>
  <c r="F55" i="40"/>
  <c r="G55" i="40" s="1"/>
  <c r="F54" i="40"/>
  <c r="G54" i="40" s="1"/>
  <c r="F57" i="40"/>
  <c r="G57" i="40" s="1"/>
  <c r="F25" i="40"/>
  <c r="G25" i="40" s="1"/>
  <c r="F18" i="40"/>
  <c r="G18" i="40" s="1"/>
  <c r="F22" i="40"/>
  <c r="G22" i="40" s="1"/>
  <c r="P3" i="40"/>
  <c r="L49" i="41"/>
  <c r="P48" i="39"/>
  <c r="C38" i="39"/>
  <c r="L48" i="39"/>
  <c r="L47" i="39"/>
  <c r="M47" i="39" s="1"/>
  <c r="N48" i="39" s="1"/>
  <c r="L46" i="39"/>
  <c r="M46" i="39" s="1"/>
  <c r="N47" i="39" s="1"/>
  <c r="L45" i="39"/>
  <c r="M45" i="39" s="1"/>
  <c r="N46" i="39" s="1"/>
  <c r="L44" i="39"/>
  <c r="M44" i="39" s="1"/>
  <c r="N45" i="39" s="1"/>
  <c r="L43" i="39"/>
  <c r="M43" i="39" s="1"/>
  <c r="N44" i="39" s="1"/>
  <c r="L42" i="39"/>
  <c r="M42" i="39" s="1"/>
  <c r="N43" i="39" s="1"/>
  <c r="L41" i="39"/>
  <c r="M41" i="39" s="1"/>
  <c r="N42" i="39" s="1"/>
  <c r="L40" i="39"/>
  <c r="M40" i="39" s="1"/>
  <c r="N41" i="39" s="1"/>
  <c r="C41" i="39"/>
  <c r="L39" i="39"/>
  <c r="M39" i="39" s="1"/>
  <c r="N40" i="39" s="1"/>
  <c r="C40" i="39"/>
  <c r="L38" i="39"/>
  <c r="M38" i="39" s="1"/>
  <c r="N39" i="39" s="1"/>
  <c r="C39" i="39"/>
  <c r="L37" i="39"/>
  <c r="M37" i="39" s="1"/>
  <c r="N38" i="39" s="1"/>
  <c r="L36" i="39"/>
  <c r="M36" i="39" s="1"/>
  <c r="N37" i="39" s="1"/>
  <c r="C36" i="39"/>
  <c r="L35" i="39"/>
  <c r="M35" i="39" s="1"/>
  <c r="N36" i="39" s="1"/>
  <c r="C35" i="39"/>
  <c r="L34" i="39"/>
  <c r="M34" i="39" s="1"/>
  <c r="N35" i="39" s="1"/>
  <c r="C34" i="39"/>
  <c r="L33" i="39"/>
  <c r="M33" i="39" s="1"/>
  <c r="N34" i="39" s="1"/>
  <c r="C33" i="39"/>
  <c r="L32" i="39"/>
  <c r="M32" i="39" s="1"/>
  <c r="N33" i="39" s="1"/>
  <c r="F32" i="39"/>
  <c r="C32" i="39"/>
  <c r="L31" i="39"/>
  <c r="M31" i="39" s="1"/>
  <c r="N32" i="39" s="1"/>
  <c r="C31" i="39"/>
  <c r="L30" i="39"/>
  <c r="M30" i="39" s="1"/>
  <c r="N31" i="39" s="1"/>
  <c r="H30" i="39"/>
  <c r="H32" i="39" s="1"/>
  <c r="C30" i="39"/>
  <c r="L29" i="39"/>
  <c r="M29" i="39" s="1"/>
  <c r="N30" i="39" s="1"/>
  <c r="C29" i="39"/>
  <c r="L28" i="39"/>
  <c r="M28" i="39" s="1"/>
  <c r="N29" i="39" s="1"/>
  <c r="C28" i="39"/>
  <c r="L27" i="39"/>
  <c r="M27" i="39" s="1"/>
  <c r="N28" i="39" s="1"/>
  <c r="C27" i="39"/>
  <c r="L26" i="39"/>
  <c r="M26" i="39" s="1"/>
  <c r="N27" i="39" s="1"/>
  <c r="C26" i="39"/>
  <c r="L25" i="39"/>
  <c r="M25" i="39" s="1"/>
  <c r="N26" i="39" s="1"/>
  <c r="C25" i="39"/>
  <c r="L24" i="39"/>
  <c r="M24" i="39" s="1"/>
  <c r="N25" i="39" s="1"/>
  <c r="C24" i="39"/>
  <c r="L23" i="39"/>
  <c r="M23" i="39" s="1"/>
  <c r="N24" i="39" s="1"/>
  <c r="C23" i="39"/>
  <c r="L22" i="39"/>
  <c r="M22" i="39" s="1"/>
  <c r="N23" i="39" s="1"/>
  <c r="C22" i="39"/>
  <c r="L21" i="39"/>
  <c r="M21" i="39" s="1"/>
  <c r="N22" i="39" s="1"/>
  <c r="C21" i="39"/>
  <c r="L20" i="39"/>
  <c r="M20" i="39" s="1"/>
  <c r="N21" i="39" s="1"/>
  <c r="F20" i="39"/>
  <c r="P2" i="39" s="1"/>
  <c r="C20" i="39"/>
  <c r="L19" i="39"/>
  <c r="M19" i="39" s="1"/>
  <c r="N20" i="39" s="1"/>
  <c r="F19" i="39"/>
  <c r="C19" i="39"/>
  <c r="L18" i="39"/>
  <c r="M18" i="39" s="1"/>
  <c r="N19" i="39" s="1"/>
  <c r="C18" i="39"/>
  <c r="L17" i="39"/>
  <c r="M17" i="39" s="1"/>
  <c r="N18" i="39" s="1"/>
  <c r="C17" i="39"/>
  <c r="L16" i="39"/>
  <c r="M16" i="39" s="1"/>
  <c r="N17" i="39" s="1"/>
  <c r="C16" i="39"/>
  <c r="L15" i="39"/>
  <c r="M15" i="39" s="1"/>
  <c r="N16" i="39" s="1"/>
  <c r="C15" i="39"/>
  <c r="L14" i="39"/>
  <c r="M14" i="39" s="1"/>
  <c r="N15" i="39" s="1"/>
  <c r="C14" i="39"/>
  <c r="L13" i="39"/>
  <c r="M13" i="39" s="1"/>
  <c r="N14" i="39" s="1"/>
  <c r="C13" i="39"/>
  <c r="L12" i="39"/>
  <c r="M12" i="39" s="1"/>
  <c r="N13" i="39" s="1"/>
  <c r="C12" i="39"/>
  <c r="L11" i="39"/>
  <c r="M11" i="39" s="1"/>
  <c r="N12" i="39" s="1"/>
  <c r="C11" i="39"/>
  <c r="L10" i="39"/>
  <c r="M10" i="39" s="1"/>
  <c r="N11" i="39" s="1"/>
  <c r="C10" i="39"/>
  <c r="L9" i="39"/>
  <c r="M9" i="39" s="1"/>
  <c r="N10" i="39" s="1"/>
  <c r="C9" i="39"/>
  <c r="L8" i="39"/>
  <c r="M8" i="39" s="1"/>
  <c r="N9" i="39" s="1"/>
  <c r="C8" i="39"/>
  <c r="L7" i="39"/>
  <c r="M7" i="39" s="1"/>
  <c r="N8" i="39" s="1"/>
  <c r="C7" i="39"/>
  <c r="L6" i="39"/>
  <c r="M6" i="39" s="1"/>
  <c r="N7" i="39" s="1"/>
  <c r="O55" i="40" l="1"/>
  <c r="O20" i="40"/>
  <c r="H27" i="40"/>
  <c r="H34" i="40"/>
  <c r="H32" i="40"/>
  <c r="H58" i="40"/>
  <c r="H24" i="40"/>
  <c r="H50" i="40"/>
  <c r="H55" i="40"/>
  <c r="H22" i="40"/>
  <c r="H37" i="40"/>
  <c r="H7" i="40"/>
  <c r="H38" i="40"/>
  <c r="H42" i="40"/>
  <c r="H28" i="40"/>
  <c r="H23" i="40"/>
  <c r="H49" i="40"/>
  <c r="H13" i="40"/>
  <c r="H52" i="40"/>
  <c r="H8" i="40"/>
  <c r="H40" i="40"/>
  <c r="H56" i="40"/>
  <c r="H44" i="40"/>
  <c r="H36" i="40"/>
  <c r="H53" i="40"/>
  <c r="H57" i="40"/>
  <c r="H39" i="40"/>
  <c r="H17" i="40"/>
  <c r="H10" i="40"/>
  <c r="H59" i="40"/>
  <c r="H47" i="40"/>
  <c r="H18" i="40"/>
  <c r="H16" i="40"/>
  <c r="H41" i="40"/>
  <c r="H43" i="40"/>
  <c r="H31" i="40"/>
  <c r="H21" i="40"/>
  <c r="H9" i="40"/>
  <c r="H15" i="40"/>
  <c r="H19" i="40"/>
  <c r="H54" i="40"/>
  <c r="H11" i="40"/>
  <c r="H14" i="40"/>
  <c r="H25" i="40"/>
  <c r="H46" i="40"/>
  <c r="H30" i="40"/>
  <c r="H51" i="40"/>
  <c r="H45" i="40"/>
  <c r="H33" i="40"/>
  <c r="O45" i="40"/>
  <c r="H35" i="40"/>
  <c r="H20" i="40"/>
  <c r="H26" i="40"/>
  <c r="H12" i="40"/>
  <c r="H29" i="40"/>
  <c r="H48" i="40"/>
  <c r="O7" i="40"/>
  <c r="N20" i="40"/>
  <c r="N59" i="40"/>
  <c r="O50" i="40"/>
  <c r="O58" i="40"/>
  <c r="O17" i="40"/>
  <c r="O48" i="40"/>
  <c r="O18" i="40"/>
  <c r="O44" i="40"/>
  <c r="O49" i="40"/>
  <c r="O37" i="40"/>
  <c r="O36" i="40"/>
  <c r="O27" i="40"/>
  <c r="O29" i="40"/>
  <c r="O40" i="40"/>
  <c r="O12" i="40"/>
  <c r="O9" i="40"/>
  <c r="O39" i="40"/>
  <c r="O38" i="40"/>
  <c r="O30" i="40"/>
  <c r="O13" i="40"/>
  <c r="O41" i="40"/>
  <c r="O15" i="40"/>
  <c r="O31" i="40"/>
  <c r="O28" i="40"/>
  <c r="O16" i="40"/>
  <c r="O19" i="40"/>
  <c r="O53" i="40"/>
  <c r="O57" i="40"/>
  <c r="O23" i="40"/>
  <c r="O56" i="40"/>
  <c r="O25" i="40"/>
  <c r="N54" i="40"/>
  <c r="N29" i="40"/>
  <c r="N56" i="40"/>
  <c r="N8" i="40"/>
  <c r="N41" i="40"/>
  <c r="N37" i="40"/>
  <c r="N35" i="40"/>
  <c r="N17" i="40"/>
  <c r="N13" i="40"/>
  <c r="N26" i="40"/>
  <c r="N39" i="40"/>
  <c r="N46" i="40"/>
  <c r="N58" i="40"/>
  <c r="N21" i="40"/>
  <c r="N47" i="40"/>
  <c r="N38" i="40"/>
  <c r="N31" i="40"/>
  <c r="N49" i="40"/>
  <c r="N42" i="40"/>
  <c r="N33" i="40"/>
  <c r="N36" i="40"/>
  <c r="N7" i="40"/>
  <c r="N55" i="40"/>
  <c r="N34" i="40"/>
  <c r="N18" i="40"/>
  <c r="N25" i="40"/>
  <c r="N16" i="40"/>
  <c r="N48" i="40"/>
  <c r="N52" i="40"/>
  <c r="N53" i="40"/>
  <c r="N51" i="40"/>
  <c r="N22" i="40"/>
  <c r="N45" i="40"/>
  <c r="N14" i="40"/>
  <c r="N19" i="40"/>
  <c r="N12" i="40"/>
  <c r="N30" i="40"/>
  <c r="N11" i="40"/>
  <c r="N44" i="40"/>
  <c r="N43" i="40"/>
  <c r="N27" i="40"/>
  <c r="N40" i="40"/>
  <c r="N28" i="40"/>
  <c r="N32" i="40"/>
  <c r="M50" i="41"/>
  <c r="L50" i="41"/>
  <c r="N10" i="40"/>
  <c r="N24" i="40"/>
  <c r="N15" i="40"/>
  <c r="N57" i="40"/>
  <c r="N23" i="40"/>
  <c r="N9" i="40"/>
  <c r="N50" i="40"/>
  <c r="F37" i="39"/>
  <c r="O42" i="40"/>
  <c r="O11" i="40"/>
  <c r="O54" i="40"/>
  <c r="O52" i="40"/>
  <c r="O51" i="40"/>
  <c r="O43" i="40"/>
  <c r="O33" i="40"/>
  <c r="O47" i="40"/>
  <c r="O34" i="40"/>
  <c r="O22" i="40"/>
  <c r="O14" i="40"/>
  <c r="O35" i="40"/>
  <c r="O24" i="40"/>
  <c r="O26" i="40"/>
  <c r="O32" i="40"/>
  <c r="O8" i="40"/>
  <c r="O46" i="40"/>
  <c r="O10" i="40"/>
  <c r="F21" i="39"/>
  <c r="P3" i="39" s="1"/>
  <c r="F22" i="39"/>
  <c r="F23" i="39" s="1"/>
  <c r="L3" i="39" s="1"/>
  <c r="K22" i="40" l="1"/>
  <c r="K47" i="40"/>
  <c r="K17" i="40"/>
  <c r="K46" i="40"/>
  <c r="K8" i="40"/>
  <c r="K35" i="40"/>
  <c r="K37" i="40"/>
  <c r="O59" i="40"/>
  <c r="K43" i="40"/>
  <c r="K26" i="40"/>
  <c r="K32" i="40"/>
  <c r="K33" i="40"/>
  <c r="K24" i="40"/>
  <c r="K19" i="40"/>
  <c r="K54" i="40"/>
  <c r="K20" i="40"/>
  <c r="K14" i="40"/>
  <c r="K40" i="40"/>
  <c r="K55" i="40"/>
  <c r="K57" i="40"/>
  <c r="K18" i="40"/>
  <c r="K15" i="40"/>
  <c r="K23" i="40"/>
  <c r="K44" i="40"/>
  <c r="K45" i="40"/>
  <c r="K59" i="40"/>
  <c r="K12" i="40"/>
  <c r="K56" i="40"/>
  <c r="K42" i="40"/>
  <c r="K49" i="40"/>
  <c r="K51" i="40"/>
  <c r="K9" i="40"/>
  <c r="K53" i="40"/>
  <c r="K7" i="40"/>
  <c r="K13" i="40"/>
  <c r="K39" i="40"/>
  <c r="K38" i="40"/>
  <c r="K34" i="40"/>
  <c r="K29" i="40"/>
  <c r="K25" i="40"/>
  <c r="K28" i="40"/>
  <c r="K31" i="40"/>
  <c r="K41" i="40"/>
  <c r="K16" i="40"/>
  <c r="K48" i="40"/>
  <c r="K52" i="40"/>
  <c r="K11" i="40"/>
  <c r="K10" i="40"/>
  <c r="K58" i="40"/>
  <c r="K50" i="40"/>
  <c r="K27" i="40"/>
  <c r="K30" i="40"/>
  <c r="K21" i="40"/>
  <c r="K36" i="40"/>
  <c r="O17" i="39"/>
  <c r="Q17" i="39" s="1"/>
  <c r="P16" i="39" s="1"/>
  <c r="O16" i="39"/>
  <c r="Q16" i="39" s="1"/>
  <c r="P15" i="39" s="1"/>
  <c r="O35" i="39"/>
  <c r="Q35" i="39" s="1"/>
  <c r="P34" i="39" s="1"/>
  <c r="O32" i="39"/>
  <c r="Q32" i="39" s="1"/>
  <c r="P31" i="39" s="1"/>
  <c r="O29" i="39"/>
  <c r="Q29" i="39" s="1"/>
  <c r="P28" i="39" s="1"/>
  <c r="O41" i="39"/>
  <c r="Q41" i="39" s="1"/>
  <c r="P40" i="39" s="1"/>
  <c r="O45" i="39"/>
  <c r="Q45" i="39" s="1"/>
  <c r="P44" i="39" s="1"/>
  <c r="O31" i="39"/>
  <c r="Q31" i="39" s="1"/>
  <c r="P30" i="39" s="1"/>
  <c r="O40" i="39"/>
  <c r="Q40" i="39" s="1"/>
  <c r="P39" i="39" s="1"/>
  <c r="O14" i="39"/>
  <c r="Q14" i="39" s="1"/>
  <c r="P13" i="39" s="1"/>
  <c r="O30" i="39"/>
  <c r="Q30" i="39" s="1"/>
  <c r="P29" i="39" s="1"/>
  <c r="O9" i="39"/>
  <c r="Q9" i="39" s="1"/>
  <c r="P8" i="39" s="1"/>
  <c r="O6" i="39"/>
  <c r="Q6" i="39" s="1"/>
  <c r="O38" i="39"/>
  <c r="Q38" i="39" s="1"/>
  <c r="P37" i="39" s="1"/>
  <c r="O47" i="39"/>
  <c r="Q47" i="39" s="1"/>
  <c r="P46" i="39" s="1"/>
  <c r="O13" i="39"/>
  <c r="Q13" i="39" s="1"/>
  <c r="P12" i="39" s="1"/>
  <c r="H33" i="39"/>
  <c r="H34" i="39" s="1"/>
  <c r="O18" i="39"/>
  <c r="Q18" i="39" s="1"/>
  <c r="P17" i="39" s="1"/>
  <c r="O26" i="39"/>
  <c r="Q26" i="39" s="1"/>
  <c r="P25" i="39" s="1"/>
  <c r="O46" i="39"/>
  <c r="Q46" i="39" s="1"/>
  <c r="P45" i="39" s="1"/>
  <c r="F33" i="39"/>
  <c r="F34" i="39" s="1"/>
  <c r="O8" i="39"/>
  <c r="Q8" i="39" s="1"/>
  <c r="P7" i="39" s="1"/>
  <c r="O15" i="39"/>
  <c r="Q15" i="39" s="1"/>
  <c r="P14" i="39" s="1"/>
  <c r="O20" i="39"/>
  <c r="Q20" i="39" s="1"/>
  <c r="P19" i="39" s="1"/>
  <c r="O44" i="39"/>
  <c r="Q44" i="39" s="1"/>
  <c r="P43" i="39" s="1"/>
  <c r="O42" i="39"/>
  <c r="Q42" i="39" s="1"/>
  <c r="P41" i="39" s="1"/>
  <c r="O10" i="39"/>
  <c r="Q10" i="39" s="1"/>
  <c r="P9" i="39" s="1"/>
  <c r="O23" i="39"/>
  <c r="Q23" i="39" s="1"/>
  <c r="P22" i="39" s="1"/>
  <c r="O28" i="39"/>
  <c r="Q28" i="39" s="1"/>
  <c r="P27" i="39" s="1"/>
  <c r="O33" i="39"/>
  <c r="Q33" i="39" s="1"/>
  <c r="P32" i="39" s="1"/>
  <c r="O22" i="39"/>
  <c r="Q22" i="39" s="1"/>
  <c r="P21" i="39" s="1"/>
  <c r="O27" i="39"/>
  <c r="Q27" i="39" s="1"/>
  <c r="P26" i="39" s="1"/>
  <c r="O39" i="39"/>
  <c r="Q39" i="39" s="1"/>
  <c r="P38" i="39" s="1"/>
  <c r="O48" i="39"/>
  <c r="Q48" i="39" s="1"/>
  <c r="P47" i="39" s="1"/>
  <c r="O7" i="39"/>
  <c r="Q7" i="39" s="1"/>
  <c r="P6" i="39" s="1"/>
  <c r="O36" i="39"/>
  <c r="Q36" i="39" s="1"/>
  <c r="P35" i="39" s="1"/>
  <c r="O43" i="39"/>
  <c r="Q43" i="39" s="1"/>
  <c r="P42" i="39" s="1"/>
  <c r="O21" i="39"/>
  <c r="Q21" i="39" s="1"/>
  <c r="P20" i="39" s="1"/>
  <c r="O34" i="39"/>
  <c r="Q34" i="39" s="1"/>
  <c r="P33" i="39" s="1"/>
  <c r="O24" i="39"/>
  <c r="Q24" i="39" s="1"/>
  <c r="P23" i="39" s="1"/>
  <c r="O12" i="39"/>
  <c r="Q12" i="39" s="1"/>
  <c r="P11" i="39" s="1"/>
  <c r="O11" i="39"/>
  <c r="Q11" i="39" s="1"/>
  <c r="P10" i="39" s="1"/>
  <c r="O25" i="39"/>
  <c r="Q25" i="39" s="1"/>
  <c r="P24" i="39" s="1"/>
  <c r="O19" i="39"/>
  <c r="Q19" i="39" s="1"/>
  <c r="P18" i="39" s="1"/>
  <c r="O37" i="39"/>
  <c r="Q37" i="39" s="1"/>
  <c r="P36" i="39" s="1"/>
  <c r="H2" i="37" l="1"/>
  <c r="L49" i="37" l="1"/>
  <c r="M49" i="37"/>
  <c r="L3" i="32"/>
  <c r="L4" i="32"/>
  <c r="L5" i="32"/>
  <c r="L6" i="32"/>
  <c r="L7" i="32"/>
  <c r="L8" i="32"/>
  <c r="L9" i="32"/>
  <c r="L10" i="32"/>
  <c r="L11" i="32"/>
  <c r="L12" i="32"/>
  <c r="L13" i="32"/>
  <c r="L14" i="32"/>
  <c r="L15" i="32"/>
  <c r="L16" i="32"/>
  <c r="L17" i="32"/>
  <c r="L18" i="32"/>
  <c r="L19" i="32"/>
  <c r="L20" i="32"/>
  <c r="L21" i="32"/>
  <c r="L22" i="32"/>
  <c r="L23" i="32"/>
  <c r="L24" i="32"/>
  <c r="L25" i="32"/>
  <c r="L26" i="32"/>
  <c r="L27" i="32"/>
  <c r="L28" i="32"/>
  <c r="L29" i="32"/>
  <c r="L30" i="32"/>
  <c r="L31" i="32"/>
  <c r="L32" i="32"/>
  <c r="L33" i="32"/>
  <c r="L2" i="32"/>
  <c r="C92" i="32"/>
  <c r="C94" i="32" s="1"/>
  <c r="C95" i="32" s="1"/>
  <c r="M27" i="32" l="1"/>
  <c r="M26" i="32"/>
  <c r="M24" i="32"/>
  <c r="M25" i="32"/>
  <c r="M23" i="32"/>
  <c r="M30" i="32"/>
  <c r="M33" i="32"/>
  <c r="M32" i="32"/>
  <c r="M22" i="32"/>
  <c r="M31" i="32"/>
  <c r="M29" i="32"/>
  <c r="M28" i="32"/>
  <c r="M14" i="32"/>
  <c r="M11" i="32"/>
  <c r="M3" i="32"/>
  <c r="M15" i="32"/>
  <c r="M2" i="32"/>
  <c r="M16" i="32"/>
  <c r="M4" i="32"/>
  <c r="M5" i="32"/>
  <c r="M17" i="32"/>
  <c r="M6" i="32"/>
  <c r="M18" i="32"/>
  <c r="M7" i="32"/>
  <c r="M19" i="32"/>
  <c r="M8" i="32"/>
  <c r="M20" i="32"/>
  <c r="M9" i="32"/>
  <c r="M10" i="32"/>
  <c r="M12" i="32"/>
  <c r="M13" i="32"/>
  <c r="C93" i="32"/>
  <c r="M21" i="32"/>
  <c r="B5" i="37"/>
  <c r="B4" i="37"/>
  <c r="B3" i="37" s="1"/>
  <c r="L47" i="37"/>
  <c r="L48" i="37"/>
  <c r="M47" i="37"/>
  <c r="M48" i="37"/>
  <c r="L46" i="37"/>
  <c r="M46" i="37"/>
  <c r="Q3" i="1"/>
  <c r="L36" i="37"/>
  <c r="L37" i="37"/>
  <c r="L38" i="37"/>
  <c r="L39" i="37"/>
  <c r="L40" i="37"/>
  <c r="L41" i="37"/>
  <c r="L42" i="37"/>
  <c r="L43" i="37"/>
  <c r="L44" i="37"/>
  <c r="L45" i="37"/>
  <c r="M36" i="37"/>
  <c r="M37" i="37"/>
  <c r="M38" i="37"/>
  <c r="M39" i="37"/>
  <c r="M40" i="37"/>
  <c r="M41" i="37"/>
  <c r="M42" i="37"/>
  <c r="M43" i="37"/>
  <c r="M44" i="37"/>
  <c r="M45" i="37"/>
  <c r="M35" i="37"/>
  <c r="L35" i="37"/>
  <c r="M34" i="37"/>
  <c r="L34" i="37"/>
  <c r="M33" i="37"/>
  <c r="L33" i="37"/>
  <c r="M32" i="37"/>
  <c r="L32" i="37"/>
  <c r="M31" i="37"/>
  <c r="L31" i="37"/>
  <c r="M30" i="37"/>
  <c r="L30" i="37"/>
  <c r="M29" i="37"/>
  <c r="L29" i="37"/>
  <c r="M28" i="37"/>
  <c r="L28" i="37"/>
  <c r="M27" i="37"/>
  <c r="L27" i="37"/>
  <c r="M26" i="37"/>
  <c r="L26" i="37"/>
  <c r="M25" i="37"/>
  <c r="L25" i="37"/>
  <c r="M24" i="37"/>
  <c r="L24" i="37"/>
  <c r="M23" i="37"/>
  <c r="L23" i="37"/>
  <c r="M22" i="37"/>
  <c r="L22" i="37"/>
  <c r="M21" i="37"/>
  <c r="L21" i="37"/>
  <c r="M20" i="37"/>
  <c r="L20" i="37"/>
  <c r="M19" i="37"/>
  <c r="L19" i="37"/>
  <c r="M18" i="37"/>
  <c r="L18" i="37"/>
  <c r="M17" i="37"/>
  <c r="L17" i="37"/>
  <c r="M16" i="37"/>
  <c r="L16" i="37"/>
  <c r="M15" i="37"/>
  <c r="L15" i="37"/>
  <c r="M14" i="37"/>
  <c r="L14" i="37"/>
  <c r="M13" i="37"/>
  <c r="L13" i="37"/>
  <c r="M12" i="37"/>
  <c r="L12" i="37"/>
  <c r="M11" i="37"/>
  <c r="L11" i="37"/>
  <c r="M10" i="37"/>
  <c r="L10" i="37"/>
  <c r="M9" i="37"/>
  <c r="L9" i="37"/>
  <c r="M8" i="37"/>
  <c r="L8" i="37"/>
  <c r="M7" i="37"/>
  <c r="L7" i="37"/>
  <c r="H4" i="37"/>
  <c r="N3" i="37"/>
  <c r="B2" i="37"/>
  <c r="B1" i="37"/>
  <c r="O25" i="32"/>
  <c r="O5" i="32"/>
  <c r="N3" i="32"/>
  <c r="N9" i="32"/>
  <c r="N6" i="32"/>
  <c r="O31" i="32"/>
  <c r="N19" i="32"/>
  <c r="O17" i="32"/>
  <c r="N27" i="32"/>
  <c r="N24" i="32"/>
  <c r="O10" i="32"/>
  <c r="N20" i="32"/>
  <c r="O33" i="32"/>
  <c r="N23" i="32"/>
  <c r="N22" i="32"/>
  <c r="N30" i="32"/>
  <c r="N2" i="32"/>
  <c r="O16" i="32"/>
  <c r="N33" i="32"/>
  <c r="O14" i="32"/>
  <c r="N28" i="32"/>
  <c r="O7" i="32"/>
  <c r="O9" i="32"/>
  <c r="O13" i="32"/>
  <c r="O3" i="32"/>
  <c r="O23" i="32"/>
  <c r="O32" i="32"/>
  <c r="N26" i="32"/>
  <c r="N25" i="32"/>
  <c r="O2" i="32"/>
  <c r="O12" i="32"/>
  <c r="O4" i="32"/>
  <c r="N10" i="32"/>
  <c r="O24" i="32"/>
  <c r="O20" i="32"/>
  <c r="N15" i="32"/>
  <c r="N11" i="32"/>
  <c r="N8" i="32"/>
  <c r="N21" i="32"/>
  <c r="O18" i="32"/>
  <c r="O29" i="32"/>
  <c r="F27" i="37" l="1"/>
  <c r="G27" i="37" s="1"/>
  <c r="F12" i="37"/>
  <c r="F9" i="37"/>
  <c r="G9" i="37" s="1"/>
  <c r="F33" i="37"/>
  <c r="G33" i="37" s="1"/>
  <c r="F48" i="37"/>
  <c r="G48" i="37" s="1"/>
  <c r="F39" i="37"/>
  <c r="G39" i="37" s="1"/>
  <c r="F40" i="37"/>
  <c r="G40" i="37" s="1"/>
  <c r="F36" i="37"/>
  <c r="G36" i="37" s="1"/>
  <c r="F30" i="37"/>
  <c r="G30" i="37" s="1"/>
  <c r="F21" i="37"/>
  <c r="G21" i="37" s="1"/>
  <c r="F38" i="37"/>
  <c r="G38" i="37" s="1"/>
  <c r="F28" i="37"/>
  <c r="G28" i="37" s="1"/>
  <c r="F7" i="37"/>
  <c r="G7" i="37" s="1"/>
  <c r="F42" i="37"/>
  <c r="F11" i="37"/>
  <c r="G11" i="37" s="1"/>
  <c r="F19" i="37"/>
  <c r="G19" i="37" s="1"/>
  <c r="F16" i="37"/>
  <c r="G16" i="37" s="1"/>
  <c r="F31" i="37"/>
  <c r="G31" i="37" s="1"/>
  <c r="F25" i="37"/>
  <c r="G25" i="37" s="1"/>
  <c r="F35" i="37"/>
  <c r="G35" i="37" s="1"/>
  <c r="F43" i="37"/>
  <c r="G43" i="37" s="1"/>
  <c r="F8" i="37"/>
  <c r="G8" i="37" s="1"/>
  <c r="F20" i="37"/>
  <c r="G20" i="37" s="1"/>
  <c r="F29" i="37"/>
  <c r="G29" i="37" s="1"/>
  <c r="F14" i="37"/>
  <c r="G14" i="37" s="1"/>
  <c r="F18" i="37"/>
  <c r="G18" i="37" s="1"/>
  <c r="F15" i="37"/>
  <c r="G15" i="37" s="1"/>
  <c r="F32" i="37"/>
  <c r="G32" i="37" s="1"/>
  <c r="F44" i="37"/>
  <c r="G44" i="37" s="1"/>
  <c r="F17" i="37"/>
  <c r="G17" i="37" s="1"/>
  <c r="F49" i="37"/>
  <c r="G49" i="37" s="1"/>
  <c r="F24" i="37"/>
  <c r="G24" i="37" s="1"/>
  <c r="G12" i="37"/>
  <c r="F46" i="37"/>
  <c r="G46" i="37" s="1"/>
  <c r="F37" i="37"/>
  <c r="G37" i="37" s="1"/>
  <c r="F10" i="37"/>
  <c r="G10" i="37" s="1"/>
  <c r="F41" i="37"/>
  <c r="G41" i="37" s="1"/>
  <c r="F13" i="37"/>
  <c r="G13" i="37" s="1"/>
  <c r="F26" i="37"/>
  <c r="G26" i="37" s="1"/>
  <c r="F23" i="37"/>
  <c r="G23" i="37" s="1"/>
  <c r="G42" i="37"/>
  <c r="F47" i="37"/>
  <c r="G47" i="37" s="1"/>
  <c r="F22" i="37"/>
  <c r="G22" i="37" s="1"/>
  <c r="F45" i="37"/>
  <c r="G45" i="37" s="1"/>
  <c r="F34" i="37"/>
  <c r="G34" i="37" s="1"/>
  <c r="P3" i="37"/>
  <c r="P3" i="32"/>
  <c r="O11" i="32"/>
  <c r="N4" i="32"/>
  <c r="O30" i="32"/>
  <c r="N7" i="32"/>
  <c r="O28" i="32"/>
  <c r="P2" i="32"/>
  <c r="N16" i="32"/>
  <c r="N17" i="32"/>
  <c r="O8" i="32"/>
  <c r="P23" i="32"/>
  <c r="P24" i="32"/>
  <c r="O6" i="32"/>
  <c r="N18" i="32"/>
  <c r="O15" i="32"/>
  <c r="O19" i="32"/>
  <c r="O27" i="32"/>
  <c r="P10" i="32"/>
  <c r="P33" i="32"/>
  <c r="P25" i="32"/>
  <c r="N12" i="32"/>
  <c r="N32" i="32"/>
  <c r="N29" i="32"/>
  <c r="N13" i="32"/>
  <c r="N31" i="32"/>
  <c r="O21" i="32"/>
  <c r="O22" i="32"/>
  <c r="O26" i="32"/>
  <c r="P9" i="32"/>
  <c r="N14" i="32"/>
  <c r="N5" i="32"/>
  <c r="P20" i="32"/>
  <c r="H35" i="37" l="1"/>
  <c r="H44" i="37"/>
  <c r="H45" i="37"/>
  <c r="H34" i="37"/>
  <c r="H32" i="37"/>
  <c r="H31" i="37"/>
  <c r="H37" i="37"/>
  <c r="H10" i="37"/>
  <c r="H14" i="37"/>
  <c r="H16" i="37"/>
  <c r="H29" i="37"/>
  <c r="H48" i="37"/>
  <c r="H33" i="37"/>
  <c r="H18" i="37"/>
  <c r="H13" i="37"/>
  <c r="H8" i="37"/>
  <c r="H41" i="37"/>
  <c r="H43" i="37"/>
  <c r="H22" i="37"/>
  <c r="H20" i="37"/>
  <c r="H24" i="37"/>
  <c r="H38" i="37"/>
  <c r="H49" i="37"/>
  <c r="H17" i="37"/>
  <c r="H12" i="37"/>
  <c r="H46" i="37"/>
  <c r="H30" i="37"/>
  <c r="H23" i="37"/>
  <c r="H25" i="37"/>
  <c r="H40" i="37"/>
  <c r="H39" i="37"/>
  <c r="H11" i="37"/>
  <c r="H47" i="37"/>
  <c r="H42" i="37"/>
  <c r="H21" i="37"/>
  <c r="H26" i="37"/>
  <c r="H15" i="37"/>
  <c r="H28" i="37"/>
  <c r="H19" i="37"/>
  <c r="H27" i="37"/>
  <c r="H7" i="37"/>
  <c r="H36" i="37"/>
  <c r="H9" i="37"/>
  <c r="O49" i="37"/>
  <c r="N49" i="37"/>
  <c r="O37" i="37"/>
  <c r="O45" i="37"/>
  <c r="O48" i="37"/>
  <c r="N48" i="37"/>
  <c r="O47" i="37"/>
  <c r="N47" i="37"/>
  <c r="O46" i="37"/>
  <c r="N46" i="37"/>
  <c r="N14" i="37"/>
  <c r="N28" i="37"/>
  <c r="O38" i="37"/>
  <c r="N27" i="37"/>
  <c r="N15" i="37"/>
  <c r="O36" i="37"/>
  <c r="O30" i="37"/>
  <c r="O42" i="37"/>
  <c r="O41" i="37"/>
  <c r="O14" i="37"/>
  <c r="N36" i="37"/>
  <c r="N16" i="37"/>
  <c r="N19" i="37"/>
  <c r="N41" i="37"/>
  <c r="N42" i="37"/>
  <c r="O39" i="37"/>
  <c r="N39" i="37"/>
  <c r="O43" i="37"/>
  <c r="N43" i="37"/>
  <c r="O44" i="37"/>
  <c r="N44" i="37"/>
  <c r="N45" i="37"/>
  <c r="N22" i="37"/>
  <c r="O40" i="37"/>
  <c r="N40" i="37"/>
  <c r="N37" i="37"/>
  <c r="N38" i="37"/>
  <c r="N9" i="37"/>
  <c r="N29" i="37"/>
  <c r="N26" i="37"/>
  <c r="O27" i="37"/>
  <c r="N33" i="37"/>
  <c r="N30" i="37"/>
  <c r="N34" i="37"/>
  <c r="N21" i="37"/>
  <c r="N12" i="37"/>
  <c r="N7" i="37"/>
  <c r="O16" i="37"/>
  <c r="O24" i="37"/>
  <c r="O32" i="37"/>
  <c r="O20" i="37"/>
  <c r="O28" i="37"/>
  <c r="N18" i="37"/>
  <c r="N32" i="37"/>
  <c r="N24" i="37"/>
  <c r="N11" i="37"/>
  <c r="N8" i="37"/>
  <c r="N35" i="37"/>
  <c r="N25" i="37"/>
  <c r="O13" i="37"/>
  <c r="O26" i="37"/>
  <c r="O25" i="37"/>
  <c r="O23" i="37"/>
  <c r="O10" i="37"/>
  <c r="O31" i="37"/>
  <c r="O17" i="37"/>
  <c r="N31" i="37"/>
  <c r="O11" i="37"/>
  <c r="N13" i="37"/>
  <c r="O12" i="37"/>
  <c r="N10" i="37"/>
  <c r="N23" i="37"/>
  <c r="O19" i="37"/>
  <c r="N20" i="37"/>
  <c r="N17" i="37"/>
  <c r="O22" i="37"/>
  <c r="O7" i="37"/>
  <c r="O9" i="37"/>
  <c r="O35" i="37"/>
  <c r="O8" i="37"/>
  <c r="P26" i="32"/>
  <c r="P18" i="32"/>
  <c r="P12" i="32"/>
  <c r="P17" i="32"/>
  <c r="P5" i="32"/>
  <c r="P30" i="32"/>
  <c r="P22" i="32"/>
  <c r="P7" i="32"/>
  <c r="P21" i="32"/>
  <c r="P8" i="32"/>
  <c r="P28" i="32"/>
  <c r="P31" i="32"/>
  <c r="P6" i="32"/>
  <c r="P13" i="32"/>
  <c r="P15" i="32"/>
  <c r="P29" i="32"/>
  <c r="P4" i="32"/>
  <c r="P11" i="32"/>
  <c r="P14" i="32"/>
  <c r="P19" i="32"/>
  <c r="P16" i="32"/>
  <c r="P27" i="32"/>
  <c r="P32" i="32"/>
  <c r="K32" i="37" l="1"/>
  <c r="K47" i="37"/>
  <c r="K43" i="37"/>
  <c r="K45" i="37"/>
  <c r="K41" i="37"/>
  <c r="K17" i="37"/>
  <c r="K34" i="37"/>
  <c r="K35" i="37"/>
  <c r="K25" i="37"/>
  <c r="K33" i="37"/>
  <c r="K14" i="37"/>
  <c r="K24" i="37"/>
  <c r="K40" i="37"/>
  <c r="K42" i="37"/>
  <c r="K37" i="37"/>
  <c r="K18" i="37"/>
  <c r="K21" i="37"/>
  <c r="K10" i="37"/>
  <c r="K7" i="37"/>
  <c r="K49" i="37"/>
  <c r="K38" i="37"/>
  <c r="K27" i="37"/>
  <c r="K8" i="37"/>
  <c r="K39" i="37"/>
  <c r="K31" i="37"/>
  <c r="K46" i="37"/>
  <c r="K44" i="37"/>
  <c r="K36" i="37"/>
  <c r="K48" i="37"/>
  <c r="K22" i="37"/>
  <c r="O29" i="37"/>
  <c r="O34" i="37"/>
  <c r="O21" i="37"/>
  <c r="O33" i="37"/>
  <c r="O15" i="37"/>
  <c r="O18" i="37"/>
  <c r="B1" i="15"/>
  <c r="K26" i="37" l="1"/>
  <c r="K11" i="37"/>
  <c r="K29" i="37"/>
  <c r="K20" i="37"/>
  <c r="K15" i="37"/>
  <c r="K19" i="37"/>
  <c r="K9" i="37"/>
  <c r="K30" i="37"/>
  <c r="K13" i="37"/>
  <c r="K12" i="37"/>
  <c r="K23" i="37"/>
  <c r="K16" i="37"/>
  <c r="K28" i="37"/>
  <c r="F26" i="39" l="1"/>
  <c r="N24" i="35"/>
  <c r="O24" i="35"/>
  <c r="N25" i="35"/>
  <c r="O25" i="35"/>
  <c r="L24" i="35"/>
  <c r="M24" i="35"/>
  <c r="L25" i="35"/>
  <c r="M25" i="35"/>
  <c r="K25" i="35"/>
  <c r="K24" i="35"/>
  <c r="O27" i="35" l="1"/>
  <c r="B2" i="24"/>
  <c r="B1" i="24"/>
  <c r="M8" i="24"/>
  <c r="M9" i="24"/>
  <c r="M10" i="24"/>
  <c r="M11" i="24"/>
  <c r="M12" i="24"/>
  <c r="M13" i="24"/>
  <c r="M14" i="24"/>
  <c r="M15" i="24"/>
  <c r="M16" i="24"/>
  <c r="M17" i="24"/>
  <c r="M18" i="24"/>
  <c r="M19" i="24"/>
  <c r="M20" i="24"/>
  <c r="M21" i="24"/>
  <c r="M22" i="24"/>
  <c r="M23" i="24"/>
  <c r="M24" i="24"/>
  <c r="M25" i="24"/>
  <c r="M26" i="24"/>
  <c r="M27" i="24"/>
  <c r="M28" i="24"/>
  <c r="M29" i="24"/>
  <c r="M30" i="24"/>
  <c r="M31" i="24"/>
  <c r="M32" i="24"/>
  <c r="M33" i="24"/>
  <c r="M34" i="24"/>
  <c r="M35" i="24"/>
  <c r="M7" i="24"/>
  <c r="L8" i="24"/>
  <c r="L9" i="24"/>
  <c r="L10" i="24"/>
  <c r="L11" i="24"/>
  <c r="L12" i="24"/>
  <c r="L13" i="24"/>
  <c r="L14" i="24"/>
  <c r="L15" i="24"/>
  <c r="L16" i="24"/>
  <c r="L17" i="24"/>
  <c r="L18" i="24"/>
  <c r="L19" i="24"/>
  <c r="L20" i="24"/>
  <c r="L21" i="24"/>
  <c r="L22" i="24"/>
  <c r="L23" i="24"/>
  <c r="L24" i="24"/>
  <c r="L25" i="24"/>
  <c r="L26" i="24"/>
  <c r="L27" i="24"/>
  <c r="L28" i="24"/>
  <c r="L29" i="24"/>
  <c r="L30" i="24"/>
  <c r="L31" i="24"/>
  <c r="L32" i="24"/>
  <c r="L33" i="24"/>
  <c r="L34" i="24"/>
  <c r="L35" i="24"/>
  <c r="L7" i="24"/>
  <c r="B5" i="24" l="1"/>
  <c r="B4" i="24"/>
  <c r="B3" i="24" s="1"/>
  <c r="N3" i="1"/>
  <c r="L8" i="15"/>
  <c r="L9" i="15"/>
  <c r="L10" i="15"/>
  <c r="L11" i="15"/>
  <c r="L12" i="15"/>
  <c r="L13" i="15"/>
  <c r="L14" i="15"/>
  <c r="L15" i="15"/>
  <c r="L16" i="15"/>
  <c r="L17" i="15"/>
  <c r="L18" i="15"/>
  <c r="L19" i="15"/>
  <c r="L20" i="15"/>
  <c r="L21" i="15"/>
  <c r="L22" i="15"/>
  <c r="L23" i="15"/>
  <c r="L24" i="15"/>
  <c r="L25" i="15"/>
  <c r="L26" i="15"/>
  <c r="L27" i="15"/>
  <c r="L28" i="15"/>
  <c r="L29" i="15"/>
  <c r="L30" i="15"/>
  <c r="L31" i="15"/>
  <c r="L7" i="15"/>
  <c r="M8" i="15"/>
  <c r="M9" i="15"/>
  <c r="M10" i="15"/>
  <c r="M11" i="15"/>
  <c r="M12" i="15"/>
  <c r="M13" i="15"/>
  <c r="M14" i="15"/>
  <c r="M15" i="15"/>
  <c r="M16" i="15"/>
  <c r="M17" i="15"/>
  <c r="M18" i="15"/>
  <c r="M19" i="15"/>
  <c r="M20" i="15"/>
  <c r="M21" i="15"/>
  <c r="M22" i="15"/>
  <c r="M23" i="15"/>
  <c r="M24" i="15"/>
  <c r="M25" i="15"/>
  <c r="M26" i="15"/>
  <c r="M27" i="15"/>
  <c r="M28" i="15"/>
  <c r="M29" i="15"/>
  <c r="M30" i="15"/>
  <c r="M31" i="15"/>
  <c r="M7" i="15"/>
  <c r="B2" i="15"/>
  <c r="H4" i="24"/>
  <c r="N3" i="24"/>
  <c r="H2" i="24"/>
  <c r="F16" i="24" l="1"/>
  <c r="G16" i="24" s="1"/>
  <c r="F29" i="24"/>
  <c r="F21" i="24"/>
  <c r="G21" i="24" s="1"/>
  <c r="F27" i="24"/>
  <c r="G27" i="24" s="1"/>
  <c r="F15" i="24"/>
  <c r="G15" i="24" s="1"/>
  <c r="F35" i="24"/>
  <c r="G35" i="24" s="1"/>
  <c r="G13" i="24"/>
  <c r="F19" i="24"/>
  <c r="G19" i="24" s="1"/>
  <c r="F32" i="24"/>
  <c r="G32" i="24" s="1"/>
  <c r="F30" i="24"/>
  <c r="G30" i="24" s="1"/>
  <c r="F26" i="24"/>
  <c r="G26" i="24" s="1"/>
  <c r="F11" i="24"/>
  <c r="G11" i="24" s="1"/>
  <c r="F22" i="24"/>
  <c r="G22" i="24" s="1"/>
  <c r="F31" i="24"/>
  <c r="G31" i="24" s="1"/>
  <c r="F13" i="24"/>
  <c r="F9" i="24"/>
  <c r="G9" i="24" s="1"/>
  <c r="F17" i="24"/>
  <c r="G17" i="24" s="1"/>
  <c r="F24" i="24"/>
  <c r="G24" i="24" s="1"/>
  <c r="F14" i="24"/>
  <c r="G14" i="24" s="1"/>
  <c r="F34" i="24"/>
  <c r="G34" i="24" s="1"/>
  <c r="F33" i="24"/>
  <c r="G33" i="24" s="1"/>
  <c r="G29" i="24"/>
  <c r="F8" i="24"/>
  <c r="G8" i="24" s="1"/>
  <c r="F25" i="24"/>
  <c r="G25" i="24" s="1"/>
  <c r="F7" i="24"/>
  <c r="G7" i="24" s="1"/>
  <c r="F12" i="24"/>
  <c r="G12" i="24" s="1"/>
  <c r="F23" i="24"/>
  <c r="G23" i="24" s="1"/>
  <c r="F20" i="24"/>
  <c r="G20" i="24" s="1"/>
  <c r="F10" i="24"/>
  <c r="G10" i="24" s="1"/>
  <c r="F28" i="24"/>
  <c r="G28" i="24" s="1"/>
  <c r="F18" i="24"/>
  <c r="G18" i="24" s="1"/>
  <c r="P3" i="24"/>
  <c r="H14" i="24" l="1"/>
  <c r="H32" i="24"/>
  <c r="H27" i="24"/>
  <c r="H31" i="24"/>
  <c r="H12" i="24"/>
  <c r="H22" i="24"/>
  <c r="H35" i="24"/>
  <c r="H21" i="24"/>
  <c r="H15" i="24"/>
  <c r="H26" i="24"/>
  <c r="H23" i="24"/>
  <c r="H18" i="24"/>
  <c r="H28" i="24"/>
  <c r="H33" i="24"/>
  <c r="H34" i="24"/>
  <c r="H19" i="24"/>
  <c r="H16" i="24"/>
  <c r="H10" i="24"/>
  <c r="H9" i="24"/>
  <c r="H29" i="24"/>
  <c r="H30" i="24"/>
  <c r="H24" i="24"/>
  <c r="H20" i="24"/>
  <c r="H8" i="24"/>
  <c r="H11" i="24"/>
  <c r="H13" i="24"/>
  <c r="H7" i="24"/>
  <c r="H17" i="24"/>
  <c r="H25" i="24"/>
  <c r="O27" i="24"/>
  <c r="N27" i="24"/>
  <c r="O21" i="24"/>
  <c r="N21" i="24"/>
  <c r="O18" i="24"/>
  <c r="N18" i="24"/>
  <c r="O9" i="24"/>
  <c r="N9" i="24"/>
  <c r="O11" i="24"/>
  <c r="N11" i="24"/>
  <c r="O10" i="24"/>
  <c r="N10" i="24"/>
  <c r="O25" i="24"/>
  <c r="N25" i="24"/>
  <c r="O31" i="24"/>
  <c r="N31" i="24"/>
  <c r="O13" i="24"/>
  <c r="N13" i="24"/>
  <c r="O30" i="24"/>
  <c r="N30" i="24"/>
  <c r="O34" i="24"/>
  <c r="N34" i="24"/>
  <c r="O26" i="24"/>
  <c r="N26" i="24"/>
  <c r="O32" i="24"/>
  <c r="N32" i="24"/>
  <c r="O22" i="24"/>
  <c r="N22" i="24"/>
  <c r="O14" i="24"/>
  <c r="N14" i="24"/>
  <c r="O24" i="24"/>
  <c r="N24" i="24"/>
  <c r="O17" i="24"/>
  <c r="N17" i="24"/>
  <c r="N28" i="24"/>
  <c r="O8" i="24"/>
  <c r="N8" i="24"/>
  <c r="O29" i="24"/>
  <c r="N29" i="24"/>
  <c r="O15" i="24"/>
  <c r="N15" i="24"/>
  <c r="O33" i="24"/>
  <c r="N33" i="24"/>
  <c r="O19" i="24"/>
  <c r="N19" i="24"/>
  <c r="O12" i="24"/>
  <c r="N12" i="24"/>
  <c r="O20" i="24"/>
  <c r="N20" i="24"/>
  <c r="O35" i="24"/>
  <c r="N35" i="24"/>
  <c r="O16" i="24"/>
  <c r="N16" i="24"/>
  <c r="O23" i="24"/>
  <c r="N23" i="24"/>
  <c r="N7" i="24"/>
  <c r="K28" i="24" l="1"/>
  <c r="O28" i="24"/>
  <c r="K16" i="24"/>
  <c r="K31" i="24"/>
  <c r="K26" i="24"/>
  <c r="O7" i="24"/>
  <c r="K12" i="24"/>
  <c r="K10" i="24"/>
  <c r="K9" i="24"/>
  <c r="K23" i="24"/>
  <c r="K8" i="24"/>
  <c r="K14" i="24"/>
  <c r="K15" i="24"/>
  <c r="K27" i="24"/>
  <c r="K21" i="24"/>
  <c r="K18" i="24"/>
  <c r="K33" i="24"/>
  <c r="K20" i="24"/>
  <c r="K32" i="24"/>
  <c r="K22" i="24"/>
  <c r="K24" i="24"/>
  <c r="K35" i="24"/>
  <c r="K11" i="24"/>
  <c r="K19" i="24"/>
  <c r="K29" i="24"/>
  <c r="K17" i="24"/>
  <c r="K30" i="24"/>
  <c r="K7" i="24"/>
  <c r="K13" i="24"/>
  <c r="K25" i="24"/>
  <c r="K34" i="24"/>
  <c r="X39" i="7" l="1"/>
  <c r="X38" i="7"/>
  <c r="AE16" i="7" l="1"/>
  <c r="AE28" i="7"/>
  <c r="AE30" i="7"/>
  <c r="AE31" i="7"/>
  <c r="AE26" i="7"/>
  <c r="AE27" i="7"/>
  <c r="AE17" i="7"/>
  <c r="AE29" i="7"/>
  <c r="AE18" i="7"/>
  <c r="AE33" i="7"/>
  <c r="AE34" i="7"/>
  <c r="AE22" i="7"/>
  <c r="AE19" i="7"/>
  <c r="AE14" i="7"/>
  <c r="AE20" i="7"/>
  <c r="AE32" i="7"/>
  <c r="AE21" i="7"/>
  <c r="AE23" i="7"/>
  <c r="AE25" i="7"/>
  <c r="AE15" i="7"/>
  <c r="AE24" i="7"/>
  <c r="M3" i="15"/>
  <c r="B4" i="15"/>
  <c r="B5" i="15"/>
  <c r="K3" i="1"/>
  <c r="H4" i="15" l="1"/>
  <c r="B3" i="15"/>
  <c r="H2" i="15"/>
  <c r="W1" i="1"/>
  <c r="X1" i="1" s="1"/>
  <c r="F30" i="15" l="1"/>
  <c r="G30" i="15" s="1"/>
  <c r="F10" i="15"/>
  <c r="F22" i="15"/>
  <c r="G22" i="15" s="1"/>
  <c r="F23" i="15"/>
  <c r="G23" i="15" s="1"/>
  <c r="F8" i="15"/>
  <c r="G8" i="15" s="1"/>
  <c r="F17" i="15"/>
  <c r="G17" i="15" s="1"/>
  <c r="F11" i="15"/>
  <c r="G11" i="15" s="1"/>
  <c r="G10" i="15"/>
  <c r="F16" i="15"/>
  <c r="G16" i="15" s="1"/>
  <c r="F9" i="15"/>
  <c r="G9" i="15" s="1"/>
  <c r="F29" i="15"/>
  <c r="G29" i="15" s="1"/>
  <c r="F28" i="15"/>
  <c r="G28" i="15" s="1"/>
  <c r="F18" i="15"/>
  <c r="G18" i="15" s="1"/>
  <c r="F21" i="15"/>
  <c r="G21" i="15" s="1"/>
  <c r="F12" i="15"/>
  <c r="F25" i="15"/>
  <c r="G25" i="15" s="1"/>
  <c r="F20" i="15"/>
  <c r="G20" i="15" s="1"/>
  <c r="G12" i="15"/>
  <c r="F14" i="15"/>
  <c r="G14" i="15" s="1"/>
  <c r="F15" i="15"/>
  <c r="G15" i="15" s="1"/>
  <c r="F24" i="15"/>
  <c r="G24" i="15" s="1"/>
  <c r="F7" i="15"/>
  <c r="G7" i="15" s="1"/>
  <c r="F13" i="15"/>
  <c r="G13" i="15" s="1"/>
  <c r="F26" i="15"/>
  <c r="G26" i="15" s="1"/>
  <c r="F27" i="15"/>
  <c r="G27" i="15" s="1"/>
  <c r="F19" i="15"/>
  <c r="G19" i="15" s="1"/>
  <c r="F31" i="15"/>
  <c r="G31" i="15" s="1"/>
  <c r="O3" i="15"/>
  <c r="M41" i="11"/>
  <c r="L41" i="11" s="1"/>
  <c r="H3" i="1"/>
  <c r="B4" i="11"/>
  <c r="B3" i="11" s="1"/>
  <c r="B5" i="11"/>
  <c r="M40" i="11"/>
  <c r="L40" i="11" s="1"/>
  <c r="M39" i="11"/>
  <c r="L39" i="11" s="1"/>
  <c r="M38" i="11"/>
  <c r="L38" i="11" s="1"/>
  <c r="M37" i="11"/>
  <c r="L37" i="11" s="1"/>
  <c r="M36" i="11"/>
  <c r="L36" i="11" s="1"/>
  <c r="M35" i="11"/>
  <c r="L35" i="11" s="1"/>
  <c r="M34" i="11"/>
  <c r="L34" i="11" s="1"/>
  <c r="M33" i="11"/>
  <c r="L33" i="11" s="1"/>
  <c r="M32" i="11"/>
  <c r="L32" i="11" s="1"/>
  <c r="M31" i="11"/>
  <c r="L31" i="11" s="1"/>
  <c r="M30" i="11"/>
  <c r="L30" i="11" s="1"/>
  <c r="M29" i="11"/>
  <c r="L29" i="11" s="1"/>
  <c r="M28" i="11"/>
  <c r="L28" i="11" s="1"/>
  <c r="M27" i="11"/>
  <c r="L27" i="11" s="1"/>
  <c r="M26" i="11"/>
  <c r="L26" i="11" s="1"/>
  <c r="M25" i="11"/>
  <c r="L25" i="11" s="1"/>
  <c r="M24" i="11"/>
  <c r="L24" i="11" s="1"/>
  <c r="M23" i="11"/>
  <c r="L23" i="11" s="1"/>
  <c r="M22" i="11"/>
  <c r="L22" i="11" s="1"/>
  <c r="M21" i="11"/>
  <c r="L21" i="11" s="1"/>
  <c r="M20" i="11"/>
  <c r="L20" i="11" s="1"/>
  <c r="M19" i="11"/>
  <c r="L19" i="11" s="1"/>
  <c r="M18" i="11"/>
  <c r="L18" i="11" s="1"/>
  <c r="M17" i="11"/>
  <c r="L17" i="11" s="1"/>
  <c r="M16" i="11"/>
  <c r="L16" i="11" s="1"/>
  <c r="M15" i="11"/>
  <c r="L15" i="11" s="1"/>
  <c r="M14" i="11"/>
  <c r="L14" i="11" s="1"/>
  <c r="M13" i="11"/>
  <c r="L13" i="11" s="1"/>
  <c r="M12" i="11"/>
  <c r="L12" i="11" s="1"/>
  <c r="M11" i="11"/>
  <c r="L11" i="11" s="1"/>
  <c r="M10" i="11"/>
  <c r="L10" i="11" s="1"/>
  <c r="M9" i="11"/>
  <c r="L9" i="11" s="1"/>
  <c r="M8" i="11"/>
  <c r="L8" i="11" s="1"/>
  <c r="M7" i="11"/>
  <c r="L7" i="11" s="1"/>
  <c r="M3" i="11"/>
  <c r="H2" i="11"/>
  <c r="B2" i="11"/>
  <c r="B1" i="11"/>
  <c r="H9" i="15" l="1"/>
  <c r="H26" i="15"/>
  <c r="H8" i="15"/>
  <c r="H20" i="15"/>
  <c r="H7" i="15"/>
  <c r="H27" i="15"/>
  <c r="H21" i="15"/>
  <c r="H22" i="15"/>
  <c r="H11" i="15"/>
  <c r="H13" i="15"/>
  <c r="H18" i="15"/>
  <c r="H25" i="15"/>
  <c r="H17" i="15"/>
  <c r="H23" i="15"/>
  <c r="H14" i="15"/>
  <c r="H10" i="15"/>
  <c r="H12" i="15"/>
  <c r="H24" i="15"/>
  <c r="H19" i="15"/>
  <c r="H15" i="15"/>
  <c r="H29" i="15"/>
  <c r="H30" i="15"/>
  <c r="H31" i="15"/>
  <c r="H16" i="15"/>
  <c r="H28" i="15"/>
  <c r="F39" i="11"/>
  <c r="G39" i="11" s="1"/>
  <c r="F31" i="11"/>
  <c r="G31" i="11" s="1"/>
  <c r="F19" i="11"/>
  <c r="G19" i="11" s="1"/>
  <c r="F9" i="11"/>
  <c r="G9" i="11" s="1"/>
  <c r="F21" i="11"/>
  <c r="G21" i="11" s="1"/>
  <c r="F24" i="11"/>
  <c r="G24" i="11" s="1"/>
  <c r="F8" i="11"/>
  <c r="G8" i="11" s="1"/>
  <c r="F38" i="11"/>
  <c r="G38" i="11" s="1"/>
  <c r="F17" i="11"/>
  <c r="G17" i="11" s="1"/>
  <c r="F12" i="11"/>
  <c r="G12" i="11" s="1"/>
  <c r="F14" i="11"/>
  <c r="G14" i="11" s="1"/>
  <c r="F15" i="11"/>
  <c r="G15" i="11" s="1"/>
  <c r="F27" i="11"/>
  <c r="G27" i="11" s="1"/>
  <c r="F11" i="11"/>
  <c r="G11" i="11" s="1"/>
  <c r="F35" i="11"/>
  <c r="G35" i="11" s="1"/>
  <c r="F41" i="11"/>
  <c r="G41" i="11" s="1"/>
  <c r="F25" i="11"/>
  <c r="G25" i="11" s="1"/>
  <c r="F36" i="11"/>
  <c r="G36" i="11" s="1"/>
  <c r="F28" i="11"/>
  <c r="G28" i="11" s="1"/>
  <c r="F16" i="11"/>
  <c r="G16" i="11" s="1"/>
  <c r="F33" i="11"/>
  <c r="G33" i="11" s="1"/>
  <c r="F34" i="11"/>
  <c r="G34" i="11" s="1"/>
  <c r="F20" i="11"/>
  <c r="G20" i="11" s="1"/>
  <c r="F40" i="11"/>
  <c r="G40" i="11" s="1"/>
  <c r="F10" i="11"/>
  <c r="G10" i="11" s="1"/>
  <c r="F18" i="11"/>
  <c r="G18" i="11" s="1"/>
  <c r="F29" i="11"/>
  <c r="G29" i="11" s="1"/>
  <c r="F30" i="11"/>
  <c r="G30" i="11" s="1"/>
  <c r="F7" i="11"/>
  <c r="G7" i="11" s="1"/>
  <c r="F22" i="11"/>
  <c r="G22" i="11" s="1"/>
  <c r="F26" i="11"/>
  <c r="G26" i="11" s="1"/>
  <c r="F23" i="11"/>
  <c r="G23" i="11" s="1"/>
  <c r="F32" i="11"/>
  <c r="G32" i="11" s="1"/>
  <c r="F13" i="11"/>
  <c r="G13" i="11" s="1"/>
  <c r="F37" i="11"/>
  <c r="G37" i="11" s="1"/>
  <c r="O25" i="15"/>
  <c r="N25" i="15"/>
  <c r="O12" i="15"/>
  <c r="N12" i="15"/>
  <c r="O31" i="15"/>
  <c r="N31" i="15"/>
  <c r="O26" i="15"/>
  <c r="N26" i="15"/>
  <c r="O10" i="15"/>
  <c r="N10" i="15"/>
  <c r="N29" i="15"/>
  <c r="O21" i="15"/>
  <c r="N21" i="15"/>
  <c r="O14" i="15"/>
  <c r="N14" i="15"/>
  <c r="O16" i="15"/>
  <c r="N16" i="15"/>
  <c r="O13" i="15"/>
  <c r="N13" i="15"/>
  <c r="O24" i="15"/>
  <c r="N24" i="15"/>
  <c r="N23" i="15"/>
  <c r="O8" i="15"/>
  <c r="N8" i="15"/>
  <c r="O18" i="15"/>
  <c r="N18" i="15"/>
  <c r="O15" i="15"/>
  <c r="N15" i="15"/>
  <c r="O28" i="15"/>
  <c r="N28" i="15"/>
  <c r="O19" i="15"/>
  <c r="N19" i="15"/>
  <c r="N27" i="15"/>
  <c r="O11" i="15"/>
  <c r="N11" i="15"/>
  <c r="O9" i="15"/>
  <c r="N9" i="15"/>
  <c r="O17" i="15"/>
  <c r="N17" i="15"/>
  <c r="O22" i="15"/>
  <c r="N22" i="15"/>
  <c r="O20" i="15"/>
  <c r="N20" i="15"/>
  <c r="N30" i="15"/>
  <c r="O7" i="15"/>
  <c r="N7" i="15"/>
  <c r="O3" i="11"/>
  <c r="H2" i="6"/>
  <c r="M8" i="6"/>
  <c r="L8" i="6" s="1"/>
  <c r="M9" i="6"/>
  <c r="L9" i="6" s="1"/>
  <c r="M10" i="6"/>
  <c r="L10" i="6" s="1"/>
  <c r="M11" i="6"/>
  <c r="L11" i="6" s="1"/>
  <c r="M12" i="6"/>
  <c r="L12" i="6" s="1"/>
  <c r="M13" i="6"/>
  <c r="L13" i="6" s="1"/>
  <c r="M14" i="6"/>
  <c r="L14" i="6" s="1"/>
  <c r="M15" i="6"/>
  <c r="L15" i="6" s="1"/>
  <c r="M16" i="6"/>
  <c r="L16" i="6" s="1"/>
  <c r="M17" i="6"/>
  <c r="L17" i="6" s="1"/>
  <c r="M18" i="6"/>
  <c r="L18" i="6" s="1"/>
  <c r="M19" i="6"/>
  <c r="L19" i="6" s="1"/>
  <c r="M20" i="6"/>
  <c r="L20" i="6" s="1"/>
  <c r="M21" i="6"/>
  <c r="L21" i="6" s="1"/>
  <c r="M22" i="6"/>
  <c r="L22" i="6" s="1"/>
  <c r="M23" i="6"/>
  <c r="L23" i="6" s="1"/>
  <c r="M24" i="6"/>
  <c r="L24" i="6" s="1"/>
  <c r="M25" i="6"/>
  <c r="L25" i="6" s="1"/>
  <c r="M26" i="6"/>
  <c r="L26" i="6" s="1"/>
  <c r="M27" i="6"/>
  <c r="L27" i="6" s="1"/>
  <c r="M28" i="6"/>
  <c r="L28" i="6" s="1"/>
  <c r="M29" i="6"/>
  <c r="L29" i="6" s="1"/>
  <c r="M30" i="6"/>
  <c r="L30" i="6" s="1"/>
  <c r="M31" i="6"/>
  <c r="L31" i="6" s="1"/>
  <c r="M32" i="6"/>
  <c r="L32" i="6" s="1"/>
  <c r="M33" i="6"/>
  <c r="L33" i="6" s="1"/>
  <c r="M34" i="6"/>
  <c r="L34" i="6" s="1"/>
  <c r="M35" i="6"/>
  <c r="L35" i="6" s="1"/>
  <c r="M36" i="6"/>
  <c r="L36" i="6" s="1"/>
  <c r="M37" i="6"/>
  <c r="L37" i="6" s="1"/>
  <c r="M38" i="6"/>
  <c r="L38" i="6" s="1"/>
  <c r="M39" i="6"/>
  <c r="L39" i="6" s="1"/>
  <c r="M40" i="6"/>
  <c r="L40" i="6" s="1"/>
  <c r="M41" i="6"/>
  <c r="L41" i="6" s="1"/>
  <c r="B5" i="6"/>
  <c r="B4" i="6"/>
  <c r="B3" i="6" s="1"/>
  <c r="F27" i="6" l="1"/>
  <c r="F12" i="6"/>
  <c r="F17" i="6"/>
  <c r="G17" i="6" s="1"/>
  <c r="G27" i="6"/>
  <c r="G12" i="6"/>
  <c r="F16" i="6"/>
  <c r="G16" i="6" s="1"/>
  <c r="F22" i="6"/>
  <c r="G22" i="6" s="1"/>
  <c r="F34" i="6"/>
  <c r="G34" i="6" s="1"/>
  <c r="F36" i="6"/>
  <c r="G36" i="6" s="1"/>
  <c r="F15" i="6"/>
  <c r="G15" i="6" s="1"/>
  <c r="F20" i="6"/>
  <c r="G20" i="6" s="1"/>
  <c r="F40" i="6"/>
  <c r="G40" i="6" s="1"/>
  <c r="F11" i="6"/>
  <c r="G11" i="6" s="1"/>
  <c r="F37" i="6"/>
  <c r="G37" i="6" s="1"/>
  <c r="F25" i="6"/>
  <c r="F29" i="6"/>
  <c r="G29" i="6" s="1"/>
  <c r="F8" i="6"/>
  <c r="G8" i="6" s="1"/>
  <c r="G25" i="6"/>
  <c r="F33" i="6"/>
  <c r="G33" i="6" s="1"/>
  <c r="F28" i="6"/>
  <c r="G28" i="6" s="1"/>
  <c r="F35" i="6"/>
  <c r="G35" i="6" s="1"/>
  <c r="F10" i="6"/>
  <c r="G10" i="6" s="1"/>
  <c r="F42" i="6"/>
  <c r="G42" i="6" s="1"/>
  <c r="F23" i="6"/>
  <c r="G23" i="6" s="1"/>
  <c r="F38" i="6"/>
  <c r="F39" i="6"/>
  <c r="G39" i="6" s="1"/>
  <c r="G38" i="6"/>
  <c r="F24" i="6"/>
  <c r="G24" i="6" s="1"/>
  <c r="F21" i="6"/>
  <c r="G21" i="6" s="1"/>
  <c r="F7" i="6"/>
  <c r="G7" i="6" s="1"/>
  <c r="F13" i="6"/>
  <c r="G13" i="6" s="1"/>
  <c r="F41" i="6"/>
  <c r="G41" i="6" s="1"/>
  <c r="F19" i="6"/>
  <c r="G19" i="6" s="1"/>
  <c r="F30" i="6"/>
  <c r="G30" i="6" s="1"/>
  <c r="F18" i="6"/>
  <c r="G18" i="6" s="1"/>
  <c r="F32" i="6"/>
  <c r="G32" i="6" s="1"/>
  <c r="F26" i="6"/>
  <c r="G26" i="6" s="1"/>
  <c r="F31" i="6"/>
  <c r="G31" i="6" s="1"/>
  <c r="F14" i="6"/>
  <c r="G14" i="6" s="1"/>
  <c r="F9" i="6"/>
  <c r="G9" i="6" s="1"/>
  <c r="H17" i="11"/>
  <c r="H38" i="11"/>
  <c r="H13" i="11"/>
  <c r="H10" i="11"/>
  <c r="H21" i="11"/>
  <c r="H11" i="11"/>
  <c r="H40" i="11"/>
  <c r="H7" i="11"/>
  <c r="H9" i="11"/>
  <c r="H41" i="11"/>
  <c r="H30" i="11"/>
  <c r="H27" i="11"/>
  <c r="H34" i="11"/>
  <c r="H15" i="11"/>
  <c r="H25" i="11"/>
  <c r="H22" i="11"/>
  <c r="H14" i="11"/>
  <c r="H24" i="11"/>
  <c r="H36" i="11"/>
  <c r="H33" i="11"/>
  <c r="H35" i="11"/>
  <c r="H16" i="11"/>
  <c r="H19" i="11"/>
  <c r="H28" i="11"/>
  <c r="H39" i="11"/>
  <c r="H12" i="11"/>
  <c r="H18" i="11"/>
  <c r="H26" i="11"/>
  <c r="H37" i="11"/>
  <c r="H32" i="11"/>
  <c r="H8" i="11"/>
  <c r="H31" i="11"/>
  <c r="H20" i="11"/>
  <c r="H23" i="11"/>
  <c r="H29" i="11"/>
  <c r="K30" i="15"/>
  <c r="O30" i="15"/>
  <c r="K27" i="15"/>
  <c r="O27" i="15"/>
  <c r="K21" i="15"/>
  <c r="O23" i="15"/>
  <c r="K29" i="15"/>
  <c r="O29" i="15"/>
  <c r="K24" i="15"/>
  <c r="K20" i="15"/>
  <c r="K28" i="15"/>
  <c r="K13" i="15"/>
  <c r="K15" i="15"/>
  <c r="K19" i="15"/>
  <c r="K22" i="15"/>
  <c r="K18" i="15"/>
  <c r="K25" i="15"/>
  <c r="K16" i="15"/>
  <c r="K7" i="15"/>
  <c r="K17" i="15"/>
  <c r="K12" i="15"/>
  <c r="K9" i="15"/>
  <c r="K31" i="15"/>
  <c r="K23" i="15"/>
  <c r="K11" i="15"/>
  <c r="K26" i="15"/>
  <c r="K14" i="15"/>
  <c r="K8" i="15"/>
  <c r="K10" i="15"/>
  <c r="O41" i="11"/>
  <c r="N41" i="11"/>
  <c r="N40" i="11"/>
  <c r="N21" i="11"/>
  <c r="N39" i="11"/>
  <c r="N37" i="11"/>
  <c r="O18" i="11"/>
  <c r="N34" i="11"/>
  <c r="N38" i="11"/>
  <c r="N36" i="11"/>
  <c r="N35" i="11"/>
  <c r="O22" i="11"/>
  <c r="O9" i="11"/>
  <c r="N33" i="11"/>
  <c r="N23" i="11"/>
  <c r="N11" i="11"/>
  <c r="N31" i="11"/>
  <c r="N29" i="11"/>
  <c r="N7" i="11"/>
  <c r="N8" i="11"/>
  <c r="N12" i="11"/>
  <c r="N24" i="11"/>
  <c r="N28" i="11"/>
  <c r="N18" i="11"/>
  <c r="N22" i="11"/>
  <c r="N26" i="11"/>
  <c r="N13" i="11"/>
  <c r="N25" i="11"/>
  <c r="N32" i="11"/>
  <c r="N27" i="11"/>
  <c r="N17" i="11"/>
  <c r="N9" i="11"/>
  <c r="N14" i="11"/>
  <c r="N30" i="11"/>
  <c r="N16" i="11"/>
  <c r="N15" i="11"/>
  <c r="N10" i="11"/>
  <c r="N20" i="11"/>
  <c r="N19" i="11"/>
  <c r="O26" i="11"/>
  <c r="O23" i="11"/>
  <c r="O34" i="11"/>
  <c r="O17" i="11"/>
  <c r="O31" i="11"/>
  <c r="O30" i="11"/>
  <c r="O20" i="11"/>
  <c r="O14" i="11"/>
  <c r="O38" i="11"/>
  <c r="O11" i="11"/>
  <c r="O36" i="11"/>
  <c r="O16" i="11"/>
  <c r="O33" i="11"/>
  <c r="O28" i="11"/>
  <c r="H36" i="6" l="1"/>
  <c r="H22" i="6"/>
  <c r="H16" i="6"/>
  <c r="H13" i="6"/>
  <c r="H17" i="6"/>
  <c r="H34" i="6"/>
  <c r="H28" i="6"/>
  <c r="H29" i="6"/>
  <c r="H35" i="6"/>
  <c r="H24" i="6"/>
  <c r="H33" i="6"/>
  <c r="H37" i="6"/>
  <c r="H15" i="6"/>
  <c r="H9" i="6"/>
  <c r="H30" i="6"/>
  <c r="H11" i="6"/>
  <c r="H14" i="6"/>
  <c r="H19" i="6"/>
  <c r="H39" i="6"/>
  <c r="H40" i="6"/>
  <c r="H31" i="6"/>
  <c r="H20" i="6"/>
  <c r="H23" i="6"/>
  <c r="H38" i="6"/>
  <c r="H8" i="6"/>
  <c r="H42" i="6"/>
  <c r="H41" i="6"/>
  <c r="H26" i="6"/>
  <c r="H7" i="6"/>
  <c r="H25" i="6"/>
  <c r="H12" i="6"/>
  <c r="H32" i="6"/>
  <c r="H21" i="6"/>
  <c r="H27" i="6"/>
  <c r="H10" i="6"/>
  <c r="H18" i="6"/>
  <c r="O39" i="6"/>
  <c r="K37" i="11"/>
  <c r="K29" i="11"/>
  <c r="K41" i="11"/>
  <c r="K21" i="11"/>
  <c r="K36" i="11"/>
  <c r="O7" i="11"/>
  <c r="O29" i="11"/>
  <c r="O27" i="11"/>
  <c r="O25" i="11"/>
  <c r="O32" i="11"/>
  <c r="O19" i="11"/>
  <c r="O37" i="11"/>
  <c r="O10" i="11"/>
  <c r="O35" i="11"/>
  <c r="O39" i="11"/>
  <c r="O12" i="11"/>
  <c r="O21" i="11"/>
  <c r="O8" i="11"/>
  <c r="O15" i="11"/>
  <c r="O40" i="11"/>
  <c r="O24" i="11"/>
  <c r="O13" i="11"/>
  <c r="N40" i="6"/>
  <c r="N39" i="6"/>
  <c r="N41" i="6"/>
  <c r="O40" i="6"/>
  <c r="O41" i="6"/>
  <c r="K9" i="11" l="1"/>
  <c r="K35" i="11"/>
  <c r="K38" i="11"/>
  <c r="K10" i="11"/>
  <c r="K28" i="11"/>
  <c r="K27" i="11"/>
  <c r="K40" i="11"/>
  <c r="K8" i="11"/>
  <c r="K24" i="11"/>
  <c r="K33" i="11"/>
  <c r="K32" i="11"/>
  <c r="K39" i="11"/>
  <c r="K34" i="11"/>
  <c r="K22" i="11"/>
  <c r="K19" i="11"/>
  <c r="K25" i="11"/>
  <c r="K31" i="11"/>
  <c r="K26" i="11"/>
  <c r="K7" i="11"/>
  <c r="K13" i="11"/>
  <c r="K15" i="11"/>
  <c r="K12" i="11"/>
  <c r="K11" i="11"/>
  <c r="K30" i="11"/>
  <c r="K16" i="11"/>
  <c r="K23" i="11"/>
  <c r="K17" i="11"/>
  <c r="K20" i="11"/>
  <c r="K18" i="11"/>
  <c r="K14" i="11"/>
  <c r="K40" i="6"/>
  <c r="K39" i="6"/>
  <c r="K41" i="6"/>
  <c r="B1" i="6"/>
  <c r="M3" i="6"/>
  <c r="E3" i="1"/>
  <c r="O3" i="6"/>
  <c r="M7" i="6"/>
  <c r="L7" i="6" s="1"/>
  <c r="O38" i="6"/>
  <c r="N17" i="6"/>
  <c r="N34" i="6"/>
  <c r="O16" i="6"/>
  <c r="N28" i="6"/>
  <c r="O33" i="6"/>
  <c r="O13" i="6"/>
  <c r="O32" i="6"/>
  <c r="O26" i="6"/>
  <c r="N29" i="6"/>
  <c r="B2" i="6"/>
  <c r="N14" i="6" l="1"/>
  <c r="O27" i="6"/>
  <c r="O35" i="6"/>
  <c r="O14" i="6"/>
  <c r="O34" i="6"/>
  <c r="O24" i="6"/>
  <c r="O15" i="6"/>
  <c r="O37" i="6"/>
  <c r="O29" i="6"/>
  <c r="N27" i="6"/>
  <c r="O36" i="6"/>
  <c r="N22" i="6"/>
  <c r="O22" i="6"/>
  <c r="O25" i="6"/>
  <c r="N9" i="6"/>
  <c r="N33" i="6"/>
  <c r="N10" i="6"/>
  <c r="O11" i="6"/>
  <c r="O10" i="6"/>
  <c r="O12" i="6"/>
  <c r="O21" i="6"/>
  <c r="O19" i="6"/>
  <c r="O31" i="6"/>
  <c r="O23" i="6"/>
  <c r="O30" i="6"/>
  <c r="N18" i="6"/>
  <c r="O9" i="6"/>
  <c r="O28" i="6"/>
  <c r="O17" i="6"/>
  <c r="O20" i="6"/>
  <c r="O8" i="6"/>
  <c r="O18" i="6"/>
  <c r="O7" i="6"/>
  <c r="N7" i="6"/>
  <c r="N37" i="6"/>
  <c r="N24" i="6"/>
  <c r="N25" i="6"/>
  <c r="N31" i="6"/>
  <c r="N32" i="6"/>
  <c r="N36" i="6"/>
  <c r="N11" i="6"/>
  <c r="N23" i="6"/>
  <c r="N35" i="6"/>
  <c r="N15" i="6"/>
  <c r="N26" i="6"/>
  <c r="N16" i="6"/>
  <c r="N13" i="6"/>
  <c r="N38" i="6"/>
  <c r="N30" i="6"/>
  <c r="N19" i="6"/>
  <c r="N8" i="6"/>
  <c r="N21" i="6"/>
  <c r="N12" i="6"/>
  <c r="N20" i="6"/>
  <c r="K9" i="6" l="1"/>
  <c r="K34" i="6"/>
  <c r="K37" i="6"/>
  <c r="K36" i="6"/>
  <c r="K20" i="6"/>
  <c r="K38" i="6"/>
  <c r="K33" i="6"/>
  <c r="K27" i="6"/>
  <c r="K12" i="6"/>
  <c r="K17" i="6"/>
  <c r="K26" i="6"/>
  <c r="K31" i="6"/>
  <c r="K32" i="6"/>
  <c r="K30" i="6"/>
  <c r="K24" i="6"/>
  <c r="K16" i="6"/>
  <c r="K23" i="6"/>
  <c r="K25" i="6"/>
  <c r="K8" i="6"/>
  <c r="K35" i="6"/>
  <c r="K28" i="6"/>
  <c r="K15" i="6"/>
  <c r="K29" i="6"/>
  <c r="K14" i="6"/>
  <c r="K13" i="6"/>
  <c r="K18" i="6"/>
  <c r="K19" i="6"/>
  <c r="K10" i="6"/>
  <c r="K22" i="6"/>
  <c r="K11" i="6"/>
  <c r="K21" i="6"/>
  <c r="K7" i="6"/>
  <c r="H4" i="6" l="1"/>
  <c r="H4" i="1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2EA41AD-8F3D-407D-8B65-15639F98C412}" keepAlive="1" name="Consulta - acumulado_absoluto" description="Conexión a la consulta 'acumulado_absoluto' en el libro." type="5" refreshedVersion="8" background="1" saveData="1">
    <dbPr connection="Provider=Microsoft.Mashup.OleDb.1;Data Source=$Workbook$;Location=acumulado_absoluto;Extended Properties=&quot;&quot;" command="SELECT * FROM [acumulado_absoluto]"/>
  </connection>
  <connection id="2" xr16:uid="{BFA722CA-D6B6-497C-A0CA-BADF84E7D0AC}" keepAlive="1" name="Consulta - acumulado_porcentaje" description="Conexión a la consulta 'acumulado_porcentaje' en el libro." type="5" refreshedVersion="8" background="1" saveData="1">
    <dbPr connection="Provider=Microsoft.Mashup.OleDb.1;Data Source=$Workbook$;Location=acumulado_porcentaje;Extended Properties=&quot;&quot;" command="SELECT * FROM [acumulado_porcentaje]"/>
  </connection>
  <connection id="3" xr16:uid="{92E5D19F-43C0-4E4B-BA6F-D7449578A767}" keepAlive="1" name="Consulta - acumulado_porcentaje SIN MAYO" description="Conexión a la consulta 'acumulado_porcentaje SIN MAYO' en el libro." type="5" refreshedVersion="8" background="1" saveData="1">
    <dbPr connection="Provider=Microsoft.Mashup.OleDb.1;Data Source=$Workbook$;Location=&quot;acumulado_porcentaje SIN MAYO&quot;;Extended Properties=&quot;&quot;" command="SELECT * FROM [acumulado_porcentaje SIN MAYO]"/>
  </connection>
  <connection id="4" xr16:uid="{C9AD46BB-F2F7-419A-B4E7-1B06D2BA27FD}" keepAlive="1" name="Consulta - apuestas" description="Conexión a la consulta 'apuestas' en el libro." type="5" refreshedVersion="8" background="1" saveData="1">
    <dbPr connection="Provider=Microsoft.Mashup.OleDb.1;Data Source=$Workbook$;Location=apuestas;Extended Properties=&quot;&quot;" command="SELECT * FROM [apuestas]"/>
  </connection>
  <connection id="5" xr16:uid="{10A2FF01-3123-4A0A-8896-3227EC51B471}" keepAlive="1" name="Consulta - apuestas_abr24" description="Conexión a la consulta 'apuestas_abr24' en el libro." type="5" refreshedVersion="8" background="1" saveData="1">
    <dbPr connection="Provider=Microsoft.Mashup.OleDb.1;Data Source=$Workbook$;Location=apuestas_abr24;Extended Properties=&quot;&quot;" command="SELECT * FROM [apuestas_abr24]"/>
  </connection>
  <connection id="6" xr16:uid="{B98810DF-F5FE-4403-9E67-B07BB958A1A7}" keepAlive="1" name="Consulta - apuestas_ene24" description="Conexión a la consulta 'apuestas_ene24' en el libro." type="5" refreshedVersion="8" background="1" saveData="1">
    <dbPr connection="Provider=Microsoft.Mashup.OleDb.1;Data Source=$Workbook$;Location=apuestas_ene24;Extended Properties=&quot;&quot;" command="SELECT * FROM [apuestas_ene24]"/>
  </connection>
  <connection id="7" xr16:uid="{29F1096B-BD1E-4C83-A834-47A0B05D4EF2}" keepAlive="1" name="Consulta - apuestas_feb24" description="Conexión a la consulta 'apuestas_feb24' en el libro." type="5" refreshedVersion="8" background="1" saveData="1">
    <dbPr connection="Provider=Microsoft.Mashup.OleDb.1;Data Source=$Workbook$;Location=apuestas_feb24;Extended Properties=&quot;&quot;" command="SELECT * FROM [apuestas_feb24]"/>
  </connection>
  <connection id="8" xr16:uid="{2F832FD7-4B42-4B08-BA38-426927342C30}" keepAlive="1" name="Consulta - apuestas_jun24" description="Conexión a la consulta 'apuestas_jun24' en el libro." type="5" refreshedVersion="8" background="1" saveData="1">
    <dbPr connection="Provider=Microsoft.Mashup.OleDb.1;Data Source=$Workbook$;Location=apuestas_jun24;Extended Properties=&quot;&quot;" command="SELECT * FROM [apuestas_jun24]"/>
  </connection>
  <connection id="9" xr16:uid="{088DE775-BC3B-4C02-BA98-88EE9C56EE48}" keepAlive="1" name="Consulta - apuestas_mar24" description="Conexión a la consulta 'apuestas_mar24' en el libro." type="5" refreshedVersion="8" background="1" saveData="1">
    <dbPr connection="Provider=Microsoft.Mashup.OleDb.1;Data Source=$Workbook$;Location=apuestas_mar24;Extended Properties=&quot;&quot;" command="SELECT * FROM [apuestas_mar24]"/>
  </connection>
  <connection id="10" xr16:uid="{607F06BD-73A2-4FB8-8293-13A048D6B82C}" keepAlive="1" name="Consulta - apuestas_may24" description="Conexión a la consulta 'apuestas_may24' en el libro." type="5" refreshedVersion="8" background="1" saveData="1">
    <dbPr connection="Provider=Microsoft.Mashup.OleDb.1;Data Source=$Workbook$;Location=apuestas_may24;Extended Properties=&quot;&quot;" command="SELECT * FROM [apuestas_may24]"/>
  </connection>
  <connection id="11" xr16:uid="{2C733F12-FAB9-46D1-99A3-1562C51CDBED}" keepAlive="1" name="Consulta - in_omie_horario" description="Conexión a la consulta 'in_omie_horario' en el libro." type="5" refreshedVersion="0" background="1">
    <dbPr connection="Provider=Microsoft.Mashup.OleDb.1;Data Source=$Workbook$;Location=in_omie_horario;Extended Properties=&quot;&quot;" command="SELECT * FROM [in_omie_horario]"/>
  </connection>
  <connection id="12" xr16:uid="{08167860-1280-4423-8DF2-BD23B462D9EF}" keepAlive="1" name="Consulta - in_tabla_precios_tec_marginal" description="Conexión a la consulta 'in_tabla_precios_tec_marginal' en el libro." type="5" refreshedVersion="8" saveData="1">
    <dbPr connection="Provider=Microsoft.Mashup.OleDb.1;Data Source=$Workbook$;Location=in_tabla_precios_tec_marginal;Extended Properties=&quot;&quot;" command="SELECT * FROM [in_tabla_precios_tec_marginal]"/>
  </connection>
  <connection id="13" xr16:uid="{ABE9AF7D-64DD-4914-BE50-5CA0889B1784}" keepAlive="1" name="Consulta - omie" description="Conexión a la consulta 'omie' en el libro." type="5" refreshedVersion="8" saveData="1">
    <dbPr connection="Provider=Microsoft.Mashup.OleDb.1;Data Source=$Workbook$;Location=omie;Extended Properties=&quot;&quot;" command="SELECT * FROM [omie]"/>
  </connection>
  <connection id="14" xr16:uid="{98FD5AB6-3BCA-4768-9951-F59F9D443AC7}" keepAlive="1" name="Consulta - omie_abril" description="Conexión a la consulta 'omie_abril' en el libro." type="5" refreshedVersion="8" saveData="1">
    <dbPr connection="Provider=Microsoft.Mashup.OleDb.1;Data Source=$Workbook$;Location=omie_abril;Extended Properties=&quot;&quot;" command="SELECT * FROM [omie_abril]"/>
  </connection>
  <connection id="15" xr16:uid="{BEF53DF8-A68E-4723-A243-6A57ADD8C3B6}" keepAlive="1" name="Consulta - omie_abril_miniporra" description="Conexión a la consulta 'omie_abril_miniporra' en el libro." type="5" refreshedVersion="8" saveData="1">
    <dbPr connection="Provider=Microsoft.Mashup.OleDb.1;Data Source=$Workbook$;Location=omie_abril_miniporra;Extended Properties=&quot;&quot;" command="SELECT * FROM [omie_abril_miniporra]"/>
    <extLst>
      <ext xmlns:x15="http://schemas.microsoft.com/office/spreadsheetml/2010/11/main" uri="{DE250136-89BD-433C-8126-D09CA5730AF9}">
        <x15:connection id="" excludeFromRefreshAll="1"/>
      </ext>
    </extLst>
  </connection>
  <connection id="16" xr16:uid="{898A8C94-46C4-46D4-915A-65C6E7F61AB6}" keepAlive="1" name="Consulta - omie_enero" description="Conexión a la consulta 'omie_enero' en el libro." type="5" refreshedVersion="8" background="1" saveData="1">
    <dbPr connection="Provider=Microsoft.Mashup.OleDb.1;Data Source=$Workbook$;Location=omie_enero;Extended Properties=&quot;&quot;" command="SELECT * FROM [omie_enero]"/>
  </connection>
  <connection id="17" xr16:uid="{2920E4B0-0111-46EA-8939-7AB37B629BA8}" keepAlive="1" name="Consulta - omie_enero_miniporra" description="Conexión a la consulta 'omie_enero_miniporra' en el libro." type="5" refreshedVersion="8" background="1" saveData="1">
    <dbPr connection="Provider=Microsoft.Mashup.OleDb.1;Data Source=$Workbook$;Location=omie_enero_miniporra;Extended Properties=&quot;&quot;" command="SELECT * FROM [omie_enero_miniporra]"/>
  </connection>
  <connection id="18" xr16:uid="{E94CB2A8-3FF7-48BB-B588-D9F241603406}" keepAlive="1" name="Consulta - omie_febrero" description="Conexión a la consulta 'omie_febrero' en el libro." type="5" refreshedVersion="8" background="1" saveData="1">
    <dbPr connection="Provider=Microsoft.Mashup.OleDb.1;Data Source=$Workbook$;Location=omie_febrero;Extended Properties=&quot;&quot;" command="SELECT * FROM [omie_febrero]"/>
  </connection>
  <connection id="19" xr16:uid="{421BB8D6-A455-421C-B885-DD7DDAADD5FD}" keepAlive="1" name="Consulta - omie_febrero_miniporra" description="Conexión a la consulta 'omie_febrero_miniporra' en el libro." type="5" refreshedVersion="8" background="1" saveData="1">
    <dbPr connection="Provider=Microsoft.Mashup.OleDb.1;Data Source=$Workbook$;Location=omie_febrero_miniporra;Extended Properties=&quot;&quot;" command="SELECT * FROM [omie_febrero_miniporra]"/>
  </connection>
  <connection id="20" xr16:uid="{50B259E3-F6E8-4114-938E-4AD52D180BAD}" keepAlive="1" name="Consulta - omie_junio" description="Conexión a la consulta 'omie_junio' en el libro." type="5" refreshedVersion="8" background="1" saveData="1">
    <dbPr connection="Provider=Microsoft.Mashup.OleDb.1;Data Source=$Workbook$;Location=omie_junio;Extended Properties=&quot;&quot;" command="SELECT * FROM [omie_junio]"/>
  </connection>
  <connection id="21" xr16:uid="{464C7217-64E2-48BA-94BA-CFDDFB61E6B6}" keepAlive="1" name="Consulta - omie_junio_miniporra" description="Conexión a la consulta 'omie_junio_miniporra' en el libro." type="5" refreshedVersion="8" saveData="1">
    <dbPr connection="Provider=Microsoft.Mashup.OleDb.1;Data Source=$Workbook$;Location=omie_junio_miniporra;Extended Properties=&quot;&quot;" command="SELECT * FROM [omie_junio_miniporra]"/>
    <extLst>
      <ext xmlns:x15="http://schemas.microsoft.com/office/spreadsheetml/2010/11/main" uri="{DE250136-89BD-433C-8126-D09CA5730AF9}">
        <x15:connection id="" excludeFromRefreshAll="1"/>
      </ext>
    </extLst>
  </connection>
  <connection id="22" xr16:uid="{E5F09795-7DE3-4E63-B479-031C1B5BC4D0}" keepAlive="1" name="Consulta - omie_marzo" description="Conexión a la consulta 'omie_marzo' en el libro." type="5" refreshedVersion="8" saveData="1">
    <dbPr connection="Provider=Microsoft.Mashup.OleDb.1;Data Source=$Workbook$;Location=omie_marzo;Extended Properties=&quot;&quot;" command="SELECT * FROM [omie_marzo]"/>
  </connection>
  <connection id="23" xr16:uid="{905F170F-B0A2-484F-8E28-F88F6ED27843}" keepAlive="1" name="Consulta - omie_marzo_miniporra" description="Conexión a la consulta 'omie_marzo_miniporra' en el libro." type="5" refreshedVersion="8" saveData="1">
    <dbPr connection="Provider=Microsoft.Mashup.OleDb.1;Data Source=$Workbook$;Location=omie_marzo_miniporra;Extended Properties=&quot;&quot;" command="SELECT * FROM [omie_marzo_miniporra]"/>
    <extLst>
      <ext xmlns:x15="http://schemas.microsoft.com/office/spreadsheetml/2010/11/main" uri="{DE250136-89BD-433C-8126-D09CA5730AF9}">
        <x15:connection id="" excludeFromRefreshAll="1"/>
      </ext>
    </extLst>
  </connection>
  <connection id="24" xr16:uid="{567FF883-1A97-4752-B5DE-F50EBAE77D5A}" keepAlive="1" name="Consulta - omie_mayo" description="Conexión a la consulta 'omie_mayo' en el libro." type="5" refreshedVersion="8" background="1" saveData="1">
    <dbPr connection="Provider=Microsoft.Mashup.OleDb.1;Data Source=$Workbook$;Location=omie_mayo;Extended Properties=&quot;&quot;" command="SELECT * FROM [omie_mayo]"/>
  </connection>
  <connection id="25" xr16:uid="{DF69E527-7DB1-4086-A506-65AE39F140DF}" keepAlive="1" name="Consulta - omie_mayo_miniporra" description="Conexión a la consulta 'omie_mayo_miniporra' en el libro." type="5" refreshedVersion="8" saveData="1">
    <dbPr connection="Provider=Microsoft.Mashup.OleDb.1;Data Source=$Workbook$;Location=omie_mayo_miniporra;Extended Properties=&quot;&quot;" command="SELECT * FROM [omie_mayo_miniporra]"/>
    <extLst>
      <ext xmlns:x15="http://schemas.microsoft.com/office/spreadsheetml/2010/11/main" uri="{DE250136-89BD-433C-8126-D09CA5730AF9}">
        <x15:connection id="" excludeFromRefreshAll="1"/>
      </ext>
    </extLst>
  </connection>
  <connection id="26" xr16:uid="{13BBDF99-41D2-43CC-968A-4BFFCA3A4665}" keepAlive="1" name="Consulta - participantes_unicos" description="Conexión a la consulta 'participantes_unicos' en el libro." type="5" refreshedVersion="8" background="1" saveData="1">
    <dbPr connection="Provider=Microsoft.Mashup.OleDb.1;Data Source=$Workbook$;Location=participantes_unicos;Extended Properties=&quot;&quot;" command="SELECT * FROM [participantes_unicos]"/>
  </connection>
  <connection id="27" xr16:uid="{EE4C853D-7156-449F-ACAB-E082D23B2993}" keepAlive="1" name="Consulta - participantes_unicos_NOVALE" description="Conexión a la consulta 'participantes_unicos_NOVALE' en el libro." type="5" refreshedVersion="8" background="1" saveData="1">
    <dbPr connection="Provider=Microsoft.Mashup.OleDb.1;Data Source=$Workbook$;Location=participantes_unicos_NOVALE;Extended Properties=&quot;&quot;" command="SELECT * FROM [participantes_unicos_NOVALE]"/>
  </connection>
  <connection id="28" xr16:uid="{005F7825-9BE6-49C5-A54B-494D228C92AC}" keepAlive="1" name="Consulta - resultados_2024" description="Conexión a la consulta 'resultados_2024' en el libro." type="5" refreshedVersion="0" background="1">
    <dbPr connection="Provider=Microsoft.Mashup.OleDb.1;Data Source=$Workbook$;Location=resultados_2024;Extended Properties=&quot;&quot;" command="SELECT * FROM [resultados_2024]"/>
  </connection>
  <connection id="29" xr16:uid="{A4EF3548-E62B-49EF-BC9B-973CEDA9CA2A}" keepAlive="1" name="Consulta - resultados_abr" description="Conexión a la consulta 'resultados_abr' en el libro." type="5" refreshedVersion="8" saveData="1">
    <dbPr connection="Provider=Microsoft.Mashup.OleDb.1;Data Source=$Workbook$;Location=resultados_abr;Extended Properties=&quot;&quot;" command="SELECT * FROM [resultados_abr]"/>
  </connection>
  <connection id="30" xr16:uid="{39F5A884-C67B-466E-AEC7-4B8FBF99754D}" keepAlive="1" name="Consulta - resultados_ene" description="Conexión a la consulta 'resultados_ene' en el libro." type="5" refreshedVersion="8" background="1" saveData="1">
    <dbPr connection="Provider=Microsoft.Mashup.OleDb.1;Data Source=$Workbook$;Location=resultados_ene;Extended Properties=&quot;&quot;" command="SELECT * FROM [resultados_ene]"/>
  </connection>
  <connection id="31" xr16:uid="{20B20A9E-476C-4198-B70D-214CB50D072D}" keepAlive="1" name="Consulta - resultados_feb" description="Conexión a la consulta 'resultados_feb' en el libro." type="5" refreshedVersion="8" background="1" saveData="1">
    <dbPr connection="Provider=Microsoft.Mashup.OleDb.1;Data Source=$Workbook$;Location=resultados_feb;Extended Properties=&quot;&quot;" command="SELECT * FROM [resultados_feb]"/>
  </connection>
  <connection id="32" xr16:uid="{5DBCB7B5-1BE1-4F6A-B191-AA9A9CA83E76}" keepAlive="1" name="Consulta - resultados_jun" description="Conexión a la consulta 'resultados_jun' en el libro." type="5" refreshedVersion="8" background="1" saveData="1">
    <dbPr connection="Provider=Microsoft.Mashup.OleDb.1;Data Source=$Workbook$;Location=resultados_jun;Extended Properties=&quot;&quot;" command="SELECT * FROM [resultados_jun]"/>
  </connection>
  <connection id="33" xr16:uid="{39121850-FDDB-4FCF-8249-ECD393DF1BAC}" keepAlive="1" name="Consulta - resultados_mar" description="Conexión a la consulta 'resultados_mar' en el libro." type="5" refreshedVersion="8" background="1" saveData="1">
    <dbPr connection="Provider=Microsoft.Mashup.OleDb.1;Data Source=$Workbook$;Location=resultados_mar;Extended Properties=&quot;&quot;" command="SELECT * FROM [resultados_mar]"/>
  </connection>
  <connection id="34" xr16:uid="{0FFF247A-2901-4643-B5BA-D3FD8DD086D3}" keepAlive="1" name="Consulta - resultados_may" description="Conexión a la consulta 'resultados_may' en el libro." type="5" refreshedVersion="8" background="1" saveData="1">
    <dbPr connection="Provider=Microsoft.Mashup.OleDb.1;Data Source=$Workbook$;Location=resultados_may;Extended Properties=&quot;&quot;" command="SELECT * FROM [resultados_may]"/>
  </connection>
  <connection id="35" xr16:uid="{ECE1E3E7-93BA-4F12-9838-AF0B3AB486FA}" keepAlive="1" name="Consulta - t_co2_diario" description="Conexión a la consulta 't_co2_diario' en el libro." type="5" refreshedVersion="8" saveData="1">
    <dbPr connection="Provider=Microsoft.Mashup.OleDb.1;Data Source=$Workbook$;Location=t_co2_diario;Extended Properties=&quot;&quot;" command="SELECT * FROM [t_co2_diario]"/>
  </connection>
  <connection id="36" xr16:uid="{D5930B2F-8B01-4AB2-AA8C-319FB7A7309F}" keepAlive="1" name="Consulta - t_mibgas_diario" description="Conexión a la consulta 't_mibgas_diario' en el libro." type="5" refreshedVersion="8" saveData="1">
    <dbPr connection="Provider=Microsoft.Mashup.OleDb.1;Data Source=$Workbook$;Location=t_mibgas_diario;Extended Properties=&quot;&quot;" command="SELECT * FROM [t_mibgas_diario]"/>
  </connection>
  <connection id="37" xr16:uid="{9135D8C7-8048-4C42-A68C-F8818019B6EC}" keepAlive="1" name="Consulta - t_omie_evol" description="Conexión a la consulta 't_omie_evol' en el libro." type="5" refreshedVersion="8" saveData="1">
    <dbPr connection="Provider=Microsoft.Mashup.OleDb.1;Data Source=$Workbook$;Location=t_omie_evol;Extended Properties=&quot;&quot;" command="SELECT * FROM [t_omie_evol]"/>
  </connection>
</connections>
</file>

<file path=xl/sharedStrings.xml><?xml version="1.0" encoding="utf-8"?>
<sst xmlns="http://schemas.openxmlformats.org/spreadsheetml/2006/main" count="4279" uniqueCount="846">
  <si>
    <t xml:space="preserve">Nombre </t>
  </si>
  <si>
    <t>Apuesta MiniPorra</t>
  </si>
  <si>
    <t>Javier Revuelta</t>
  </si>
  <si>
    <t>Mes</t>
  </si>
  <si>
    <t>OMIE</t>
  </si>
  <si>
    <t>Desvío</t>
  </si>
  <si>
    <t>Hasta el día</t>
  </si>
  <si>
    <t>% Desvío</t>
  </si>
  <si>
    <t>Juan Sanjorge</t>
  </si>
  <si>
    <t>Alfonso Zárate Conde</t>
  </si>
  <si>
    <t>fecha</t>
  </si>
  <si>
    <t>valor</t>
  </si>
  <si>
    <t>Posición</t>
  </si>
  <si>
    <t>Hasta el</t>
  </si>
  <si>
    <t>Promedio</t>
  </si>
  <si>
    <t>Último día registrado</t>
  </si>
  <si>
    <t>Marca temporal</t>
  </si>
  <si>
    <t>Email</t>
  </si>
  <si>
    <t>Mes de apuesta</t>
  </si>
  <si>
    <t xml:space="preserve">Porra del precio medio mensual de OMIE (€/MWh), con al menos 1 decimal (con coma). </t>
  </si>
  <si>
    <t>Comentario opcional sobre el mes (a ver si hay algún razonamiento, o pura potra!)</t>
  </si>
  <si>
    <t>Nick (o nombre corto)</t>
  </si>
  <si>
    <t>Jose F.</t>
  </si>
  <si>
    <t>Vidal</t>
  </si>
  <si>
    <t>jovidal71@gmail.com</t>
  </si>
  <si>
    <t>Dic 2023</t>
  </si>
  <si>
    <t>83,60</t>
  </si>
  <si>
    <t>Basado en IA (Inteligencia Autodidacta). Uso el precio medio mibgas mensual estimado para el mes y aplico un ratio empírico relacionado con el % de horas que TCC marca horas en el pool.</t>
  </si>
  <si>
    <t>Javier</t>
  </si>
  <si>
    <t>Pérez Salazar</t>
  </si>
  <si>
    <t>javiperez1984@hotmail.com</t>
  </si>
  <si>
    <t>95,00</t>
  </si>
  <si>
    <t>Pura potra ¡Obviamente!</t>
  </si>
  <si>
    <t>Paco</t>
  </si>
  <si>
    <t>Valverde</t>
  </si>
  <si>
    <t>91,19</t>
  </si>
  <si>
    <t>Media de un sueño, posos de café y chivatazo de una pitonisa</t>
  </si>
  <si>
    <t>RobertoRCGING</t>
  </si>
  <si>
    <t>Cavero Garcia</t>
  </si>
  <si>
    <t>roberto@rcgingenieria.com</t>
  </si>
  <si>
    <t>90,10</t>
  </si>
  <si>
    <t>#Porrapool</t>
  </si>
  <si>
    <t xml:space="preserve">Julián </t>
  </si>
  <si>
    <t>julianmateo1980@gmail.com</t>
  </si>
  <si>
    <t>92,63</t>
  </si>
  <si>
    <t>Bajan las temperaturas con respecto a noviembre, menos lluvia y viento también. El consumo aumenta por la navidad y las temperaturas bajas.</t>
  </si>
  <si>
    <t>Marc</t>
  </si>
  <si>
    <t>Soler Collell</t>
  </si>
  <si>
    <t>marc.soler.collell@gmail.com</t>
  </si>
  <si>
    <t>85,10</t>
  </si>
  <si>
    <t>estimación precio gas, festivos y tendencia de mercado. Y con un alto grado de potra</t>
  </si>
  <si>
    <t>Larrañaga</t>
  </si>
  <si>
    <t>jlarranaga@sun.co</t>
  </si>
  <si>
    <t>84,10</t>
  </si>
  <si>
    <t>Juan</t>
  </si>
  <si>
    <t>Sanjorge</t>
  </si>
  <si>
    <t>juan.sanjorge@nexusenergia.com</t>
  </si>
  <si>
    <t>Dic 2024</t>
  </si>
  <si>
    <t>75,50</t>
  </si>
  <si>
    <t>Gran peso de la "pura potra" y algo de: combinación de reserva hidráulica, bajada de futuros gas.</t>
  </si>
  <si>
    <t>BEATRIZ</t>
  </si>
  <si>
    <t>MUÑOZ</t>
  </si>
  <si>
    <t>info@riobooenergy.es</t>
  </si>
  <si>
    <t>88,80</t>
  </si>
  <si>
    <t>Sergi</t>
  </si>
  <si>
    <t>sescoda@gmail.com</t>
  </si>
  <si>
    <t>99,50</t>
  </si>
  <si>
    <t>LUIS ANGEL</t>
  </si>
  <si>
    <t>GARZON VELASCO</t>
  </si>
  <si>
    <t>lgarzon@kingsenergias.com</t>
  </si>
  <si>
    <t>90,50</t>
  </si>
  <si>
    <t>LLega el frio,mas consumo,sube el gas</t>
  </si>
  <si>
    <t>Sergio</t>
  </si>
  <si>
    <t>Ortega Celares</t>
  </si>
  <si>
    <t>92,50</t>
  </si>
  <si>
    <t>Tras la desastrosa predicción de noviembre he invocado a otra bola de cristal, a ver si ya se vuelve a las andadas</t>
  </si>
  <si>
    <t>Roque</t>
  </si>
  <si>
    <t>Alonso Alonso</t>
  </si>
  <si>
    <t>72,20</t>
  </si>
  <si>
    <t>Siendo conservador :)</t>
  </si>
  <si>
    <t>javirevuelta@hotmail.com</t>
  </si>
  <si>
    <t>74,20</t>
  </si>
  <si>
    <t>Algo menos de agua y de solar que en noviembre, y más demanda. Pero más días festivos, y más nuclear de vuelta. Menos horas de vertidos renovables, pero las horas sin vertidos con gas y CO2 más bajos. Efecto neto algo más caro que noviembre.</t>
  </si>
  <si>
    <t>Simpson</t>
  </si>
  <si>
    <t>formacionjuvic@gmail.com</t>
  </si>
  <si>
    <t>90,20</t>
  </si>
  <si>
    <t>Rocha Blanco</t>
  </si>
  <si>
    <t>gladyscapri@gmail.com</t>
  </si>
  <si>
    <t>81,69</t>
  </si>
  <si>
    <t>Me vine arriba con la medalla 🏅 de oro y voy a subir la media y le pongo decimal 💪🤣que es el mes de las luces 💫</t>
  </si>
  <si>
    <t xml:space="preserve">José Manuel </t>
  </si>
  <si>
    <t>otero.energia@gmail.com</t>
  </si>
  <si>
    <t>95,5</t>
  </si>
  <si>
    <t xml:space="preserve">Sería pura potra ... pero viendo el baile de mercado a excepción que veo que empieza el frío ,poco viento..creo que va a subir un pelín </t>
  </si>
  <si>
    <t>María</t>
  </si>
  <si>
    <t>Santa María</t>
  </si>
  <si>
    <t>maria.santamaria@baywa-re.com</t>
  </si>
  <si>
    <t>84</t>
  </si>
  <si>
    <t>en Pamplona han puesto más luces navideñas de lo normal, clarmaente la Demanda subeeeee, justo lo que hace falta!</t>
  </si>
  <si>
    <t>Ene 2024</t>
  </si>
  <si>
    <t>81.08</t>
  </si>
  <si>
    <t>Pues viendo los precios medios de meses anteriores,que son irracionales y el tiempo y la buena utilización de las energías baratas ,me decantó por un precio medio un poco más alto que la média de diciembre,pero siendo aún bajo .( O sea pura potra)</t>
  </si>
  <si>
    <t>Otero</t>
  </si>
  <si>
    <t>Carles</t>
  </si>
  <si>
    <t>Estruch Puig</t>
  </si>
  <si>
    <t>77,7</t>
  </si>
  <si>
    <t>Estalviem</t>
  </si>
  <si>
    <t>Brais</t>
  </si>
  <si>
    <t>García</t>
  </si>
  <si>
    <t>75,15</t>
  </si>
  <si>
    <t>Un poco de esperanza en ir volviendo a la estabilidad en el mundo!!</t>
  </si>
  <si>
    <t>BG</t>
  </si>
  <si>
    <t>Jonathan</t>
  </si>
  <si>
    <t>102,78</t>
  </si>
  <si>
    <t xml:space="preserve">Operador senior </t>
  </si>
  <si>
    <t>Manuel</t>
  </si>
  <si>
    <t>91,2€/MWh</t>
  </si>
  <si>
    <t xml:space="preserve">Manuel Bueno </t>
  </si>
  <si>
    <t/>
  </si>
  <si>
    <t>Según la previsión meteorológica de la Agencia Estatal de Meteorología (AEMET), el mes de diciembre de 2023 en España será un mes más cálido de lo normal, con temperaturas medias de 11,5 °C, frente a los 10,5 °C de la media histórica. Las precipitaciones serán también superiores a la media, con 70 mm de lluvia, frente a los 60 mm de la media histórica.  Este aumento de las temperaturas y las precipitaciones podría tener un impacto positivo en el precio de la electricidad en España, ya que reduciría la demanda de electricidad para calefacción y aumentaría la generación de electricidad a partir de fuentes renovables, como la eólica y la solar.  Sin embargo, es importante tener en cuenta que el precio de la electricidad también está influenciado por otros factores, como el precio del gas natural, el precio del carbón y el precio del petróleo. En este sentido, es posible que el precio del gas natural siga aumentando en los próximos meses, debido a la guerra en Ucrania. Esto podría compensar el impacto positivo del aumento de las temperaturas y las precipitaciones en el precio de la electricidad.  En base a estos factores, se estima que el precio medio OMIE de la electricidad en España en diciembre de 2023 podría situarse en torno a los 90 €/MWh. Este precio sería superior al precio medio de diciembre de 2022, que fue de 79,35 €/MWh, pero inferior al precio medio de los últimos meses de 2023, que han estado en torno a los 100 €/MWh.  Análisis de los consumos eléctricos  El consumo eléctrico en España suele aumentar en el mes de diciembre, debido a la Navidad y al frío invernal. Sin embargo, este año, el aumento del precio de la electricidad podría reducir el consumo eléctrico en el sector residencial.  En el sector industrial, el consumo eléctrico también podría verse afectado por el aumento del precio de la electricidad. Sin embargo, es probable que este sector siga siendo el principal consumidor de electricidad en España en el mes de diciembre.  Conclusiones  En conclusión, se estima que el precio medio OMIE de la electricidad en España en diciembre de 2023 podría situarse en torno a los 90 €/MWh. Este precio sería superior al precio medio de diciembre de 2022, pero inferior al precio medio de los últimos meses de 2023.  El aumento de las temperaturas y las precipitaciones podría tener un impacto positivo en el precio de la electricidad, pero es posible que el precio del gas natural siga aumentando en los próximos meses, lo que podría compensar este impacto.</t>
  </si>
  <si>
    <t>Fernando</t>
  </si>
  <si>
    <t>Sánchez-Rey Maeso</t>
  </si>
  <si>
    <t>59,5</t>
  </si>
  <si>
    <t>Fer</t>
  </si>
  <si>
    <t>Alfonso</t>
  </si>
  <si>
    <t>Zárate Conde</t>
  </si>
  <si>
    <t>80</t>
  </si>
  <si>
    <t xml:space="preserve">Ya sabes que defiendo que últimamente, el precio depende más de las condiciones meteorológicas que de otra cosa. Esta vez lo basaré en "lógica" energética. Pongamos un gas a 30€ (con un rendimiento en ciclos del 55%) y un CO2 en 80€ (con una tasa de emisión de 0,33 tnCO2/MWh) me da un pool de </t>
  </si>
  <si>
    <t>Alf</t>
  </si>
  <si>
    <t>81,69€/MWh</t>
  </si>
  <si>
    <t>Gladys</t>
  </si>
  <si>
    <t>Jorge Antonio</t>
  </si>
  <si>
    <t>González Sánchez</t>
  </si>
  <si>
    <t>85,4</t>
  </si>
  <si>
    <t>YORCH</t>
  </si>
  <si>
    <t>Julián</t>
  </si>
  <si>
    <t>71,23</t>
  </si>
  <si>
    <t>Vamos a jugar, enero un poco más ventoso que diciembre 23 pero menos que noviembre 23. De lluvias pocas la primera quincena y se recupera un poco en la segunda, por lo que hidro no turbinará tanto. El por qué a mi precio? Pues por inercia... Predicen un bajo precio del gas y que las otras veces me paso en la predicción... Salud y feliz año nuevo.</t>
  </si>
  <si>
    <t>Jaime</t>
  </si>
  <si>
    <t>Larrañaga Juez</t>
  </si>
  <si>
    <t>88,08</t>
  </si>
  <si>
    <t>Bola de Cristal</t>
  </si>
  <si>
    <t>Jaimelarra</t>
  </si>
  <si>
    <t>70,8</t>
  </si>
  <si>
    <t>Debería ser parecido a noviembre y diciembre</t>
  </si>
  <si>
    <t>Juan Luis</t>
  </si>
  <si>
    <t>Abr 2024</t>
  </si>
  <si>
    <t>Infrajari</t>
  </si>
  <si>
    <t>Fayos Gavila</t>
  </si>
  <si>
    <t>75,65</t>
  </si>
  <si>
    <t>porque yo lo digo</t>
  </si>
  <si>
    <t>Vicente Fayos</t>
  </si>
  <si>
    <t>Sanjorge Grandal</t>
  </si>
  <si>
    <t>85,2</t>
  </si>
  <si>
    <t>75</t>
  </si>
  <si>
    <t>Sin duda: pura potra!</t>
  </si>
  <si>
    <t>Javi</t>
  </si>
  <si>
    <t>65,87</t>
  </si>
  <si>
    <t>gas barato, días festivos, +inframarginales</t>
  </si>
  <si>
    <t>Marc Soler</t>
  </si>
  <si>
    <t>Carlos</t>
  </si>
  <si>
    <t>79,3</t>
  </si>
  <si>
    <t>con suerte habrá un poco de agua a pesar del frío</t>
  </si>
  <si>
    <t>Carlos  Callejon</t>
  </si>
  <si>
    <t>74,28</t>
  </si>
  <si>
    <t>Si no hay ningun susto en geopolitica, gas baratito y se viene mucho viento!!</t>
  </si>
  <si>
    <t>Lezcano</t>
  </si>
  <si>
    <t>78,28</t>
  </si>
  <si>
    <t>ALezcano</t>
  </si>
  <si>
    <t>88,5</t>
  </si>
  <si>
    <t>daditos,daditos</t>
  </si>
  <si>
    <t>LUIS</t>
  </si>
  <si>
    <t>Revuelta</t>
  </si>
  <si>
    <t>71,7</t>
  </si>
  <si>
    <t>Espero precio parecido a diciembre, aunque con elementos que suben y otros que bajan. Gas en 30€ bajos, con almacenamientos muy altos y China a ritmo lento por recesión europea; improbable que el gas pase de 36€ ni baje de 30. Espero algo menos de agua fluyente, pero aún bastante. Para el nivel actual, nuestros modelos de AFRY dan nivel medio de vertidos, que podría ser doble (si suben ligeramente las lluvias) o mitad (improbable que baje tanto el nivel fluyente actual). El nuevo IVPEE sube 3,5%, pero el nuevo bono social baja algo. Empieza a subir la solar, por más radiación y más potencia, con demanda baja y varios festivos al principio cuando aún hay frío, y el año comienza con buen viento. Me salen extremos absolutos de 53 a 87 €/MWh, pero la mayoría de combinaciones centrales entre 69 y 74€; tiene que llover mucho para bajar de 70, y parar ya las lluvias para subir de 75-80€. El no extender el RDL 17/2021 bajará más bajo los precios bajos, por lo que veo más probable bajar de 70, que de acercarnos a 80€, con OMIP probablemente sobreestimando unos 7€. Mi apuesta central, 71,7€!</t>
  </si>
  <si>
    <t>Jose F</t>
  </si>
  <si>
    <t>73,45</t>
  </si>
  <si>
    <t>Estimo gas sobre 36 con ratio ajustado 2,7 sobre OMIE. % Horas ciclos: 7. ratio re/tcc 0,6 al 35% y hi/tcc 0,85 al 40%</t>
  </si>
  <si>
    <t>PowerAvenger</t>
  </si>
  <si>
    <t>76,04</t>
  </si>
  <si>
    <t xml:space="preserve">A puro 🥚 </t>
  </si>
  <si>
    <t xml:space="preserve">Afredo </t>
  </si>
  <si>
    <t>Conejo Sanchez</t>
  </si>
  <si>
    <t>87,1</t>
  </si>
  <si>
    <t>JPConejo</t>
  </si>
  <si>
    <t>Cervera</t>
  </si>
  <si>
    <t>73'3</t>
  </si>
  <si>
    <t>Jaceral</t>
  </si>
  <si>
    <t>Jesús</t>
  </si>
  <si>
    <t>López</t>
  </si>
  <si>
    <t>66,56</t>
  </si>
  <si>
    <t>jsulopzs</t>
  </si>
  <si>
    <t>89.7 MWh</t>
  </si>
  <si>
    <t>Sólo se que no se nada</t>
  </si>
  <si>
    <t>Ngls1973</t>
  </si>
  <si>
    <t>Elena</t>
  </si>
  <si>
    <t>Muñoz Vioque</t>
  </si>
  <si>
    <t>85,32</t>
  </si>
  <si>
    <t>Mi predicción de 85,32€/MWh para el precio medio mensual de la electricidad en el mercado español en enero de 2024 se basa en la observación de tendencias históricas desde 2018 hasta 2023, donde los precios mostraron variabilidad significativa con un pico en 2021-2022 y una disminución en 2023. Los factores externos como los precios del gas natural y los derechos de emisión de CO2, junto con políticas energéticas enfocadas en renovables, influyen en la volatilidad del mercado. La cifra propuesta refleja un equilibrio entre la tendencia a la baja reciente y el potencial impacto de estos factores en 2024.</t>
  </si>
  <si>
    <t>EMV</t>
  </si>
  <si>
    <t>Alejandro A.</t>
  </si>
  <si>
    <t>Díaz González</t>
  </si>
  <si>
    <t>75,35</t>
  </si>
  <si>
    <t>Alex</t>
  </si>
  <si>
    <t>Roberto</t>
  </si>
  <si>
    <t>76,5</t>
  </si>
  <si>
    <t>Los caminos del POOL son imprescindibles.</t>
  </si>
  <si>
    <t>Olivia</t>
  </si>
  <si>
    <t>Infantes</t>
  </si>
  <si>
    <t>87,45</t>
  </si>
  <si>
    <t>A la hora a la que me apunto, solo por intentarlo ;-). Próximo mes habrá más “ciencia”</t>
  </si>
  <si>
    <t>Monroy</t>
  </si>
  <si>
    <t>74,3€/MWh</t>
  </si>
  <si>
    <t>Iluminado</t>
  </si>
  <si>
    <t>Nick</t>
  </si>
  <si>
    <t>Carles Estruch Puig</t>
  </si>
  <si>
    <t>Brais García</t>
  </si>
  <si>
    <t>Fernando Sánchez-Rey Maeso</t>
  </si>
  <si>
    <t>Jorge Antonio González Sánchez</t>
  </si>
  <si>
    <t>Jaime Larrañaga Juez</t>
  </si>
  <si>
    <t>Juan Sanjorge Sanjorge Grandal</t>
  </si>
  <si>
    <t>Alfonso Lezcano</t>
  </si>
  <si>
    <t>Jose F Vidal</t>
  </si>
  <si>
    <t>Javier Cervera</t>
  </si>
  <si>
    <t>Jesús López</t>
  </si>
  <si>
    <t>Elena Muñoz Vioque</t>
  </si>
  <si>
    <t>Alejandro A. Díaz González</t>
  </si>
  <si>
    <t>Olivia Infantes</t>
  </si>
  <si>
    <t>Participantes</t>
  </si>
  <si>
    <t>omie</t>
  </si>
  <si>
    <t>desvio</t>
  </si>
  <si>
    <t>desvio %</t>
  </si>
  <si>
    <t>orden</t>
  </si>
  <si>
    <t>Nombre</t>
  </si>
  <si>
    <t>Apuesta Miniporra</t>
  </si>
  <si>
    <t>ENERO</t>
  </si>
  <si>
    <t>Día</t>
  </si>
  <si>
    <t>enero</t>
  </si>
  <si>
    <t xml:space="preserve">Sergio </t>
  </si>
  <si>
    <t>Vitor Costa Costa</t>
  </si>
  <si>
    <t>Costinha</t>
  </si>
  <si>
    <t>Crystal Ball model 2024</t>
  </si>
  <si>
    <t>Javier Espelta</t>
  </si>
  <si>
    <t>forzar</t>
  </si>
  <si>
    <t>dia</t>
  </si>
  <si>
    <t>€/MWh</t>
  </si>
  <si>
    <t>SUPERPORRA 2024</t>
  </si>
  <si>
    <t>ULTIMO DIA</t>
  </si>
  <si>
    <t>viene de omie-mibgas</t>
  </si>
  <si>
    <t>hora</t>
  </si>
  <si>
    <t>RE media</t>
  </si>
  <si>
    <t>TCC media</t>
  </si>
  <si>
    <t>HI media</t>
  </si>
  <si>
    <t>Hoy</t>
  </si>
  <si>
    <t>Tabla de precios medios horarios marginales según tecnología</t>
  </si>
  <si>
    <t>74,56</t>
  </si>
  <si>
    <t>Vitor Costa</t>
  </si>
  <si>
    <t>Costa</t>
  </si>
  <si>
    <t>90,1</t>
  </si>
  <si>
    <t>60,5</t>
  </si>
  <si>
    <t>Marcos Carabias</t>
  </si>
  <si>
    <t>0,139</t>
  </si>
  <si>
    <t>Dados!</t>
  </si>
  <si>
    <t>Carlos M</t>
  </si>
  <si>
    <t>Cristian</t>
  </si>
  <si>
    <t>Trapero</t>
  </si>
  <si>
    <t>Feb 2024</t>
  </si>
  <si>
    <t>61.53</t>
  </si>
  <si>
    <t>Carlos Marcos Carabias</t>
  </si>
  <si>
    <t>65</t>
  </si>
  <si>
    <t>Hemos venido a jugar ¿no?</t>
  </si>
  <si>
    <t xml:space="preserve">Javi Pérez </t>
  </si>
  <si>
    <t>75,73</t>
  </si>
  <si>
    <t>Creo que vamos a seguir con este tiempo anómalo hasta marzo, con la entrada de algún frente, pero menos de lo habitual. Parece que los precios del gas siguen bajos y la hidráulica de mitad de España seguirá bombeando. A ver si tengo suerte y lo que he soñado se cumple.</t>
  </si>
  <si>
    <t>69,69</t>
  </si>
  <si>
    <t>Jaime Larrañaga</t>
  </si>
  <si>
    <t>86,2</t>
  </si>
  <si>
    <t>Triple</t>
  </si>
  <si>
    <t>SOC</t>
  </si>
  <si>
    <t>70,22</t>
  </si>
  <si>
    <t>Vicente fayos</t>
  </si>
  <si>
    <t>64,46</t>
  </si>
  <si>
    <t>Jorge</t>
  </si>
  <si>
    <t>68,95</t>
  </si>
  <si>
    <t>68</t>
  </si>
  <si>
    <t>Hay agua, aumentan las horas solares, parece que el CO2 está bajando. La demanda sigue floja</t>
  </si>
  <si>
    <t>De Dios García</t>
  </si>
  <si>
    <t>87,55</t>
  </si>
  <si>
    <t>Veo algo más bajista el mercado en el corto plazo</t>
  </si>
  <si>
    <t>Rober</t>
  </si>
  <si>
    <t>Antonio</t>
  </si>
  <si>
    <t>70,1</t>
  </si>
  <si>
    <t>Oscar Mulas Crespo</t>
  </si>
  <si>
    <t>Mulas Crespo</t>
  </si>
  <si>
    <t>60,1</t>
  </si>
  <si>
    <t>Oscar M.</t>
  </si>
  <si>
    <t>69,96</t>
  </si>
  <si>
    <t>69,62</t>
  </si>
  <si>
    <t>Laura</t>
  </si>
  <si>
    <t>64,35 €/MWh</t>
  </si>
  <si>
    <t>Arualgo</t>
  </si>
  <si>
    <t>Alejandro</t>
  </si>
  <si>
    <t>LD</t>
  </si>
  <si>
    <t>89,24</t>
  </si>
  <si>
    <t xml:space="preserve">En febrero volverá a subir, como hizo el año anterior, pero este año a menor escala ya que el precio MIBGAS está bajo. </t>
  </si>
  <si>
    <t>Francisco</t>
  </si>
  <si>
    <t>Valverde Sánchez</t>
  </si>
  <si>
    <t>60,06</t>
  </si>
  <si>
    <t>Me lo han chivado los posos del café</t>
  </si>
  <si>
    <t>Paco Valverde</t>
  </si>
  <si>
    <t>Mibgas D+1</t>
  </si>
  <si>
    <t>Media mensual</t>
  </si>
  <si>
    <t>€/Ton</t>
  </si>
  <si>
    <t>79.80</t>
  </si>
  <si>
    <t>Pura potra ,la bola el mes pasado me dejó lejos !! La he tenido que cambiar por una más moderna   .</t>
  </si>
  <si>
    <t>Muñoz Rioboo</t>
  </si>
  <si>
    <t>72,2</t>
  </si>
  <si>
    <t>Bea</t>
  </si>
  <si>
    <t>53,54</t>
  </si>
  <si>
    <t>Apuntamientos salvajes, caos en general</t>
  </si>
  <si>
    <t>Juanlu</t>
  </si>
  <si>
    <t>72,25</t>
  </si>
  <si>
    <t xml:space="preserve">Mi predicción para el precio medio del mercado OMIE en España en febrero de 2024 es de 72.25 €/MWh. Esta estimación equilibra factores como la estabilidad de los precios del gas y el notable crecimiento de las energías renovables, que apuntan a una reducción en los precios. Sin embargo, los desafíos en las cadenas de suministro y el fin de la excepción ibérica podrían presionar los precios al alza. Las nuevas regulaciones y el sistema de cálculo del PVPC aportan estabilidad adicional, crucial en este contexto. </t>
  </si>
  <si>
    <t>Revuelta Alonso</t>
  </si>
  <si>
    <t>69,2</t>
  </si>
  <si>
    <t>Mes de alta volatilidad meteorológica (por ejemplo la hidro de 2021 fue x4 vs 2022!), con típicamente un poco menos de viento pero no necesariamente. Ha sido muy bajo el viento de enero, con que me la juego a ligera subida eólica (aunque empezamos el mes muy bajos), y un poco menos de hidráulica. Pero las temperaturas parece que seguirán moderandose, y sigue subiendo ligeramente la solar, con que obtengo casi doble de días con vertidos renovables y precios bajos. Además, el gas estará algo más barato que en enero, y el CO2 también. También espero que se suelte bastante agua de embalses, en previsión de los próximos meses muy baratos, sobre todo en horas punta, lo cual combinado a menor demanda nos quitará algunos arranques de CC y horas a &gt;100€. Sólo veo motivos para precios más bajos que en enero, salvo que bajara la hidro muy rápido como lo hizo en 2023. Obtengo extremos absolutos de 58€ a 79€, con la mayoría de mis casos centrales entre 66€ y 71€. Mi apuesta para febrero, 69,2€.</t>
  </si>
  <si>
    <t>Folch</t>
  </si>
  <si>
    <t>65,2</t>
  </si>
  <si>
    <t>Aitor Folch</t>
  </si>
  <si>
    <t>73,88</t>
  </si>
  <si>
    <t>Modificación del sistema anterior basado añadiendo precios y horas marginales de todas las tecnologías principales</t>
  </si>
  <si>
    <t>Juan Pedro Conejo</t>
  </si>
  <si>
    <t>Callejón</t>
  </si>
  <si>
    <t>68,1</t>
  </si>
  <si>
    <t>esperemos que haya algo de frío, un poco de agua y algo de viento</t>
  </si>
  <si>
    <t>Carlos Callejón</t>
  </si>
  <si>
    <t>Javier Revuelta Alonso</t>
  </si>
  <si>
    <t>Francisco Valverde Sánchez</t>
  </si>
  <si>
    <t>Alejandro Ld</t>
  </si>
  <si>
    <t>Sergio Ortega Celares</t>
  </si>
  <si>
    <t>Cristian Trapero</t>
  </si>
  <si>
    <t>TABLA DE ENTRADA DE VALORES OMIE 2024</t>
  </si>
  <si>
    <t>Inés</t>
  </si>
  <si>
    <t>69,85</t>
  </si>
  <si>
    <t>Iluminada energética</t>
  </si>
  <si>
    <t>72.36</t>
  </si>
  <si>
    <t>Naive basado en el último mes.</t>
  </si>
  <si>
    <t>62,5</t>
  </si>
  <si>
    <t>os estoy dejando ventaja...</t>
  </si>
  <si>
    <t>67,2</t>
  </si>
  <si>
    <t>Me cuesta verlo por debajo de Francia, el gas a tocado suelo en los 27, veremos si viene la segunda quincena para que baje el precio por debajo de los 65.</t>
  </si>
  <si>
    <t>parr0x</t>
  </si>
  <si>
    <t>59,3</t>
  </si>
  <si>
    <t xml:space="preserve">Sergio Lopez </t>
  </si>
  <si>
    <t>65.86</t>
  </si>
  <si>
    <t>65,4</t>
  </si>
  <si>
    <t>Los futuros por los suelos, a ver si aciertan</t>
  </si>
  <si>
    <t>Marcos</t>
  </si>
  <si>
    <t>Fortea Escolano</t>
  </si>
  <si>
    <t>71,01</t>
  </si>
  <si>
    <t>Parece que será similar al anterior( a grandes rasgos), además el precio del gas está muy bajo.</t>
  </si>
  <si>
    <t xml:space="preserve">Marcos </t>
  </si>
  <si>
    <t>Inés Monroy</t>
  </si>
  <si>
    <t>Roque Alonso Alonso</t>
  </si>
  <si>
    <t>Marcos Fortea Escolano</t>
  </si>
  <si>
    <t>FEBRERO</t>
  </si>
  <si>
    <t>60,02</t>
  </si>
  <si>
    <t>Los dados a tope!!</t>
  </si>
  <si>
    <t>febrero</t>
  </si>
  <si>
    <t>Dia</t>
  </si>
  <si>
    <t>Omie media mensual (€/MWh)</t>
  </si>
  <si>
    <t>Omie media diaria</t>
  </si>
  <si>
    <t>% Horas RE</t>
  </si>
  <si>
    <t>Media RE</t>
  </si>
  <si>
    <t>% Horas TCC</t>
  </si>
  <si>
    <t>Media TCC</t>
  </si>
  <si>
    <t>% Horas HI</t>
  </si>
  <si>
    <t>Media HI</t>
  </si>
  <si>
    <t>Cavero García</t>
  </si>
  <si>
    <t>Otero López</t>
  </si>
  <si>
    <t>Jarillo Gómez</t>
  </si>
  <si>
    <t>Roberto Cavero García</t>
  </si>
  <si>
    <t>Juan Pedro</t>
  </si>
  <si>
    <t>Aitor</t>
  </si>
  <si>
    <t>Beatriz</t>
  </si>
  <si>
    <t>Jose Manuel</t>
  </si>
  <si>
    <t>Gómez López</t>
  </si>
  <si>
    <t>López Gómez-Millán</t>
  </si>
  <si>
    <t>Vicente</t>
  </si>
  <si>
    <t>Mateo Muñoz</t>
  </si>
  <si>
    <t>Espelta</t>
  </si>
  <si>
    <t>Nogales Guillén</t>
  </si>
  <si>
    <t>Alfredo</t>
  </si>
  <si>
    <t>Cotrina Martínez</t>
  </si>
  <si>
    <t>Bueno Pérez</t>
  </si>
  <si>
    <t>Pazmiño Espinoza</t>
  </si>
  <si>
    <t>José Manuel</t>
  </si>
  <si>
    <t>Bart</t>
  </si>
  <si>
    <t>Escoda Arbulo</t>
  </si>
  <si>
    <t>Sergio Lopez Oliver</t>
  </si>
  <si>
    <t>Manuel Nogales Guillén</t>
  </si>
  <si>
    <t>Juan Pedro Conejo Sanchez</t>
  </si>
  <si>
    <t>Alfredo Cotrina Martínez</t>
  </si>
  <si>
    <t>Luis Angel Garzon Velasco</t>
  </si>
  <si>
    <t>Juan Luis Jarillo Gómez</t>
  </si>
  <si>
    <t>Marc Soler Collell</t>
  </si>
  <si>
    <t>Javier Pérez Salazar</t>
  </si>
  <si>
    <t>Vicente Fayos Gavila</t>
  </si>
  <si>
    <t>Julián Mateo Muñoz</t>
  </si>
  <si>
    <t>Gladys Rocha Blanco</t>
  </si>
  <si>
    <t>Manuel Bueno Pérez</t>
  </si>
  <si>
    <t>Jonathan Pazmiño Espinoza</t>
  </si>
  <si>
    <t>Jose Manuel Otero López</t>
  </si>
  <si>
    <t>Beatriz Muñoz Rioboo</t>
  </si>
  <si>
    <t>Laura Gómez López</t>
  </si>
  <si>
    <t>Antonio López Gómez-Millán</t>
  </si>
  <si>
    <t>Roberto De Dios García</t>
  </si>
  <si>
    <t>Mar 2024</t>
  </si>
  <si>
    <t>23,49</t>
  </si>
  <si>
    <t>35,6</t>
  </si>
  <si>
    <t>Iluminada</t>
  </si>
  <si>
    <t>24,8</t>
  </si>
  <si>
    <t>30,5</t>
  </si>
  <si>
    <t>Al tun tun</t>
  </si>
  <si>
    <t>Eduardo Caro</t>
  </si>
  <si>
    <t>32,57</t>
  </si>
  <si>
    <t>Desplome de mercados. AASS a tope, mucha solar, poca demanda.</t>
  </si>
  <si>
    <t>29,4</t>
  </si>
  <si>
    <t xml:space="preserve">Oscar Mulas </t>
  </si>
  <si>
    <t>29,8</t>
  </si>
  <si>
    <t>Últimos días pool muy bajo</t>
  </si>
  <si>
    <t>46,23</t>
  </si>
  <si>
    <t>Consistente tendencia a la baja de precios durante este mes en años anteriores, la influencia positiva de la energía renovable en la reducción de los precios, y la estabilidad anticipada en los precios del gas, lo que reduce la volatilidad en los costes de generación de energía. Además, se ha considerado la política energética actual que busca estabilizar los precios y la ausencia de indicadores de cambios climáticos o políticos significativos que podrían elevar los precios de manera sustancial.</t>
  </si>
  <si>
    <t>45</t>
  </si>
  <si>
    <t>El pool es cada vez más una lotería. Pongo 45 un poco a huevo, y suponiendo que marzo será como el refrán (ventoso) pero habrá días en los que al haber poca aportación renovable, las térmicas se van a querer cobrar todas las horas que han estado paradas</t>
  </si>
  <si>
    <t>Pablo</t>
  </si>
  <si>
    <t>Baigorria Kobylinski</t>
  </si>
  <si>
    <t>65,3</t>
  </si>
  <si>
    <t xml:space="preserve"> El precio de febrero se ha visto afectado por la unión de una reducción de la demanda, reducción en el precio del gas y una alta producción renovable. Creo, que en marzo podremos observar una subida del precio del gas (esta tocando mínimos tanto en EU como en EE.UU y no veo ningún escenario en el que “permita” que el precio mantenga el “vuelo bajo”), así como un incremento gradual de la demanda (la demanda residencial se verá afectada por la acumulación de festivos en el mes de marzo y la industrial por un incremento en la producción debido a un mayor acceso a materia prima y finalización de protestas que dificultan la logística). Por eso creo que veremos en marzo una subida gradual de los precios, hasta acercarse (o puede incluso que superar) el precio medio de enero. Dicho esto, es mi primera apuesta y mi bola de cristal aún esta un poco oscura, así que… no seáis muy malos conmigo!!!</t>
  </si>
  <si>
    <t>23,7</t>
  </si>
  <si>
    <t>Mes también volatil según meteo, pero con valor bajísimo! tenemos embalses bastante llenos, demanda a la baja, gas barato, y sobre todo muchos vertidos por mucha solar y agua. Según el viento, tendríamos un mínimo de 50% de horas con vertido, y hasta un 85% de las horas marcadas por renovables. Esto me lleva a un rango absoluto de 16 a 42€, con valor medio para la meteorología esperada de 23,7€. Mes divertido...</t>
  </si>
  <si>
    <t>Colón Cortegoso</t>
  </si>
  <si>
    <t>20,4</t>
  </si>
  <si>
    <t>Modelo propio.</t>
  </si>
  <si>
    <t>JaviColón</t>
  </si>
  <si>
    <t>55</t>
  </si>
  <si>
    <t>47,72</t>
  </si>
  <si>
    <t>Alcaide Méndez</t>
  </si>
  <si>
    <t>35.36</t>
  </si>
  <si>
    <t>AlcaideMendez</t>
  </si>
  <si>
    <t>36,66</t>
  </si>
  <si>
    <t>JaimeLarra</t>
  </si>
  <si>
    <t>47,67</t>
  </si>
  <si>
    <t xml:space="preserve">Marcos Fortea Escolano </t>
  </si>
  <si>
    <t>33,31</t>
  </si>
  <si>
    <t>Después de espiar a mi vecino que estudió en un colegio de pago he llegado a la conclusión que haremos caso a los entendidos, dejaremos los temas ortodoxos y del corazón.</t>
  </si>
  <si>
    <t>J.Mateo</t>
  </si>
  <si>
    <t>45,01</t>
  </si>
  <si>
    <t xml:space="preserve">Fernando </t>
  </si>
  <si>
    <t>27,24</t>
  </si>
  <si>
    <t xml:space="preserve">agua!! </t>
  </si>
  <si>
    <t>Voy apostar todo al "5"💪💪</t>
  </si>
  <si>
    <t xml:space="preserve">Gladys </t>
  </si>
  <si>
    <t>26,5</t>
  </si>
  <si>
    <t>Yorch</t>
  </si>
  <si>
    <t>35,33</t>
  </si>
  <si>
    <t>Poco razonamiento porque hace tiempo que el razonamiento no funciona 😜</t>
  </si>
  <si>
    <t>arualgo</t>
  </si>
  <si>
    <t>61.68</t>
  </si>
  <si>
    <t xml:space="preserve">Pura potra, cada vez lo llevo peor!! </t>
  </si>
  <si>
    <t>32</t>
  </si>
  <si>
    <t>Javi Pérez</t>
  </si>
  <si>
    <t>Eduardo Caro Eduardo Caro</t>
  </si>
  <si>
    <t>Pablo Baigorria Kobylinski</t>
  </si>
  <si>
    <t>Javier Colón Cortegoso</t>
  </si>
  <si>
    <t>Carlos Alcaide Méndez</t>
  </si>
  <si>
    <t>marzo</t>
  </si>
  <si>
    <t>55,69</t>
  </si>
  <si>
    <t>MARZO</t>
  </si>
  <si>
    <t>Precio RE</t>
  </si>
  <si>
    <t>Precio medio RE</t>
  </si>
  <si>
    <t>Precio TCC</t>
  </si>
  <si>
    <t>Precio medio TCC</t>
  </si>
  <si>
    <t>Precio HI</t>
  </si>
  <si>
    <t>Precio medio HI</t>
  </si>
  <si>
    <t>Apellidos</t>
  </si>
  <si>
    <t>min diario 2024</t>
  </si>
  <si>
    <t>demanda GWh</t>
  </si>
  <si>
    <t>suma</t>
  </si>
  <si>
    <t>media</t>
  </si>
  <si>
    <t>demanda grafico</t>
  </si>
  <si>
    <t>33,33</t>
  </si>
  <si>
    <t>Esta vez me lo ha chivado Galán</t>
  </si>
  <si>
    <t>40</t>
  </si>
  <si>
    <t>Pura potra!!. Pero vamos a tratar de darle algo de "ciencia". Dejamos marzo ventoso (pooles históticamente bajos por la eólica) abril lluvioso traerá agua, la hidraúlica mantendrá niveles bajos de pool, pero el apuntamiento de los ciclos puede hacer que suba el pool</t>
  </si>
  <si>
    <t>22,8</t>
  </si>
  <si>
    <t xml:space="preserve"> a ver si no me paso!</t>
  </si>
  <si>
    <t>47,45</t>
  </si>
  <si>
    <t>23,32</t>
  </si>
  <si>
    <t>Razonar me ha servido de poco, así que toca jugársela 🎲</t>
  </si>
  <si>
    <t>40,25</t>
  </si>
  <si>
    <t>A VOLEO</t>
  </si>
  <si>
    <t>19,91</t>
  </si>
  <si>
    <t>Poca demanda más mucho viento, sol y agua</t>
  </si>
  <si>
    <t>Salfmor</t>
  </si>
  <si>
    <t>37,55€/MWh</t>
  </si>
  <si>
    <t>24,71</t>
  </si>
  <si>
    <t>23,5</t>
  </si>
  <si>
    <t>25,9</t>
  </si>
  <si>
    <t>23,89</t>
  </si>
  <si>
    <t>Operador senior</t>
  </si>
  <si>
    <t>44,5</t>
  </si>
  <si>
    <t>28,5</t>
  </si>
  <si>
    <t>Pura potra (como siempre)</t>
  </si>
  <si>
    <t>27,6</t>
  </si>
  <si>
    <t>Parro Cortés</t>
  </si>
  <si>
    <t>8,27</t>
  </si>
  <si>
    <t>Agua!</t>
  </si>
  <si>
    <t>88.90</t>
  </si>
  <si>
    <t xml:space="preserve">Ni puta idea </t>
  </si>
  <si>
    <t xml:space="preserve">José Manuel Otero López </t>
  </si>
  <si>
    <t>Álvaro</t>
  </si>
  <si>
    <t>Barahona San Marcos</t>
  </si>
  <si>
    <t>Barahona</t>
  </si>
  <si>
    <t>22,5</t>
  </si>
  <si>
    <t>Daniel</t>
  </si>
  <si>
    <t>Reganon</t>
  </si>
  <si>
    <t>17,33</t>
  </si>
  <si>
    <t>La producción fotovoltaica y eólica saturará el valle de la tarde y de la madrugada con precios similares a los de marzo.</t>
  </si>
  <si>
    <t>20,5</t>
  </si>
  <si>
    <t xml:space="preserve">Mes precido a marzo. Espero algo menos de agua, pero menor demanda cuando pase este frío que pela, y también más solar cuando paren las lluvias. Además hay previsión de mucho viento los primeros 10 días, y los embalses del norte están muy llenos, con que si hay buen viento también a finales de mes bajaríamos algo de los 20€, lo cual es muy posible. Si paran lluvia y viento en 10 días, podríamos subir hacia los 20 altos. El gas lo espero estable bajo los 30€, con industria que vuelve pero China y Alemania en recesión. Mi apuesta central, 20,5€, algo más bajo que OMIP. </t>
  </si>
  <si>
    <t>Oscar</t>
  </si>
  <si>
    <t>23,9</t>
  </si>
  <si>
    <t>22</t>
  </si>
  <si>
    <t>24,20 €/MWh</t>
  </si>
  <si>
    <t>JaviColon</t>
  </si>
  <si>
    <t>19,5</t>
  </si>
  <si>
    <t>24,23</t>
  </si>
  <si>
    <t xml:space="preserve">Poco que añadir... </t>
  </si>
  <si>
    <t>18,5</t>
  </si>
  <si>
    <t>En caída libre</t>
  </si>
  <si>
    <t>Daniel Reganon</t>
  </si>
  <si>
    <t>Sergio Alfonso</t>
  </si>
  <si>
    <t>Roberto Parro Cortés</t>
  </si>
  <si>
    <t>Álvaro Barahona San Marcos</t>
  </si>
  <si>
    <t>ABRIL</t>
  </si>
  <si>
    <t>SUPERPORRA OMIE 2024</t>
  </si>
  <si>
    <t>ABRIL 2024</t>
  </si>
  <si>
    <t>22,51</t>
  </si>
  <si>
    <t>33,34</t>
  </si>
  <si>
    <t>23,51</t>
  </si>
  <si>
    <t>abril</t>
  </si>
  <si>
    <t>Lopez Oliver</t>
  </si>
  <si>
    <t>min</t>
  </si>
  <si>
    <t>porras</t>
  </si>
  <si>
    <t>Etiquetas de columna</t>
  </si>
  <si>
    <t>Número de participaciones #miniporras</t>
  </si>
  <si>
    <t>Total</t>
  </si>
  <si>
    <t>contar</t>
  </si>
  <si>
    <t>Optan al MVPStarPower2024</t>
  </si>
  <si>
    <t>Clasificación</t>
  </si>
  <si>
    <t>Alfonso Zárate</t>
  </si>
  <si>
    <t>Gallego Bolaños</t>
  </si>
  <si>
    <t>May 2024</t>
  </si>
  <si>
    <t>18,76</t>
  </si>
  <si>
    <t>Aunque los futuros dan a 25€, y viendo el paronama actual, tiro la moneda al aire, un poc viendo que las previsiones son buenas, tanto para eólica como para FV, y considerando baja demanda en ciertos festivos. Aún así, me espero cualquier cosa.</t>
  </si>
  <si>
    <t>GalleGonco</t>
  </si>
  <si>
    <t>25</t>
  </si>
  <si>
    <t>35</t>
  </si>
  <si>
    <t>Creo que tendrá que empezar a subir el pool. Los embalses empiezan la curva descendente. Y el gas sigue alto. Aún no estamos en máximos solares. Habrá muchísimo apuntamiento. Las medias no son representativas</t>
  </si>
  <si>
    <t>15,5</t>
  </si>
  <si>
    <t>No afloja la lluvia y el viento.</t>
  </si>
  <si>
    <t>35,1</t>
  </si>
  <si>
    <t>Y mis cojones 33</t>
  </si>
  <si>
    <t>Tendremos un mes de mayo marcado por una alta producción fotovoltaica y eólica. El precio fluctuará en las horas no fotovoltaicas y dependerá en gran medida de las precipitaciones, estando en un año tan húmedo las previsiones tiran al alza la producción hidráulica.</t>
  </si>
  <si>
    <t>29,6</t>
  </si>
  <si>
    <t>Después de calentarme la cabeza y perder más pelo si cabe, he lanzado las bolas al aire y ya... Tenía varios cálculos y suposiciones, en la parte más alta 35,82€ debido a el descenso de sol y viento por la meteo que estamos teniendo. En el lado más bajo en torno a los 19€ por las lluvias y la hidro abundante. Sigo con mis pruebas, si fallan los precios a futuros, que se supone que son los listos, yo que soy un aprendiz de todo y maestro de lo mío, me llevaré el premio de un pito o una pelota. Muchas gracias por entretenerme y enseñar este apasionado mundo.</t>
  </si>
  <si>
    <t>Jose Antonio</t>
  </si>
  <si>
    <t>Quidiello Antuña</t>
  </si>
  <si>
    <t>38,14</t>
  </si>
  <si>
    <t>No hay una altísima previsión de eólica en los primeros días de mayo, eso puede hacer subir el precio sobre todo en la punta de la noche, haciendo que el promedio quizá suba un poco respecto a las últimas semanas...además bastantes indisponibilidades programadas (es época de ello). Parece que en mayo, de media, pueda haber más horas con precio marcado por CCGTs</t>
  </si>
  <si>
    <t>Jose Quidiello</t>
  </si>
  <si>
    <t>35,53</t>
  </si>
  <si>
    <t>Esta vez me lo ha chivado el primo de un amigo de Bogas</t>
  </si>
  <si>
    <t>26,62</t>
  </si>
  <si>
    <t>El gas nos fastidiará al alza¿? Mi previsión primeros 10 días me daba 26,88€</t>
  </si>
  <si>
    <t>28,1</t>
  </si>
  <si>
    <t>26,15</t>
  </si>
  <si>
    <t>Básicamente, intuición femenina.</t>
  </si>
  <si>
    <t>27,57€/MWh</t>
  </si>
  <si>
    <t>Los caminos del POOL son como los dados...</t>
  </si>
  <si>
    <t>37,8</t>
  </si>
  <si>
    <t>24,39</t>
  </si>
  <si>
    <t xml:space="preserve">Alex </t>
  </si>
  <si>
    <t>21,6</t>
  </si>
  <si>
    <t>a ver si mayo me trae suerte!</t>
  </si>
  <si>
    <t>SERGIO</t>
  </si>
  <si>
    <t>LOPEZ OLIVER</t>
  </si>
  <si>
    <t>35,23</t>
  </si>
  <si>
    <t xml:space="preserve">SERGIO LOPEZ </t>
  </si>
  <si>
    <t>7,5</t>
  </si>
  <si>
    <t>Nelson</t>
  </si>
  <si>
    <t>Hernandez Hernandez</t>
  </si>
  <si>
    <t>27,25</t>
  </si>
  <si>
    <t>30</t>
  </si>
  <si>
    <t>22,02</t>
  </si>
  <si>
    <t>Tirando dados</t>
  </si>
  <si>
    <t>Miguel</t>
  </si>
  <si>
    <t>Roa Prieto</t>
  </si>
  <si>
    <t>33,36</t>
  </si>
  <si>
    <t>MiguelRoa</t>
  </si>
  <si>
    <t>48.60</t>
  </si>
  <si>
    <t xml:space="preserve">Jajajaja pura potra ,no me desgasto en pensar </t>
  </si>
  <si>
    <t>José Manuel otero</t>
  </si>
  <si>
    <t>29,69€/MWh</t>
  </si>
  <si>
    <t>Voy a apostar menos de 30 porque creo que va a subir porque estos últimos días hai un ascenso pero no creo que llegue a 40€/MWh.(Jajaja, no se porque de razonamiento porque al final el mercado se va comportar como le de la gana🤣)bir pero no creo que llegue a los 40€</t>
  </si>
  <si>
    <t>Nistal Prieto</t>
  </si>
  <si>
    <t>18,12</t>
  </si>
  <si>
    <t>Ligero incremento respecto a abril pero con una tendencia similar, apoyada en una demanda estable, aún mayor contribución solar y embalses a una capacidad parecida a abril. Un pequeño aumento en los precios del gas es lo que tira un poco al alza el precio respecto a abril</t>
  </si>
  <si>
    <t>Nistal</t>
  </si>
  <si>
    <t>8,88</t>
  </si>
  <si>
    <t>Jpc</t>
  </si>
  <si>
    <t>33,35</t>
  </si>
  <si>
    <t>Me gusta el 33 (y a Fernando Alonso también)</t>
  </si>
  <si>
    <t>Jiménez-Castillo</t>
  </si>
  <si>
    <t>Sol+previsión de lluvias</t>
  </si>
  <si>
    <t xml:space="preserve">G. JIMÉNEZ </t>
  </si>
  <si>
    <t>Iñaki</t>
  </si>
  <si>
    <t>Moriana García</t>
  </si>
  <si>
    <t>31,88</t>
  </si>
  <si>
    <t>28,62</t>
  </si>
  <si>
    <t>la segunda quincena dará que hablar, primera quincena precios de 20€ aprox, Segunda en 35-40€</t>
  </si>
  <si>
    <t>Martínez García</t>
  </si>
  <si>
    <t>13,1</t>
  </si>
  <si>
    <t>La edad de mis hijos</t>
  </si>
  <si>
    <t>Charlie</t>
  </si>
  <si>
    <t>41,1</t>
  </si>
  <si>
    <t>Martin</t>
  </si>
  <si>
    <t>34,47</t>
  </si>
  <si>
    <t>CarlosMG</t>
  </si>
  <si>
    <t>11,11</t>
  </si>
  <si>
    <t>🎲</t>
  </si>
  <si>
    <t>34,21</t>
  </si>
  <si>
    <t>Me lo ha dicho el ratoncito Pérez</t>
  </si>
  <si>
    <t xml:space="preserve">Carlos callejón </t>
  </si>
  <si>
    <t>30,7</t>
  </si>
  <si>
    <t>La bola de cristal</t>
  </si>
  <si>
    <t>Jose Antonio Quidiello Antuña</t>
  </si>
  <si>
    <t>Nelson Hernandez Hernandez</t>
  </si>
  <si>
    <t>Miguel Roa Prieto</t>
  </si>
  <si>
    <t>Sergio Nistal Prieto</t>
  </si>
  <si>
    <t>Gabini Jiménez-Castillo</t>
  </si>
  <si>
    <t>Iñaki Moriana García</t>
  </si>
  <si>
    <t>Carlos Martínez García</t>
  </si>
  <si>
    <t>Carlos Martin</t>
  </si>
  <si>
    <t>Sergio Gallego Bolaños</t>
  </si>
  <si>
    <t>MAYO</t>
  </si>
  <si>
    <t>MAYO 2024</t>
  </si>
  <si>
    <t>Un soplo de viento fresco</t>
  </si>
  <si>
    <t>Mes de transición hacia el verano, en que desaparecerán muchos precios 0. Bajará la lluvia, bajará posiblemente algo el viento, y sube la demanda en verano por aires acondicionados. Varias cuencas están muy altas, pero con 2 nucleares en recarga y poco viento, deberían poder desembalsar más en horas punta que en horas valle. Seguirá la volatilidad según las lluvias y tensiones geopolíticas sobre el precio del gas, que ahora es francamente inmodelizable, pero espero un spot ligeramente superior a OMIP. Me salen casi todos mis escenarios entre 25 y 35€, con extremos por encima de 21€ y por debajo de 42€. Mi apuesta central, 30,0€.</t>
  </si>
  <si>
    <t>24,93</t>
  </si>
  <si>
    <t>mayo</t>
  </si>
  <si>
    <t>30,01</t>
  </si>
  <si>
    <t>columna</t>
  </si>
  <si>
    <t>col. Tabla</t>
  </si>
  <si>
    <t>28,3</t>
  </si>
  <si>
    <t>Gorka</t>
  </si>
  <si>
    <t>Arratibel Pastor</t>
  </si>
  <si>
    <t>los datos de esta tabla vienen de la hoja "prediccion omie" hoja "omie_dinamic_dia" tabla "t_horas_marg" (la azul superior)</t>
  </si>
  <si>
    <t>%_desvio</t>
  </si>
  <si>
    <t>total dias n+r</t>
  </si>
  <si>
    <t>promedio n+r buscado</t>
  </si>
  <si>
    <t>suma x1-xr</t>
  </si>
  <si>
    <t>media x</t>
  </si>
  <si>
    <t>promedio a comprobar</t>
  </si>
  <si>
    <t>inferior</t>
  </si>
  <si>
    <t>superior</t>
  </si>
  <si>
    <t>apuesta</t>
  </si>
  <si>
    <t>dif s/virtual</t>
  </si>
  <si>
    <t>dias totales</t>
  </si>
  <si>
    <t>dias transcurridos</t>
  </si>
  <si>
    <t>dias faltantes</t>
  </si>
  <si>
    <t>suma pool dias transcurridos</t>
  </si>
  <si>
    <t>media pool transcurridos</t>
  </si>
  <si>
    <t>suma resto</t>
  </si>
  <si>
    <t>Participante</t>
  </si>
  <si>
    <t>media omie</t>
  </si>
  <si>
    <t>dias trans.</t>
  </si>
  <si>
    <t>dias rest.</t>
  </si>
  <si>
    <t>mes</t>
  </si>
  <si>
    <t>SUPERPORRAOMIE2024</t>
  </si>
  <si>
    <t>Apuesta Virtual MVP</t>
  </si>
  <si>
    <t>automatizar</t>
  </si>
  <si>
    <t>límite sup</t>
  </si>
  <si>
    <t>limite inf</t>
  </si>
  <si>
    <t>omie inf</t>
  </si>
  <si>
    <t>omie sup</t>
  </si>
  <si>
    <t>Jun 2024</t>
  </si>
  <si>
    <t>42,25</t>
  </si>
  <si>
    <t>41,91</t>
  </si>
  <si>
    <t>Perdón por el cambio a última hora, pero como dice la canción "Me estoy volviendo loco". En un principio descarté parte de generación eólica porque junio suele ser de vientos flojos a nulos... Pero, según ECMWF habrá viento, por lo menos la primera quincena, lo que me lleva a ir haciendo unos cálculos un poco diferentes que no sé ciertamente si me llevarán a buen puerto, voy a probar y bajo mis expectativas alcistas. Como la otra vez, tres bolas: 37€ la bola baja, 42€ la bola centrista y la de 54€ era la cara con poco viento y altas temperaturas. Que Dios reparta suerte 🍀</t>
  </si>
  <si>
    <t>Fernandez Maza</t>
  </si>
  <si>
    <t>43,28</t>
  </si>
  <si>
    <t>El precio medio mensual de la electricidad en junio puede aumentar con respecto a mayo debido a un incremento en la demanda por las temperaturas más altas (aire acondicionado) y el inicio de la temporada turística, así como a posibles restricciones en la oferta de energía. Mayores precios hidráulica.</t>
  </si>
  <si>
    <t>Javier Maza</t>
  </si>
  <si>
    <t>55,33</t>
  </si>
  <si>
    <t>Pérez Carrasco</t>
  </si>
  <si>
    <t>38,5</t>
  </si>
  <si>
    <t>Dani</t>
  </si>
  <si>
    <t>52,95</t>
  </si>
  <si>
    <t>Los caminos del POOL son .....</t>
  </si>
  <si>
    <t>29,45</t>
  </si>
  <si>
    <t xml:space="preserve">Dados mágicos </t>
  </si>
  <si>
    <t xml:space="preserve">Jonathan </t>
  </si>
  <si>
    <t>43,2</t>
  </si>
  <si>
    <t>A JUGARRRRRRRRRRRRRRRRRRRR</t>
  </si>
  <si>
    <t>SERGIO LOPEZ</t>
  </si>
  <si>
    <t>42.1</t>
  </si>
  <si>
    <t>48,01</t>
  </si>
  <si>
    <t>Gonzalez Onieva Johansson</t>
  </si>
  <si>
    <t>31,85</t>
  </si>
  <si>
    <t>Estimo una desviación de los futuros del mes de junio de un 35 %</t>
  </si>
  <si>
    <t>Jorge Onieva</t>
  </si>
  <si>
    <t>García Sanz</t>
  </si>
  <si>
    <t>43,73</t>
  </si>
  <si>
    <t>Torgio</t>
  </si>
  <si>
    <t>46,5</t>
  </si>
  <si>
    <t>Crystal Ball optimizer</t>
  </si>
  <si>
    <t>35,15</t>
  </si>
  <si>
    <t xml:space="preserve">El valle de la tarde H12 a H17 se desplomara con la generación fotovoltaica, estaremos cerca de los 5 euros de media mensual. Finalizará recarga nuclear y la hidráulica será finalmente la que decida el precio en la mayoría de las horas no solares. </t>
  </si>
  <si>
    <t>44,44</t>
  </si>
  <si>
    <t>Esperemos que no suba más....</t>
  </si>
  <si>
    <t>Ignacio</t>
  </si>
  <si>
    <t>Irigoyen</t>
  </si>
  <si>
    <t>35.88</t>
  </si>
  <si>
    <t>Nachoiri</t>
  </si>
  <si>
    <t>54,39</t>
  </si>
  <si>
    <t>Basándonos en el MEFF más una pizquita por el caloret que predicen para este mes de junio.</t>
  </si>
  <si>
    <t xml:space="preserve">J.Mateo </t>
  </si>
  <si>
    <t>Mismos argumentos que en mayo</t>
  </si>
  <si>
    <t>Cuadrado</t>
  </si>
  <si>
    <t>60,31</t>
  </si>
  <si>
    <t>Precio medio cotizacion jun24 en Omip</t>
  </si>
  <si>
    <t>Paco2</t>
  </si>
  <si>
    <t>Esta vez me lo ha chivado Reynés</t>
  </si>
  <si>
    <t>Víctor</t>
  </si>
  <si>
    <t>Baeschlin Sánchez</t>
  </si>
  <si>
    <t>63,57</t>
  </si>
  <si>
    <t>Tirando por arriba de los futuros. Se viene un mes caluroso con poco viento y lluvias y el gas tensionado por la situación geopolítica</t>
  </si>
  <si>
    <t>Baeschlin</t>
  </si>
  <si>
    <t>53,2</t>
  </si>
  <si>
    <t>46,66</t>
  </si>
  <si>
    <t>Aceituno López</t>
  </si>
  <si>
    <t>99,95</t>
  </si>
  <si>
    <t>Lógica no hay pero a precios altos de energía, las instalaciones fotovoltaicas de autoconsumo son más rentables. Hay que ver por el negocio.</t>
  </si>
  <si>
    <t>Chuso</t>
  </si>
  <si>
    <t>39,93</t>
  </si>
  <si>
    <t>43,71</t>
  </si>
  <si>
    <t>Irá bajando la hidro y a su vez el viento, será un mes de transición en el precio antes de los precios altos del verano, yo creo!</t>
  </si>
  <si>
    <t>38,9</t>
  </si>
  <si>
    <t>54,22</t>
  </si>
  <si>
    <t>Jose Manuel otero lopez</t>
  </si>
  <si>
    <t>Como todos los meses: pura potra</t>
  </si>
  <si>
    <t>Lopez Fernandez</t>
  </si>
  <si>
    <t>Gabino</t>
  </si>
  <si>
    <t>53.4</t>
  </si>
  <si>
    <t>58,88</t>
  </si>
  <si>
    <t>Lazaro</t>
  </si>
  <si>
    <t>56,3</t>
  </si>
  <si>
    <t>Javils</t>
  </si>
  <si>
    <t>54,56</t>
  </si>
  <si>
    <t>69</t>
  </si>
  <si>
    <t>53,21</t>
  </si>
  <si>
    <t>poca viento y menos agua</t>
  </si>
  <si>
    <t>Carlos callejón</t>
  </si>
  <si>
    <t>86,46</t>
  </si>
  <si>
    <t xml:space="preserve">Iñaki </t>
  </si>
  <si>
    <t>52,5MWh</t>
  </si>
  <si>
    <t>Voy a subir apuesta al 5🤣🤣🤣en Junio</t>
  </si>
  <si>
    <t>50,8</t>
  </si>
  <si>
    <t>🎲 Que espero que me salga mejor que el mes anterior…</t>
  </si>
  <si>
    <t>Tiro de datos.</t>
  </si>
  <si>
    <t>51,49</t>
  </si>
  <si>
    <t>55,55</t>
  </si>
  <si>
    <t>Ricardo</t>
  </si>
  <si>
    <t>Estevez</t>
  </si>
  <si>
    <t>55,32</t>
  </si>
  <si>
    <t>Nadie sabe nada</t>
  </si>
  <si>
    <t>Rich</t>
  </si>
  <si>
    <t>Paco Luis</t>
  </si>
  <si>
    <t>Pérez Zarco</t>
  </si>
  <si>
    <t>56,2</t>
  </si>
  <si>
    <t>Pacozarco</t>
  </si>
  <si>
    <t>59</t>
  </si>
  <si>
    <t>43,83</t>
  </si>
  <si>
    <t>55,3</t>
  </si>
  <si>
    <t>Javier Fernandez Maza</t>
  </si>
  <si>
    <t>Daniel Pérez Carrasco</t>
  </si>
  <si>
    <t>Roberto Cavero Garcia</t>
  </si>
  <si>
    <t>Jorge Gonzalez Onieva Johansson</t>
  </si>
  <si>
    <t>Sergio García Sanz</t>
  </si>
  <si>
    <t>Ignacio Irigoyen</t>
  </si>
  <si>
    <t>Paco Cuadrado</t>
  </si>
  <si>
    <t>Víctor Baeschlin Sánchez</t>
  </si>
  <si>
    <t>Jesús Aceituno López</t>
  </si>
  <si>
    <t>Alejandro Lopez Fernandez</t>
  </si>
  <si>
    <t>Gabino Jiménez-Castillo</t>
  </si>
  <si>
    <t>Javier Lazaro</t>
  </si>
  <si>
    <t>Ricardo Estevez</t>
  </si>
  <si>
    <t>Paco Luis Pérez Zarco</t>
  </si>
  <si>
    <t>Gorka Arratibel Pastor</t>
  </si>
  <si>
    <t>JUNIO</t>
  </si>
  <si>
    <t>JUNIO 2024</t>
  </si>
  <si>
    <t>44,45</t>
  </si>
  <si>
    <t>Jun 2024 - old</t>
  </si>
  <si>
    <t>53,41</t>
  </si>
  <si>
    <t>47,82</t>
  </si>
  <si>
    <t>X-Mes: Futuros de días pasados...</t>
  </si>
  <si>
    <t>junio</t>
  </si>
  <si>
    <t>Juan Luis Jarillo Gomez</t>
  </si>
  <si>
    <t>El precio del CO2 tira fuerte</t>
  </si>
  <si>
    <t>Juan Luis Jarillo</t>
  </si>
  <si>
    <t>Jorge González Arconada</t>
  </si>
  <si>
    <t xml:space="preserve">Según evolución de alza de precios y media anteriores ejercicios </t>
  </si>
  <si>
    <t>Jorge koneqta</t>
  </si>
  <si>
    <t>Los precios deberían de ir subiendo</t>
  </si>
  <si>
    <t>Mes de quitarse el sayo. Espero que sigan bajando las lluvias y el desembalse, y bajará el viento, a la par que sube la demanda sobre  todo en las horas de sol por aire acondicionado. Pasaremos a ver precios bajos con menos frecuencia, sobre todo fuera de las horas de sol, y vuelta a quemar gas que está de nuevo muy caro. Me sale un rango esperado de 45 a 58, y rango absoluto en caso de mucho viento o lluvias podríamos bajar hasta 40€. Veo OMIP infraestimando, y mi expectativa central unos 8€ por encima de OMIP. Mes de días muy baratos cuando sople viento como los 3 primeros-, y días muy caros los días de calma chicha, sobre todo a final de mes cuando baje el agua.</t>
  </si>
  <si>
    <t>mediana</t>
  </si>
  <si>
    <t>desvest.n</t>
  </si>
  <si>
    <t>distrib n</t>
  </si>
  <si>
    <t>acum</t>
  </si>
  <si>
    <t>#N/A</t>
  </si>
  <si>
    <t>meses</t>
  </si>
  <si>
    <t>Hugo</t>
  </si>
  <si>
    <t>Pimiento</t>
  </si>
  <si>
    <t>González Arconada</t>
  </si>
  <si>
    <t>Jul 2024</t>
  </si>
  <si>
    <t>43,4</t>
  </si>
  <si>
    <t>Sube la demanda y control de frecuencia en horas punta de producción y de demanda</t>
  </si>
  <si>
    <t>52,24</t>
  </si>
  <si>
    <t>63,18</t>
  </si>
  <si>
    <t>42,11</t>
  </si>
  <si>
    <t>39,59</t>
  </si>
  <si>
    <t>49,29</t>
  </si>
  <si>
    <t>51,4</t>
  </si>
  <si>
    <t>cuentan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</si>
</sst>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0000"/>
    <numFmt numFmtId="166" formatCode="0.00000000"/>
    <numFmt numFmtId="167" formatCode="0.000000000"/>
  </numFmts>
  <fonts count="23" x14ac:knownFonts="1">
    <font>
      <sz val="9"/>
      <color theme="1"/>
      <name val="Arial"/>
      <family val="2"/>
    </font>
    <font>
      <sz val="9"/>
      <name val="Arial"/>
      <family val="2"/>
    </font>
    <font>
      <sz val="9"/>
      <color theme="1"/>
      <name val="Arial"/>
      <family val="2"/>
    </font>
    <font>
      <b/>
      <sz val="9"/>
      <color theme="0"/>
      <name val="Arial"/>
      <family val="2"/>
    </font>
    <font>
      <sz val="9"/>
      <color rgb="FF000000"/>
      <name val="Arial"/>
      <family val="2"/>
    </font>
    <font>
      <b/>
      <sz val="9"/>
      <color theme="1"/>
      <name val="Arial"/>
      <family val="2"/>
    </font>
    <font>
      <b/>
      <sz val="14"/>
      <color theme="1"/>
      <name val="Arial"/>
      <family val="2"/>
    </font>
    <font>
      <sz val="12"/>
      <color theme="1"/>
      <name val="Arial"/>
      <family val="2"/>
    </font>
    <font>
      <sz val="20"/>
      <color theme="1"/>
      <name val="Arial"/>
      <family val="2"/>
    </font>
    <font>
      <sz val="8"/>
      <name val="Arial"/>
      <family val="2"/>
    </font>
    <font>
      <sz val="9"/>
      <color rgb="FFFF0000"/>
      <name val="Arial"/>
      <family val="2"/>
    </font>
    <font>
      <b/>
      <sz val="26"/>
      <color theme="0"/>
      <name val="Arial"/>
      <family val="2"/>
    </font>
    <font>
      <b/>
      <sz val="24"/>
      <color theme="1"/>
      <name val="Arial"/>
      <family val="2"/>
    </font>
    <font>
      <b/>
      <sz val="24"/>
      <color theme="1"/>
      <name val="Forte"/>
      <family val="4"/>
    </font>
    <font>
      <b/>
      <sz val="10"/>
      <color theme="1"/>
      <name val="Arial"/>
      <family val="2"/>
    </font>
    <font>
      <b/>
      <sz val="24"/>
      <color theme="1"/>
      <name val="Impact"/>
      <family val="2"/>
    </font>
    <font>
      <b/>
      <sz val="36"/>
      <color theme="1"/>
      <name val="Impact"/>
      <family val="2"/>
    </font>
    <font>
      <sz val="9"/>
      <color theme="0"/>
      <name val="Arial"/>
      <family val="2"/>
    </font>
    <font>
      <b/>
      <sz val="11"/>
      <color theme="1"/>
      <name val="Arial"/>
      <family val="2"/>
    </font>
    <font>
      <b/>
      <sz val="9"/>
      <color theme="1" tint="0.499984740745262"/>
      <name val="Arial"/>
      <family val="2"/>
    </font>
    <font>
      <sz val="9"/>
      <color theme="1" tint="0.499984740745262"/>
      <name val="Arial"/>
      <family val="2"/>
    </font>
    <font>
      <b/>
      <sz val="28"/>
      <color theme="1"/>
      <name val="Impact"/>
      <family val="2"/>
    </font>
    <font>
      <sz val="9"/>
      <color rgb="FFC00000"/>
      <name val="Arial"/>
      <family val="2"/>
    </font>
  </fonts>
  <fills count="17">
    <fill>
      <patternFill patternType="none"/>
    </fill>
    <fill>
      <patternFill patternType="gray125"/>
    </fill>
    <fill>
      <patternFill patternType="solid">
        <fgColor theme="4" tint="0.79998168889431442"/>
        <bgColor indexed="64"/>
      </patternFill>
    </fill>
    <fill>
      <patternFill patternType="solid">
        <fgColor rgb="FFC00000"/>
        <bgColor indexed="64"/>
      </patternFill>
    </fill>
    <fill>
      <patternFill patternType="solid">
        <fgColor rgb="FFFFFF00"/>
        <bgColor indexed="64"/>
      </patternFill>
    </fill>
    <fill>
      <patternFill patternType="solid">
        <fgColor theme="5" tint="0.79998168889431442"/>
        <bgColor indexed="64"/>
      </patternFill>
    </fill>
    <fill>
      <patternFill patternType="solid">
        <fgColor theme="7"/>
        <bgColor indexed="64"/>
      </patternFill>
    </fill>
    <fill>
      <patternFill patternType="solid">
        <fgColor rgb="FFFF0000"/>
        <bgColor indexed="64"/>
      </patternFill>
    </fill>
    <fill>
      <patternFill patternType="solid">
        <fgColor theme="5"/>
        <bgColor indexed="64"/>
      </patternFill>
    </fill>
    <fill>
      <patternFill patternType="solid">
        <fgColor theme="0" tint="-4.9989318521683403E-2"/>
        <bgColor indexed="64"/>
      </patternFill>
    </fill>
    <fill>
      <patternFill patternType="solid">
        <fgColor theme="4"/>
        <bgColor indexed="64"/>
      </patternFill>
    </fill>
    <fill>
      <patternFill patternType="solid">
        <fgColor rgb="FF00B0F0"/>
        <bgColor indexed="64"/>
      </patternFill>
    </fill>
    <fill>
      <patternFill patternType="solid">
        <fgColor theme="9" tint="0.79998168889431442"/>
        <bgColor indexed="64"/>
      </patternFill>
    </fill>
    <fill>
      <patternFill patternType="solid">
        <fgColor rgb="FF92D050"/>
        <bgColor indexed="64"/>
      </patternFill>
    </fill>
    <fill>
      <patternFill patternType="solid">
        <fgColor theme="9" tint="0.39997558519241921"/>
        <bgColor indexed="64"/>
      </patternFill>
    </fill>
    <fill>
      <patternFill patternType="solid">
        <fgColor theme="6" tint="0.59999389629810485"/>
        <bgColor theme="6" tint="0.59999389629810485"/>
      </patternFill>
    </fill>
    <fill>
      <patternFill patternType="solid">
        <fgColor theme="6" tint="0.79998168889431442"/>
        <bgColor theme="6" tint="0.79998168889431442"/>
      </patternFill>
    </fill>
  </fills>
  <borders count="25">
    <border>
      <left/>
      <right/>
      <top/>
      <bottom/>
      <diagonal/>
    </border>
    <border>
      <left/>
      <right style="thin">
        <color theme="0"/>
      </right>
      <top/>
      <bottom style="thick">
        <color theme="0"/>
      </bottom>
      <diagonal/>
    </border>
    <border>
      <left style="thin">
        <color theme="0"/>
      </left>
      <right/>
      <top/>
      <bottom style="thick">
        <color theme="0"/>
      </bottom>
      <diagonal/>
    </border>
    <border>
      <left/>
      <right style="thin">
        <color theme="0"/>
      </right>
      <top style="thin">
        <color theme="0"/>
      </top>
      <bottom style="thin">
        <color theme="0"/>
      </bottom>
      <diagonal/>
    </border>
    <border>
      <left/>
      <right/>
      <top/>
      <bottom style="thick">
        <color theme="0"/>
      </bottom>
      <diagonal/>
    </border>
    <border>
      <left/>
      <right style="thin">
        <color theme="0"/>
      </right>
      <top/>
      <bottom style="thin">
        <color theme="0"/>
      </bottom>
      <diagonal/>
    </border>
    <border>
      <left/>
      <right/>
      <top/>
      <bottom style="thin">
        <color theme="0" tint="-0.34998626667073579"/>
      </bottom>
      <diagonal/>
    </border>
    <border>
      <left/>
      <right style="thin">
        <color theme="0" tint="-0.249977111117893"/>
      </right>
      <top/>
      <bottom/>
      <diagonal/>
    </border>
    <border>
      <left/>
      <right style="thin">
        <color theme="0" tint="-0.249977111117893"/>
      </right>
      <top/>
      <bottom style="thin">
        <color theme="0" tint="-0.249977111117893"/>
      </bottom>
      <diagonal/>
    </border>
    <border>
      <left/>
      <right/>
      <top/>
      <bottom style="thin">
        <color theme="0" tint="-0.249977111117893"/>
      </bottom>
      <diagonal/>
    </border>
    <border>
      <left style="thin">
        <color theme="0" tint="-0.249977111117893"/>
      </left>
      <right/>
      <top style="thin">
        <color theme="0" tint="-0.249977111117893"/>
      </top>
      <bottom/>
      <diagonal/>
    </border>
    <border>
      <left style="thin">
        <color theme="0" tint="-0.249977111117893"/>
      </left>
      <right/>
      <top/>
      <bottom style="thin">
        <color theme="0" tint="-0.249977111117893"/>
      </bottom>
      <diagonal/>
    </border>
    <border>
      <left style="thin">
        <color theme="0" tint="-0.249977111117893"/>
      </left>
      <right style="thin">
        <color theme="0" tint="-0.249977111117893"/>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top/>
      <bottom/>
      <diagonal/>
    </border>
    <border>
      <left/>
      <right style="thin">
        <color theme="0" tint="-0.249977111117893"/>
      </right>
      <top/>
      <bottom style="thin">
        <color theme="0" tint="-0.34998626667073579"/>
      </bottom>
      <diagonal/>
    </border>
    <border>
      <left style="thin">
        <color theme="0" tint="-0.249977111117893"/>
      </left>
      <right style="thin">
        <color theme="0" tint="-0.249977111117893"/>
      </right>
      <top/>
      <bottom/>
      <diagonal/>
    </border>
    <border>
      <left style="thin">
        <color theme="0" tint="-0.249977111117893"/>
      </left>
      <right style="thin">
        <color theme="0" tint="-0.249977111117893"/>
      </right>
      <top/>
      <bottom style="thin">
        <color theme="0" tint="-0.249977111117893"/>
      </bottom>
      <diagonal/>
    </border>
    <border>
      <left/>
      <right style="thin">
        <color theme="0"/>
      </right>
      <top style="thin">
        <color theme="0"/>
      </top>
      <bottom/>
      <diagonal/>
    </border>
    <border>
      <left style="thin">
        <color theme="0"/>
      </left>
      <right/>
      <top style="thin">
        <color theme="0"/>
      </top>
      <bottom/>
      <diagonal/>
    </border>
    <border>
      <left style="thin">
        <color theme="0"/>
      </left>
      <right style="thin">
        <color theme="0"/>
      </right>
      <top style="thin">
        <color theme="0"/>
      </top>
      <bottom/>
      <diagonal/>
    </border>
    <border>
      <left/>
      <right/>
      <top style="thin">
        <color theme="0" tint="-0.249977111117893"/>
      </top>
      <bottom/>
      <diagonal/>
    </border>
    <border>
      <left/>
      <right/>
      <top/>
      <bottom style="thick">
        <color rgb="FFFFFFFF"/>
      </bottom>
      <diagonal/>
    </border>
    <border>
      <left/>
      <right style="thin">
        <color theme="9" tint="0.39997558519241921"/>
      </right>
      <top style="thin">
        <color theme="9" tint="0.39997558519241921"/>
      </top>
      <bottom style="thin">
        <color theme="9" tint="0.39997558519241921"/>
      </bottom>
      <diagonal/>
    </border>
    <border>
      <left style="thin">
        <color theme="0"/>
      </left>
      <right style="thin">
        <color theme="0"/>
      </right>
      <top style="thin">
        <color theme="0"/>
      </top>
      <bottom style="thin">
        <color theme="0"/>
      </bottom>
      <diagonal/>
    </border>
  </borders>
  <cellStyleXfs count="2">
    <xf numFmtId="0" fontId="0" fillId="0" borderId="0"/>
    <xf numFmtId="9" fontId="2" fillId="0" borderId="0" applyFont="0" applyFill="0" applyBorder="0" applyAlignment="0" applyProtection="0"/>
  </cellStyleXfs>
  <cellXfs count="144">
    <xf numFmtId="0" fontId="0" fillId="0" borderId="0" xfId="0"/>
    <xf numFmtId="0" fontId="0" fillId="0" borderId="0" xfId="0" applyAlignment="1">
      <alignment horizontal="center" vertical="center" wrapText="1"/>
    </xf>
    <xf numFmtId="0" fontId="0" fillId="0" borderId="0" xfId="0" applyAlignment="1">
      <alignment horizontal="center" vertical="center"/>
    </xf>
    <xf numFmtId="14" fontId="0" fillId="2" borderId="0" xfId="0" applyNumberFormat="1" applyFill="1" applyAlignment="1">
      <alignment horizontal="center" vertical="center"/>
    </xf>
    <xf numFmtId="0" fontId="0" fillId="0" borderId="0" xfId="0" applyAlignment="1">
      <alignment horizontal="center"/>
    </xf>
    <xf numFmtId="14" fontId="0" fillId="0" borderId="0" xfId="0" applyNumberFormat="1" applyAlignment="1">
      <alignment horizontal="center"/>
    </xf>
    <xf numFmtId="0" fontId="0" fillId="0" borderId="3" xfId="0" applyBorder="1"/>
    <xf numFmtId="0" fontId="3" fillId="0" borderId="2" xfId="0" applyFont="1" applyBorder="1" applyAlignment="1">
      <alignment horizontal="center" vertical="center" wrapText="1"/>
    </xf>
    <xf numFmtId="0" fontId="0" fillId="0" borderId="4" xfId="0" applyBorder="1" applyAlignment="1">
      <alignment horizontal="center" vertical="center"/>
    </xf>
    <xf numFmtId="0" fontId="0" fillId="0" borderId="5" xfId="0" applyBorder="1" applyAlignment="1">
      <alignment horizontal="center"/>
    </xf>
    <xf numFmtId="0" fontId="0" fillId="0" borderId="3" xfId="0" applyBorder="1" applyAlignment="1">
      <alignment horizontal="center"/>
    </xf>
    <xf numFmtId="0" fontId="3" fillId="0" borderId="4" xfId="0" applyFont="1" applyBorder="1" applyAlignment="1">
      <alignment horizontal="center" vertical="center"/>
    </xf>
    <xf numFmtId="0" fontId="3" fillId="0" borderId="1" xfId="0" applyFont="1" applyBorder="1" applyAlignment="1">
      <alignment horizontal="center" vertical="center"/>
    </xf>
    <xf numFmtId="10" fontId="0" fillId="0" borderId="3" xfId="1" applyNumberFormat="1" applyFont="1" applyFill="1" applyBorder="1" applyAlignment="1">
      <alignment horizontal="center"/>
    </xf>
    <xf numFmtId="2" fontId="0" fillId="0" borderId="3" xfId="0" applyNumberFormat="1" applyBorder="1" applyAlignment="1">
      <alignment horizontal="center"/>
    </xf>
    <xf numFmtId="0" fontId="0" fillId="0" borderId="0" xfId="0" applyAlignment="1">
      <alignment horizontal="right"/>
    </xf>
    <xf numFmtId="0" fontId="1" fillId="0" borderId="3" xfId="0" applyFont="1" applyBorder="1" applyAlignment="1">
      <alignment horizontal="center"/>
    </xf>
    <xf numFmtId="2" fontId="1" fillId="0" borderId="3" xfId="0" applyNumberFormat="1" applyFont="1" applyBorder="1" applyAlignment="1">
      <alignment horizontal="center"/>
    </xf>
    <xf numFmtId="10" fontId="1" fillId="0" borderId="3" xfId="1" applyNumberFormat="1" applyFont="1" applyFill="1" applyBorder="1" applyAlignment="1">
      <alignment horizontal="center"/>
    </xf>
    <xf numFmtId="0" fontId="1" fillId="0" borderId="5" xfId="0" applyFont="1" applyBorder="1" applyAlignment="1">
      <alignment horizontal="center"/>
    </xf>
    <xf numFmtId="22" fontId="0" fillId="0" borderId="0" xfId="0" applyNumberFormat="1"/>
    <xf numFmtId="2" fontId="0" fillId="0" borderId="0" xfId="0" applyNumberFormat="1"/>
    <xf numFmtId="10" fontId="0" fillId="0" borderId="0" xfId="1" applyNumberFormat="1" applyFont="1"/>
    <xf numFmtId="0" fontId="0" fillId="2" borderId="0" xfId="0" applyFill="1" applyAlignment="1">
      <alignment horizontal="center"/>
    </xf>
    <xf numFmtId="14" fontId="0" fillId="0" borderId="0" xfId="0" applyNumberFormat="1"/>
    <xf numFmtId="2" fontId="5" fillId="2" borderId="0" xfId="0" applyNumberFormat="1" applyFont="1" applyFill="1" applyAlignment="1">
      <alignment horizontal="center"/>
    </xf>
    <xf numFmtId="0" fontId="0" fillId="4" borderId="0" xfId="0" applyFill="1"/>
    <xf numFmtId="0" fontId="1" fillId="0" borderId="3" xfId="0" applyFont="1" applyBorder="1"/>
    <xf numFmtId="2" fontId="0" fillId="0" borderId="0" xfId="0" applyNumberFormat="1" applyAlignment="1">
      <alignment horizontal="center"/>
    </xf>
    <xf numFmtId="0" fontId="0" fillId="0" borderId="7" xfId="0" applyBorder="1"/>
    <xf numFmtId="1" fontId="0" fillId="2" borderId="0" xfId="0" applyNumberFormat="1" applyFill="1" applyAlignment="1">
      <alignment horizontal="center"/>
    </xf>
    <xf numFmtId="0" fontId="0" fillId="7" borderId="0" xfId="0" applyFill="1"/>
    <xf numFmtId="2" fontId="0" fillId="7" borderId="0" xfId="0" applyNumberFormat="1" applyFill="1"/>
    <xf numFmtId="10" fontId="0" fillId="7" borderId="0" xfId="1" applyNumberFormat="1" applyFont="1" applyFill="1"/>
    <xf numFmtId="0" fontId="0" fillId="8" borderId="0" xfId="0" applyFill="1" applyAlignment="1">
      <alignment horizontal="center" vertical="center" wrapText="1"/>
    </xf>
    <xf numFmtId="0" fontId="0" fillId="9" borderId="0" xfId="0" applyFill="1" applyAlignment="1">
      <alignment horizontal="center"/>
    </xf>
    <xf numFmtId="0" fontId="0" fillId="9" borderId="0" xfId="0" applyFill="1"/>
    <xf numFmtId="0" fontId="0" fillId="0" borderId="18" xfId="0" applyBorder="1" applyAlignment="1">
      <alignment horizontal="center"/>
    </xf>
    <xf numFmtId="0" fontId="0" fillId="0" borderId="18" xfId="0" applyBorder="1"/>
    <xf numFmtId="10" fontId="0" fillId="0" borderId="20" xfId="1" applyNumberFormat="1" applyFont="1" applyFill="1" applyBorder="1" applyAlignment="1">
      <alignment horizontal="center"/>
    </xf>
    <xf numFmtId="2" fontId="0" fillId="0" borderId="19" xfId="0" applyNumberFormat="1" applyBorder="1" applyAlignment="1">
      <alignment horizontal="center" vertical="center"/>
    </xf>
    <xf numFmtId="2" fontId="0" fillId="0" borderId="20" xfId="0" applyNumberFormat="1" applyBorder="1" applyAlignment="1">
      <alignment horizontal="center"/>
    </xf>
    <xf numFmtId="1" fontId="0" fillId="0" borderId="0" xfId="0" applyNumberFormat="1" applyAlignment="1">
      <alignment horizontal="center"/>
    </xf>
    <xf numFmtId="164" fontId="0" fillId="0" borderId="0" xfId="1" applyNumberFormat="1" applyFont="1"/>
    <xf numFmtId="2" fontId="0" fillId="2" borderId="0" xfId="0" applyNumberFormat="1" applyFill="1" applyAlignment="1">
      <alignment horizontal="center"/>
    </xf>
    <xf numFmtId="0" fontId="10" fillId="0" borderId="0" xfId="0" applyFont="1"/>
    <xf numFmtId="0" fontId="0" fillId="6" borderId="0" xfId="0" applyFill="1"/>
    <xf numFmtId="0" fontId="1" fillId="0" borderId="0" xfId="0" applyFont="1"/>
    <xf numFmtId="0" fontId="0" fillId="10" borderId="0" xfId="0" applyFill="1" applyAlignment="1">
      <alignment horizontal="center" vertical="center" wrapText="1"/>
    </xf>
    <xf numFmtId="1" fontId="0" fillId="9" borderId="0" xfId="0" applyNumberFormat="1" applyFill="1" applyAlignment="1">
      <alignment horizontal="center"/>
    </xf>
    <xf numFmtId="2" fontId="0" fillId="9" borderId="0" xfId="0" applyNumberFormat="1" applyFill="1" applyAlignment="1">
      <alignment horizontal="center"/>
    </xf>
    <xf numFmtId="14" fontId="1" fillId="0" borderId="0" xfId="0" applyNumberFormat="1" applyFont="1"/>
    <xf numFmtId="0" fontId="3" fillId="0" borderId="22" xfId="0" applyFont="1" applyBorder="1" applyAlignment="1">
      <alignment horizontal="center" vertical="center"/>
    </xf>
    <xf numFmtId="49" fontId="0" fillId="0" borderId="5" xfId="0" applyNumberFormat="1" applyBorder="1" applyAlignment="1">
      <alignment horizontal="center"/>
    </xf>
    <xf numFmtId="0" fontId="0" fillId="0" borderId="0" xfId="1" applyNumberFormat="1" applyFont="1" applyAlignment="1">
      <alignment horizontal="center"/>
    </xf>
    <xf numFmtId="0" fontId="0" fillId="0" borderId="0" xfId="0" pivotButton="1"/>
    <xf numFmtId="0" fontId="5" fillId="0" borderId="0" xfId="0" applyFont="1" applyAlignment="1">
      <alignment horizontal="center"/>
    </xf>
    <xf numFmtId="0" fontId="0" fillId="0" borderId="23" xfId="0" applyBorder="1"/>
    <xf numFmtId="0" fontId="3" fillId="3" borderId="0" xfId="0" applyFont="1" applyFill="1" applyAlignment="1">
      <alignment horizontal="center"/>
    </xf>
    <xf numFmtId="0" fontId="0" fillId="0" borderId="0" xfId="0" applyAlignment="1">
      <alignment vertical="top"/>
    </xf>
    <xf numFmtId="0" fontId="0" fillId="0" borderId="0" xfId="0" applyAlignment="1">
      <alignment horizontal="center" vertical="top" wrapText="1"/>
    </xf>
    <xf numFmtId="0" fontId="0" fillId="11" borderId="0" xfId="0" applyFill="1"/>
    <xf numFmtId="0" fontId="0" fillId="11" borderId="0" xfId="0" applyFill="1" applyAlignment="1">
      <alignment horizontal="center"/>
    </xf>
    <xf numFmtId="0" fontId="0" fillId="0" borderId="0" xfId="0" applyAlignment="1">
      <alignment horizontal="left"/>
    </xf>
    <xf numFmtId="0" fontId="0" fillId="0" borderId="0" xfId="0" applyAlignment="1">
      <alignment horizontal="center" wrapText="1"/>
    </xf>
    <xf numFmtId="0" fontId="0" fillId="4" borderId="0" xfId="0" applyFill="1" applyAlignment="1">
      <alignment horizontal="center"/>
    </xf>
    <xf numFmtId="49" fontId="0" fillId="0" borderId="0" xfId="0" applyNumberFormat="1"/>
    <xf numFmtId="1" fontId="10" fillId="2" borderId="0" xfId="0" applyNumberFormat="1" applyFont="1" applyFill="1" applyAlignment="1">
      <alignment horizontal="center"/>
    </xf>
    <xf numFmtId="165" fontId="0" fillId="0" borderId="0" xfId="1" applyNumberFormat="1" applyFont="1" applyAlignment="1">
      <alignment horizontal="center"/>
    </xf>
    <xf numFmtId="164" fontId="1" fillId="0" borderId="0" xfId="1" applyNumberFormat="1" applyFont="1" applyAlignment="1">
      <alignment horizontal="center"/>
    </xf>
    <xf numFmtId="0" fontId="17" fillId="8" borderId="0" xfId="0" applyFont="1" applyFill="1" applyAlignment="1">
      <alignment horizontal="center"/>
    </xf>
    <xf numFmtId="164" fontId="0" fillId="0" borderId="0" xfId="1" applyNumberFormat="1" applyFont="1" applyAlignment="1">
      <alignment horizontal="center"/>
    </xf>
    <xf numFmtId="0" fontId="10" fillId="0" borderId="0" xfId="0" applyFont="1" applyAlignment="1">
      <alignment horizontal="center"/>
    </xf>
    <xf numFmtId="0" fontId="10" fillId="4" borderId="0" xfId="0" applyFont="1" applyFill="1"/>
    <xf numFmtId="0" fontId="0" fillId="12" borderId="0" xfId="0" applyFill="1" applyAlignment="1">
      <alignment horizontal="center"/>
    </xf>
    <xf numFmtId="2" fontId="0" fillId="13" borderId="0" xfId="0" applyNumberFormat="1" applyFill="1" applyAlignment="1">
      <alignment horizontal="center"/>
    </xf>
    <xf numFmtId="2" fontId="0" fillId="12" borderId="0" xfId="0" applyNumberFormat="1" applyFill="1" applyAlignment="1">
      <alignment horizontal="center"/>
    </xf>
    <xf numFmtId="2" fontId="0" fillId="4" borderId="0" xfId="0" applyNumberFormat="1" applyFill="1" applyAlignment="1">
      <alignment horizontal="center"/>
    </xf>
    <xf numFmtId="0" fontId="5" fillId="0" borderId="0" xfId="0" applyFont="1"/>
    <xf numFmtId="0" fontId="0" fillId="5" borderId="0" xfId="0" applyFill="1"/>
    <xf numFmtId="2" fontId="0" fillId="5" borderId="0" xfId="0" applyNumberFormat="1" applyFill="1" applyAlignment="1">
      <alignment horizontal="center"/>
    </xf>
    <xf numFmtId="0" fontId="5" fillId="12" borderId="0" xfId="0" applyFont="1" applyFill="1"/>
    <xf numFmtId="2" fontId="5" fillId="12" borderId="0" xfId="0" applyNumberFormat="1" applyFont="1" applyFill="1" applyAlignment="1">
      <alignment horizontal="center"/>
    </xf>
    <xf numFmtId="2" fontId="5" fillId="14" borderId="0" xfId="0" applyNumberFormat="1" applyFont="1" applyFill="1" applyAlignment="1">
      <alignment horizontal="center"/>
    </xf>
    <xf numFmtId="0" fontId="19" fillId="0" borderId="0" xfId="0" applyFont="1" applyAlignment="1">
      <alignment horizontal="center"/>
    </xf>
    <xf numFmtId="2" fontId="20" fillId="0" borderId="0" xfId="0" applyNumberFormat="1" applyFont="1" applyAlignment="1">
      <alignment horizontal="center"/>
    </xf>
    <xf numFmtId="2" fontId="19" fillId="12" borderId="0" xfId="0" applyNumberFormat="1" applyFont="1" applyFill="1" applyAlignment="1">
      <alignment horizontal="center"/>
    </xf>
    <xf numFmtId="2" fontId="20" fillId="5" borderId="0" xfId="0" applyNumberFormat="1" applyFont="1" applyFill="1" applyAlignment="1">
      <alignment horizontal="center"/>
    </xf>
    <xf numFmtId="10" fontId="0" fillId="0" borderId="0" xfId="1" applyNumberFormat="1" applyFont="1" applyFill="1" applyBorder="1" applyAlignment="1">
      <alignment horizontal="center"/>
    </xf>
    <xf numFmtId="49" fontId="21" fillId="0" borderId="0" xfId="0" applyNumberFormat="1" applyFont="1" applyAlignment="1">
      <alignment vertical="center" wrapText="1"/>
    </xf>
    <xf numFmtId="2" fontId="0" fillId="15" borderId="24" xfId="0" applyNumberFormat="1" applyFill="1" applyBorder="1" applyAlignment="1">
      <alignment horizontal="center"/>
    </xf>
    <xf numFmtId="2" fontId="0" fillId="16" borderId="24" xfId="0" applyNumberFormat="1" applyFill="1" applyBorder="1" applyAlignment="1">
      <alignment horizontal="center"/>
    </xf>
    <xf numFmtId="2" fontId="0" fillId="15" borderId="20" xfId="0" applyNumberFormat="1" applyFill="1" applyBorder="1" applyAlignment="1">
      <alignment horizontal="center"/>
    </xf>
    <xf numFmtId="2" fontId="10" fillId="0" borderId="0" xfId="0" applyNumberFormat="1" applyFont="1"/>
    <xf numFmtId="2" fontId="0" fillId="16" borderId="20" xfId="0" applyNumberFormat="1" applyFill="1" applyBorder="1" applyAlignment="1">
      <alignment horizontal="center"/>
    </xf>
    <xf numFmtId="0" fontId="6" fillId="0" borderId="0" xfId="0" applyFont="1" applyAlignment="1">
      <alignment horizontal="center" vertical="center"/>
    </xf>
    <xf numFmtId="0" fontId="14" fillId="0" borderId="0" xfId="0" applyFont="1" applyAlignment="1">
      <alignment horizontal="center" vertical="center" wrapText="1"/>
    </xf>
    <xf numFmtId="0" fontId="0" fillId="0" borderId="0" xfId="0" applyAlignment="1">
      <alignment horizontal="center"/>
    </xf>
    <xf numFmtId="0" fontId="0" fillId="0" borderId="14" xfId="0" applyBorder="1" applyAlignment="1">
      <alignment horizontal="center"/>
    </xf>
    <xf numFmtId="0" fontId="13" fillId="0" borderId="0" xfId="0" applyFont="1" applyAlignment="1">
      <alignment horizontal="center" vertical="center" wrapText="1"/>
    </xf>
    <xf numFmtId="0" fontId="13" fillId="0" borderId="7" xfId="0" applyFont="1" applyBorder="1" applyAlignment="1">
      <alignment horizontal="center" vertical="center" wrapText="1"/>
    </xf>
    <xf numFmtId="0" fontId="13" fillId="0" borderId="9" xfId="0" applyFont="1" applyBorder="1" applyAlignment="1">
      <alignment horizontal="center" vertical="center" wrapText="1"/>
    </xf>
    <xf numFmtId="0" fontId="13" fillId="0" borderId="8" xfId="0" applyFont="1" applyBorder="1" applyAlignment="1">
      <alignment horizontal="center" vertical="center" wrapText="1"/>
    </xf>
    <xf numFmtId="0" fontId="13" fillId="0" borderId="10" xfId="0" applyFont="1" applyBorder="1" applyAlignment="1">
      <alignment horizontal="center" vertical="center" wrapText="1"/>
    </xf>
    <xf numFmtId="0" fontId="13" fillId="0" borderId="13" xfId="0" applyFont="1" applyBorder="1" applyAlignment="1">
      <alignment horizontal="center" vertical="center" wrapText="1"/>
    </xf>
    <xf numFmtId="0" fontId="13" fillId="0" borderId="14" xfId="0" applyFont="1" applyBorder="1" applyAlignment="1">
      <alignment horizontal="center" vertical="center" wrapText="1"/>
    </xf>
    <xf numFmtId="0" fontId="13" fillId="0" borderId="11" xfId="0" applyFont="1" applyBorder="1" applyAlignment="1">
      <alignment horizontal="center" vertical="center" wrapText="1"/>
    </xf>
    <xf numFmtId="0" fontId="7" fillId="0" borderId="12" xfId="0" applyFont="1" applyBorder="1" applyAlignment="1">
      <alignment horizontal="right" vertical="center"/>
    </xf>
    <xf numFmtId="0" fontId="7" fillId="0" borderId="17" xfId="0" applyFont="1" applyBorder="1" applyAlignment="1">
      <alignment horizontal="right" vertical="center"/>
    </xf>
    <xf numFmtId="0" fontId="7" fillId="0" borderId="16" xfId="0" applyFont="1" applyBorder="1" applyAlignment="1">
      <alignment horizontal="right" vertical="center" wrapText="1"/>
    </xf>
    <xf numFmtId="2" fontId="11" fillId="3" borderId="0" xfId="0" applyNumberFormat="1" applyFont="1" applyFill="1" applyAlignment="1">
      <alignment horizontal="center" vertical="center"/>
    </xf>
    <xf numFmtId="0" fontId="8" fillId="0" borderId="0" xfId="0" applyFont="1" applyAlignment="1">
      <alignment horizontal="center" vertical="center"/>
    </xf>
    <xf numFmtId="0" fontId="8" fillId="0" borderId="7" xfId="0" applyFont="1" applyBorder="1" applyAlignment="1">
      <alignment horizontal="center" vertical="center"/>
    </xf>
    <xf numFmtId="17" fontId="6" fillId="5" borderId="0" xfId="0" applyNumberFormat="1" applyFont="1" applyFill="1" applyAlignment="1">
      <alignment horizontal="center" vertical="center"/>
    </xf>
    <xf numFmtId="17" fontId="6" fillId="5" borderId="7" xfId="0" applyNumberFormat="1" applyFont="1" applyFill="1" applyBorder="1" applyAlignment="1">
      <alignment horizontal="center" vertical="center"/>
    </xf>
    <xf numFmtId="17" fontId="6" fillId="5" borderId="6" xfId="0" applyNumberFormat="1" applyFont="1" applyFill="1" applyBorder="1" applyAlignment="1">
      <alignment horizontal="center" vertical="center"/>
    </xf>
    <xf numFmtId="17" fontId="6" fillId="5" borderId="15" xfId="0" applyNumberFormat="1" applyFont="1" applyFill="1" applyBorder="1" applyAlignment="1">
      <alignment horizontal="center" vertical="center"/>
    </xf>
    <xf numFmtId="1" fontId="12" fillId="5" borderId="0" xfId="0" applyNumberFormat="1" applyFont="1" applyFill="1" applyAlignment="1">
      <alignment horizontal="center" vertical="center"/>
    </xf>
    <xf numFmtId="0" fontId="15" fillId="0" borderId="10" xfId="0" applyFont="1" applyBorder="1" applyAlignment="1">
      <alignment horizontal="center" vertical="center" wrapText="1"/>
    </xf>
    <xf numFmtId="0" fontId="15" fillId="0" borderId="13" xfId="0" applyFont="1" applyBorder="1" applyAlignment="1">
      <alignment horizontal="center" vertical="center" wrapText="1"/>
    </xf>
    <xf numFmtId="0" fontId="15" fillId="0" borderId="14" xfId="0" applyFont="1" applyBorder="1" applyAlignment="1">
      <alignment horizontal="center" vertical="center" wrapText="1"/>
    </xf>
    <xf numFmtId="0" fontId="15" fillId="0" borderId="7" xfId="0" applyFont="1" applyBorder="1" applyAlignment="1">
      <alignment horizontal="center" vertical="center" wrapText="1"/>
    </xf>
    <xf numFmtId="0" fontId="15" fillId="0" borderId="11" xfId="0" applyFont="1" applyBorder="1" applyAlignment="1">
      <alignment horizontal="center" vertical="center" wrapText="1"/>
    </xf>
    <xf numFmtId="0" fontId="15" fillId="0" borderId="8" xfId="0" applyFont="1" applyBorder="1" applyAlignment="1">
      <alignment horizontal="center" vertical="center" wrapText="1"/>
    </xf>
    <xf numFmtId="49" fontId="16" fillId="0" borderId="10" xfId="0" applyNumberFormat="1" applyFont="1" applyBorder="1" applyAlignment="1">
      <alignment horizontal="center" vertical="center" wrapText="1"/>
    </xf>
    <xf numFmtId="49" fontId="16" fillId="0" borderId="21" xfId="0" applyNumberFormat="1" applyFont="1" applyBorder="1" applyAlignment="1">
      <alignment horizontal="center" vertical="center" wrapText="1"/>
    </xf>
    <xf numFmtId="49" fontId="16" fillId="0" borderId="13" xfId="0" applyNumberFormat="1" applyFont="1" applyBorder="1" applyAlignment="1">
      <alignment horizontal="center" vertical="center" wrapText="1"/>
    </xf>
    <xf numFmtId="49" fontId="16" fillId="0" borderId="14" xfId="0" applyNumberFormat="1" applyFont="1" applyBorder="1" applyAlignment="1">
      <alignment horizontal="center" vertical="center" wrapText="1"/>
    </xf>
    <xf numFmtId="49" fontId="16" fillId="0" borderId="0" xfId="0" applyNumberFormat="1" applyFont="1" applyAlignment="1">
      <alignment horizontal="center" vertical="center" wrapText="1"/>
    </xf>
    <xf numFmtId="49" fontId="16" fillId="0" borderId="7" xfId="0" applyNumberFormat="1" applyFont="1" applyBorder="1" applyAlignment="1">
      <alignment horizontal="center" vertical="center" wrapText="1"/>
    </xf>
    <xf numFmtId="49" fontId="16" fillId="0" borderId="11" xfId="0" applyNumberFormat="1" applyFont="1" applyBorder="1" applyAlignment="1">
      <alignment horizontal="center" vertical="center" wrapText="1"/>
    </xf>
    <xf numFmtId="49" fontId="16" fillId="0" borderId="9" xfId="0" applyNumberFormat="1" applyFont="1" applyBorder="1" applyAlignment="1">
      <alignment horizontal="center" vertical="center" wrapText="1"/>
    </xf>
    <xf numFmtId="49" fontId="16" fillId="0" borderId="8" xfId="0" applyNumberFormat="1" applyFont="1" applyBorder="1" applyAlignment="1">
      <alignment horizontal="center" vertical="center" wrapText="1"/>
    </xf>
    <xf numFmtId="49" fontId="21" fillId="0" borderId="14" xfId="0" applyNumberFormat="1" applyFont="1" applyBorder="1" applyAlignment="1">
      <alignment horizontal="center" vertical="center" wrapText="1"/>
    </xf>
    <xf numFmtId="49" fontId="21" fillId="0" borderId="0" xfId="0" applyNumberFormat="1" applyFont="1" applyAlignment="1">
      <alignment horizontal="center" vertical="center" wrapText="1"/>
    </xf>
    <xf numFmtId="0" fontId="18" fillId="0" borderId="0" xfId="0" applyFont="1" applyAlignment="1">
      <alignment horizontal="center" vertical="center"/>
    </xf>
    <xf numFmtId="0" fontId="0" fillId="0" borderId="0" xfId="0" applyAlignment="1">
      <alignment horizontal="center" wrapText="1"/>
    </xf>
    <xf numFmtId="0" fontId="0" fillId="0" borderId="0" xfId="0" applyNumberFormat="1" applyAlignment="1">
      <alignment horizontal="center"/>
    </xf>
    <xf numFmtId="0" fontId="0" fillId="0" borderId="0" xfId="0" applyNumberFormat="1"/>
    <xf numFmtId="0" fontId="1" fillId="0" borderId="0" xfId="0" applyFont="1" applyAlignment="1">
      <alignment horizontal="center"/>
    </xf>
    <xf numFmtId="0" fontId="1" fillId="0" borderId="0" xfId="0" applyNumberFormat="1" applyFont="1"/>
    <xf numFmtId="166" fontId="1" fillId="0" borderId="0" xfId="0" applyNumberFormat="1" applyFont="1" applyAlignment="1">
      <alignment horizontal="right"/>
    </xf>
    <xf numFmtId="167" fontId="1" fillId="0" borderId="0" xfId="0" applyNumberFormat="1" applyFont="1" applyAlignment="1">
      <alignment horizontal="right"/>
    </xf>
    <xf numFmtId="0" fontId="22" fillId="0" borderId="0" xfId="0" applyNumberFormat="1" applyFont="1"/>
  </cellXfs>
  <cellStyles count="2">
    <cellStyle name="Normal" xfId="0" builtinId="0"/>
    <cellStyle name="Porcentaje" xfId="1" builtinId="5"/>
  </cellStyles>
  <dxfs count="171">
    <dxf>
      <font>
        <color rgb="FF9C0006"/>
      </font>
      <fill>
        <patternFill>
          <bgColor rgb="FFFFC7CE"/>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color rgb="FF9C0006"/>
      </font>
      <fill>
        <patternFill>
          <bgColor rgb="FFFFC7CE"/>
        </patternFill>
      </fill>
    </dxf>
    <dxf>
      <font>
        <color rgb="FF9C0006"/>
      </font>
      <fill>
        <patternFill>
          <bgColor rgb="FFFFC7CE"/>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color rgb="FF9C0006"/>
      </font>
      <fill>
        <patternFill>
          <bgColor rgb="FFFFC7CE"/>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font>
        <color auto="1"/>
      </font>
      <numFmt numFmtId="164" formatCode="0.0%"/>
      <alignment horizontal="center" vertical="bottom" textRotation="0" wrapText="0" indent="0" justifyLastLine="0" shrinkToFit="0" readingOrder="0"/>
    </dxf>
    <dxf>
      <font>
        <b val="0"/>
        <i val="0"/>
        <strike val="0"/>
        <condense val="0"/>
        <extend val="0"/>
        <outline val="0"/>
        <shadow val="0"/>
        <u val="none"/>
        <vertAlign val="baseline"/>
        <sz val="9"/>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9"/>
        <color auto="1"/>
        <name val="Arial"/>
        <family val="2"/>
        <scheme val="none"/>
      </font>
    </dxf>
    <dxf>
      <font>
        <b val="0"/>
        <i val="0"/>
        <strike val="0"/>
        <condense val="0"/>
        <extend val="0"/>
        <outline val="0"/>
        <shadow val="0"/>
        <u val="none"/>
        <vertAlign val="baseline"/>
        <sz val="9"/>
        <color auto="1"/>
        <name val="Arial"/>
        <family val="2"/>
        <scheme val="none"/>
      </font>
    </dxf>
    <dxf>
      <font>
        <strike val="0"/>
        <outline val="0"/>
        <shadow val="0"/>
        <u val="none"/>
        <vertAlign val="baseline"/>
        <sz val="9"/>
        <color auto="1"/>
        <name val="Arial"/>
        <family val="2"/>
        <scheme val="none"/>
      </font>
      <numFmt numFmtId="0" formatCode="General"/>
    </dxf>
    <dxf>
      <font>
        <strike val="0"/>
        <outline val="0"/>
        <shadow val="0"/>
        <u val="none"/>
        <vertAlign val="baseline"/>
        <sz val="9"/>
        <color auto="1"/>
        <name val="Arial"/>
        <family val="2"/>
        <scheme val="none"/>
      </font>
      <numFmt numFmtId="0" formatCode="General"/>
    </dxf>
    <dxf>
      <font>
        <strike val="0"/>
        <outline val="0"/>
        <shadow val="0"/>
        <u val="none"/>
        <vertAlign val="baseline"/>
        <sz val="9"/>
        <color auto="1"/>
        <name val="Arial"/>
        <family val="2"/>
        <scheme val="none"/>
      </font>
      <numFmt numFmtId="0" formatCode="General"/>
    </dxf>
    <dxf>
      <font>
        <strike val="0"/>
        <outline val="0"/>
        <shadow val="0"/>
        <u val="none"/>
        <vertAlign val="baseline"/>
        <sz val="9"/>
        <color auto="1"/>
        <name val="Arial"/>
        <family val="2"/>
        <scheme val="none"/>
      </font>
      <numFmt numFmtId="0" formatCode="General"/>
    </dxf>
    <dxf>
      <font>
        <b val="0"/>
        <i val="0"/>
        <strike val="0"/>
        <condense val="0"/>
        <extend val="0"/>
        <outline val="0"/>
        <shadow val="0"/>
        <u val="none"/>
        <vertAlign val="baseline"/>
        <sz val="9"/>
        <color theme="1"/>
        <name val="Arial"/>
        <family val="2"/>
        <scheme val="none"/>
      </font>
      <numFmt numFmtId="14" formatCode="0.00%"/>
    </dxf>
    <dxf>
      <numFmt numFmtId="2" formatCode="0.00"/>
    </dxf>
    <dxf>
      <numFmt numFmtId="0" formatCode="General"/>
      <alignment horizontal="center" vertical="bottom" textRotation="0" wrapText="0" indent="0" justifyLastLine="0" shrinkToFit="0" readingOrder="0"/>
    </dxf>
    <dxf>
      <numFmt numFmtId="165" formatCode="0.00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alignment horizontal="center" vertical="bottom" textRotation="0" wrapText="0" indent="0" justifyLastLine="0" shrinkToFit="0" readingOrder="0"/>
    </dxf>
    <dxf>
      <numFmt numFmtId="165" formatCode="0.00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font>
        <b val="0"/>
        <i val="0"/>
        <strike val="0"/>
        <condense val="0"/>
        <extend val="0"/>
        <outline val="0"/>
        <shadow val="0"/>
        <u val="none"/>
        <vertAlign val="baseline"/>
        <sz val="9"/>
        <color theme="1"/>
        <name val="Arial"/>
        <family val="2"/>
        <scheme val="none"/>
      </font>
      <numFmt numFmtId="14" formatCode="0.00%"/>
    </dxf>
    <dxf>
      <numFmt numFmtId="2" formatCode="0.0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14" formatCode="0.00%"/>
    </dxf>
    <dxf>
      <numFmt numFmtId="2" formatCode="0.00"/>
    </dxf>
    <dxf>
      <font>
        <color auto="1"/>
      </font>
      <numFmt numFmtId="0" formatCode="General"/>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dxf>
    <dxf>
      <numFmt numFmtId="19" formatCode="dd/mm/yyyy"/>
    </dxf>
    <dxf>
      <alignment horizontal="center" vertical="bottom" textRotation="0" wrapText="0" indent="0" justifyLastLine="0" shrinkToFit="0" readingOrder="0"/>
    </dxf>
    <dxf>
      <numFmt numFmtId="19" formatCode="dd/mm/yyyy"/>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9" formatCode="dd/mm/yyyy"/>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9" formatCode="dd/mm/yyyy"/>
      <alignment horizontal="center" vertical="bottom" textRotation="0" wrapText="0" indent="0" justifyLastLine="0" shrinkToFit="0" readingOrder="0"/>
    </dxf>
    <dxf>
      <numFmt numFmtId="19" formatCode="dd/mm/yyyy"/>
    </dxf>
    <dxf>
      <alignment horizontal="center" vertical="bottom" textRotation="0" wrapText="0" indent="0" justifyLastLine="0" shrinkToFit="0" readingOrder="0"/>
    </dxf>
    <dxf>
      <numFmt numFmtId="19" formatCode="dd/mm/yyyy"/>
    </dxf>
    <dxf>
      <numFmt numFmtId="0" formatCode="Genera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9"/>
        <color theme="1"/>
        <name val="Arial"/>
        <family val="2"/>
        <scheme val="none"/>
      </font>
      <numFmt numFmtId="164" formatCode="0.0%"/>
    </dxf>
    <dxf>
      <alignment vertical="top" textRotation="0" indent="0" justifyLastLine="0" shrinkToFit="0" readingOrder="0"/>
    </dxf>
    <dxf>
      <numFmt numFmtId="164" formatCode="0.0%"/>
    </dxf>
    <dxf>
      <numFmt numFmtId="0" formatCode="General"/>
    </dxf>
    <dxf>
      <alignment vertical="top" textRotation="0" indent="0" justifyLastLine="0" shrinkToFit="0" readingOrder="0"/>
    </dxf>
    <dxf>
      <numFmt numFmtId="164" formatCode="0.0%"/>
    </dxf>
    <dxf>
      <alignment vertical="top" textRotation="0" indent="0" justifyLastLine="0" shrinkToFit="0" readingOrder="0"/>
    </dxf>
    <dxf>
      <alignment vertical="top" textRotation="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9"/>
        <color theme="1"/>
        <name val="Arial"/>
        <family val="2"/>
        <scheme val="none"/>
      </font>
      <numFmt numFmtId="2" formatCode="0.00"/>
      <fill>
        <patternFill patternType="solid">
          <fgColor theme="6" tint="0.59999389629810485"/>
          <bgColor theme="6" tint="0.59999389629810485"/>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horizontal/>
      </border>
    </dxf>
    <dxf>
      <font>
        <b val="0"/>
        <i val="0"/>
        <strike val="0"/>
        <condense val="0"/>
        <extend val="0"/>
        <outline val="0"/>
        <shadow val="0"/>
        <u val="none"/>
        <vertAlign val="baseline"/>
        <sz val="9"/>
        <color theme="1"/>
        <name val="Arial"/>
        <family val="2"/>
        <scheme val="none"/>
      </font>
      <numFmt numFmtId="14"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Arial"/>
        <family val="2"/>
        <scheme val="none"/>
      </font>
      <numFmt numFmtId="14"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Arial"/>
        <family val="2"/>
        <scheme val="none"/>
      </font>
      <fill>
        <patternFill patternType="none">
          <fgColor indexed="64"/>
          <bgColor indexed="65"/>
        </patternFill>
      </fill>
      <alignment horizontal="center" vertical="bottom" textRotation="0" wrapText="0" indent="0" justifyLastLine="0" shrinkToFit="0" readingOrder="0"/>
    </dxf>
    <dxf>
      <alignment horizontal="center" vertical="center" textRotation="0" wrapText="1" indent="0" justifyLastLine="0" shrinkToFit="0" readingOrder="0"/>
    </dxf>
    <dxf>
      <numFmt numFmtId="0" formatCode="General"/>
    </dxf>
    <dxf>
      <numFmt numFmtId="0" formatCode="General"/>
    </dxf>
    <dxf>
      <numFmt numFmtId="0" formatCode="General"/>
    </dxf>
    <dxf>
      <numFmt numFmtId="0" formatCode="General"/>
    </dxf>
    <dxf>
      <numFmt numFmtId="2" formatCode="0.00"/>
    </dxf>
    <dxf>
      <font>
        <b/>
        <i val="0"/>
        <color auto="1"/>
      </font>
      <fill>
        <patternFill>
          <bgColor theme="9" tint="0.39994506668294322"/>
        </patternFill>
      </fill>
    </dxf>
    <dxf>
      <numFmt numFmtId="0" formatCode="General"/>
    </dxf>
    <dxf>
      <numFmt numFmtId="0" formatCode="General"/>
    </dxf>
    <dxf>
      <numFmt numFmtId="0" formatCode="General"/>
    </dxf>
    <dxf>
      <numFmt numFmtId="0" formatCode="General"/>
    </dxf>
    <dxf>
      <numFmt numFmtId="2" formatCode="0.0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2" formatCode="0.00"/>
    </dxf>
    <dxf>
      <font>
        <b/>
        <i val="0"/>
        <color auto="1"/>
      </font>
      <fill>
        <patternFill>
          <bgColor theme="9" tint="0.39994506668294322"/>
        </patternFill>
      </fill>
    </dxf>
    <dxf>
      <numFmt numFmtId="0" formatCode="General"/>
    </dxf>
    <dxf>
      <numFmt numFmtId="0" formatCode="General"/>
    </dxf>
    <dxf>
      <numFmt numFmtId="0" formatCode="General"/>
    </dxf>
    <dxf>
      <numFmt numFmtId="0" formatCode="General"/>
    </dxf>
    <dxf>
      <numFmt numFmtId="0" formatCode="General"/>
    </dxf>
    <dxf>
      <alignment horizontal="center" vertical="bottom" textRotation="0" wrapText="0" indent="0" justifyLastLine="0" shrinkToFit="0" readingOrder="0"/>
    </dxf>
    <dxf>
      <alignment horizontal="center" vertical="bottom" textRotation="0" wrapText="0" indent="0" justifyLastLine="0" shrinkToFit="0" readingOrder="0"/>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pivotCacheDefinition" Target="pivotCache/pivotCacheDefinition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6.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7.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8.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9.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0.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1.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4.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5.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6.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7.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13.xml"/><Relationship Id="rId1" Type="http://schemas.microsoft.com/office/2011/relationships/chartStyle" Target="style13.xml"/></Relationships>
</file>

<file path=xl/charts/_rels/chart18.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21.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22.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23.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24.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5.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19.xml"/><Relationship Id="rId1" Type="http://schemas.microsoft.com/office/2011/relationships/chartStyle" Target="style19.xml"/></Relationships>
</file>

<file path=xl/charts/_rels/chart26.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9.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30.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31.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32.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33.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25.xml"/><Relationship Id="rId1" Type="http://schemas.microsoft.com/office/2011/relationships/chartStyle" Target="style25.xml"/></Relationships>
</file>

<file path=xl/charts/_rels/chart34.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3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3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3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4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41.xml.rels><?xml version="1.0" encoding="UTF-8" standalone="yes"?>
<Relationships xmlns="http://schemas.openxmlformats.org/package/2006/relationships"><Relationship Id="rId3" Type="http://schemas.openxmlformats.org/officeDocument/2006/relationships/chartUserShapes" Target="../drawings/drawing11.xml"/><Relationship Id="rId2" Type="http://schemas.microsoft.com/office/2011/relationships/chartColorStyle" Target="colors31.xml"/><Relationship Id="rId1" Type="http://schemas.microsoft.com/office/2011/relationships/chartStyle" Target="style31.xml"/></Relationships>
</file>

<file path=xl/charts/_rels/chart4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45.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46.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47.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48.xml.rels><?xml version="1.0" encoding="UTF-8" standalone="yes"?>
<Relationships xmlns="http://schemas.openxmlformats.org/package/2006/relationships"><Relationship Id="rId3" Type="http://schemas.openxmlformats.org/officeDocument/2006/relationships/chartUserShapes" Target="../drawings/drawing15.xml"/><Relationship Id="rId2" Type="http://schemas.microsoft.com/office/2011/relationships/chartColorStyle" Target="colors37.xml"/><Relationship Id="rId1" Type="http://schemas.microsoft.com/office/2011/relationships/chartStyle" Target="style37.xml"/></Relationships>
</file>

<file path=xl/charts/_rels/chart49.xml.rels><?xml version="1.0" encoding="UTF-8" standalone="yes"?>
<Relationships xmlns="http://schemas.openxmlformats.org/package/2006/relationships"><Relationship Id="rId3" Type="http://schemas.openxmlformats.org/officeDocument/2006/relationships/chartUserShapes" Target="../drawings/drawing17.xml"/><Relationship Id="rId2" Type="http://schemas.microsoft.com/office/2011/relationships/chartColorStyle" Target="colors38.xml"/><Relationship Id="rId1" Type="http://schemas.microsoft.com/office/2011/relationships/chartStyle" Target="style38.xml"/></Relationships>
</file>

<file path=xl/charts/_rels/chartEx1.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34.5</c:v>
                </c:pt>
                <c:pt idx="1">
                  <c:v>33.850000000000016</c:v>
                </c:pt>
                <c:pt idx="2">
                  <c:v>34.850000000000016</c:v>
                </c:pt>
                <c:pt idx="3">
                  <c:v>36.47000000000002</c:v>
                </c:pt>
                <c:pt idx="4">
                  <c:v>34.79999999999999</c:v>
                </c:pt>
                <c:pt idx="5">
                  <c:v>34.039999999999992</c:v>
                </c:pt>
                <c:pt idx="6">
                  <c:v>33.960000000000008</c:v>
                </c:pt>
                <c:pt idx="7">
                  <c:v>33.399999999999984</c:v>
                </c:pt>
                <c:pt idx="8">
                  <c:v>33.77999999999998</c:v>
                </c:pt>
                <c:pt idx="9">
                  <c:v>33.860000000000007</c:v>
                </c:pt>
              </c:numCache>
            </c:numRef>
          </c:val>
          <c:smooth val="0"/>
          <c:extLst>
            <c:ext xmlns:c16="http://schemas.microsoft.com/office/drawing/2014/chart" uri="{C3380CC4-5D6E-409C-BE32-E72D297353CC}">
              <c16:uniqueId val="{00000001-66F6-4D9F-AF64-645D213DF937}"/>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34.35</c:v>
                </c:pt>
                <c:pt idx="1">
                  <c:v>34.35</c:v>
                </c:pt>
                <c:pt idx="2">
                  <c:v>34.35</c:v>
                </c:pt>
                <c:pt idx="3">
                  <c:v>34.35</c:v>
                </c:pt>
                <c:pt idx="4">
                  <c:v>34.35</c:v>
                </c:pt>
                <c:pt idx="5">
                  <c:v>34.35</c:v>
                </c:pt>
                <c:pt idx="6">
                  <c:v>34.35</c:v>
                </c:pt>
                <c:pt idx="7">
                  <c:v>34.35</c:v>
                </c:pt>
                <c:pt idx="8">
                  <c:v>34.35</c:v>
                </c:pt>
                <c:pt idx="9">
                  <c:v>34.35</c:v>
                </c:pt>
                <c:pt idx="10">
                  <c:v>34.35</c:v>
                </c:pt>
                <c:pt idx="11">
                  <c:v>34.35</c:v>
                </c:pt>
                <c:pt idx="12">
                  <c:v>34.35</c:v>
                </c:pt>
                <c:pt idx="13">
                  <c:v>34.35</c:v>
                </c:pt>
                <c:pt idx="14">
                  <c:v>34.35</c:v>
                </c:pt>
                <c:pt idx="15">
                  <c:v>34.35</c:v>
                </c:pt>
                <c:pt idx="16">
                  <c:v>34.35</c:v>
                </c:pt>
                <c:pt idx="17">
                  <c:v>34.35</c:v>
                </c:pt>
                <c:pt idx="18">
                  <c:v>34.35</c:v>
                </c:pt>
                <c:pt idx="19">
                  <c:v>34.35</c:v>
                </c:pt>
                <c:pt idx="20">
                  <c:v>34.35</c:v>
                </c:pt>
                <c:pt idx="21">
                  <c:v>34.35</c:v>
                </c:pt>
                <c:pt idx="22">
                  <c:v>34.35</c:v>
                </c:pt>
                <c:pt idx="23">
                  <c:v>34.35</c:v>
                </c:pt>
                <c:pt idx="24">
                  <c:v>34.35</c:v>
                </c:pt>
                <c:pt idx="25">
                  <c:v>34.35</c:v>
                </c:pt>
                <c:pt idx="26">
                  <c:v>34.35</c:v>
                </c:pt>
                <c:pt idx="27">
                  <c:v>34.35</c:v>
                </c:pt>
                <c:pt idx="28">
                  <c:v>34.35</c:v>
                </c:pt>
                <c:pt idx="29">
                  <c:v>34.35</c:v>
                </c:pt>
              </c:numCache>
            </c:numRef>
          </c:val>
          <c:smooth val="0"/>
          <c:extLst>
            <c:ext xmlns:c16="http://schemas.microsoft.com/office/drawing/2014/chart" uri="{C3380CC4-5D6E-409C-BE32-E72D297353CC}">
              <c16:uniqueId val="{00000002-66F6-4D9F-AF64-645D213DF937}"/>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0-66F6-4D9F-AF64-645D213DF937}"/>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3.4861555491874738E-2"/>
          <c:y val="4.6931080503258733E-2"/>
          <c:w val="0.93198015508685794"/>
          <c:h val="0.16228556246462816"/>
        </c:manualLayout>
      </c:layout>
      <c:overlay val="0"/>
      <c:spPr>
        <a:noFill/>
        <a:ln>
          <a:noFill/>
        </a:ln>
        <a:effectLst/>
      </c:spPr>
      <c:txPr>
        <a:bodyPr rot="0" spcFirstLastPara="1" vertOverflow="ellipsis" vert="horz" wrap="square" anchor="ctr" anchorCtr="1"/>
        <a:lstStyle/>
        <a:p>
          <a:pPr>
            <a:defRPr sz="600" b="0" i="0" u="none" strike="noStrike" kern="1200" baseline="0">
              <a:solidFill>
                <a:schemeClr val="tx1">
                  <a:lumMod val="65000"/>
                  <a:lumOff val="35000"/>
                </a:schemeClr>
              </a:solidFill>
              <a:latin typeface="Aptos Narrow" panose="020B000402020202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348245569821949"/>
          <c:y val="0.14622684753176765"/>
          <c:w val="0.43259773527042056"/>
          <c:h val="0.44806849312335267"/>
        </c:manualLayout>
      </c:layout>
      <c:doughnutChart>
        <c:varyColors val="1"/>
        <c:ser>
          <c:idx val="1"/>
          <c:order val="0"/>
          <c:tx>
            <c:v>a</c:v>
          </c:tx>
          <c:explosion val="11"/>
          <c:dPt>
            <c:idx val="0"/>
            <c:bubble3D val="0"/>
            <c:spPr>
              <a:solidFill>
                <a:schemeClr val="accent2">
                  <a:lumMod val="20000"/>
                  <a:lumOff val="80000"/>
                </a:schemeClr>
              </a:solidFill>
            </c:spPr>
            <c:extLst>
              <c:ext xmlns:c16="http://schemas.microsoft.com/office/drawing/2014/chart" uri="{C3380CC4-5D6E-409C-BE32-E72D297353CC}">
                <c16:uniqueId val="{00000001-1F29-4054-A3D9-DA780593F783}"/>
              </c:ext>
            </c:extLst>
          </c:dPt>
          <c:dPt>
            <c:idx val="1"/>
            <c:bubble3D val="0"/>
            <c:spPr>
              <a:solidFill>
                <a:schemeClr val="accent2">
                  <a:lumMod val="20000"/>
                  <a:lumOff val="80000"/>
                </a:schemeClr>
              </a:solidFill>
            </c:spPr>
            <c:extLst>
              <c:ext xmlns:c16="http://schemas.microsoft.com/office/drawing/2014/chart" uri="{C3380CC4-5D6E-409C-BE32-E72D297353CC}">
                <c16:uniqueId val="{00000003-1F29-4054-A3D9-DA780593F783}"/>
              </c:ext>
            </c:extLst>
          </c:dPt>
          <c:dPt>
            <c:idx val="2"/>
            <c:bubble3D val="0"/>
            <c:spPr>
              <a:solidFill>
                <a:schemeClr val="accent2">
                  <a:lumMod val="40000"/>
                  <a:lumOff val="60000"/>
                </a:schemeClr>
              </a:solidFill>
            </c:spPr>
            <c:extLst>
              <c:ext xmlns:c16="http://schemas.microsoft.com/office/drawing/2014/chart" uri="{C3380CC4-5D6E-409C-BE32-E72D297353CC}">
                <c16:uniqueId val="{00000005-1F29-4054-A3D9-DA780593F783}"/>
              </c:ext>
            </c:extLst>
          </c:dPt>
          <c:dPt>
            <c:idx val="3"/>
            <c:bubble3D val="0"/>
            <c:spPr>
              <a:solidFill>
                <a:schemeClr val="accent2">
                  <a:lumMod val="40000"/>
                  <a:lumOff val="60000"/>
                </a:schemeClr>
              </a:solidFill>
            </c:spPr>
            <c:extLst>
              <c:ext xmlns:c16="http://schemas.microsoft.com/office/drawing/2014/chart" uri="{C3380CC4-5D6E-409C-BE32-E72D297353CC}">
                <c16:uniqueId val="{00000007-1F29-4054-A3D9-DA780593F783}"/>
              </c:ext>
            </c:extLst>
          </c:dPt>
          <c:dPt>
            <c:idx val="4"/>
            <c:bubble3D val="0"/>
            <c:spPr>
              <a:solidFill>
                <a:schemeClr val="accent2">
                  <a:lumMod val="60000"/>
                  <a:lumOff val="40000"/>
                </a:schemeClr>
              </a:solidFill>
            </c:spPr>
            <c:extLst>
              <c:ext xmlns:c16="http://schemas.microsoft.com/office/drawing/2014/chart" uri="{C3380CC4-5D6E-409C-BE32-E72D297353CC}">
                <c16:uniqueId val="{00000009-1F29-4054-A3D9-DA780593F783}"/>
              </c:ext>
            </c:extLst>
          </c:dPt>
          <c:dPt>
            <c:idx val="5"/>
            <c:bubble3D val="0"/>
            <c:spPr>
              <a:solidFill>
                <a:schemeClr val="accent2">
                  <a:lumMod val="60000"/>
                  <a:lumOff val="40000"/>
                </a:schemeClr>
              </a:solidFill>
            </c:spPr>
            <c:extLst>
              <c:ext xmlns:c16="http://schemas.microsoft.com/office/drawing/2014/chart" uri="{C3380CC4-5D6E-409C-BE32-E72D297353CC}">
                <c16:uniqueId val="{0000000B-1F29-4054-A3D9-DA780593F783}"/>
              </c:ext>
            </c:extLst>
          </c:dPt>
          <c:dPt>
            <c:idx val="6"/>
            <c:bubble3D val="0"/>
            <c:spPr>
              <a:solidFill>
                <a:schemeClr val="accent2">
                  <a:lumMod val="75000"/>
                </a:schemeClr>
              </a:solidFill>
            </c:spPr>
            <c:extLst>
              <c:ext xmlns:c16="http://schemas.microsoft.com/office/drawing/2014/chart" uri="{C3380CC4-5D6E-409C-BE32-E72D297353CC}">
                <c16:uniqueId val="{0000000D-1F29-4054-A3D9-DA780593F783}"/>
              </c:ext>
            </c:extLst>
          </c:dPt>
          <c:dPt>
            <c:idx val="7"/>
            <c:bubble3D val="0"/>
            <c:spPr>
              <a:solidFill>
                <a:schemeClr val="accent2">
                  <a:lumMod val="75000"/>
                </a:schemeClr>
              </a:solidFill>
            </c:spPr>
            <c:extLst>
              <c:ext xmlns:c16="http://schemas.microsoft.com/office/drawing/2014/chart" uri="{C3380CC4-5D6E-409C-BE32-E72D297353CC}">
                <c16:uniqueId val="{0000000F-1F29-4054-A3D9-DA780593F783}"/>
              </c:ext>
            </c:extLst>
          </c:dPt>
          <c:dPt>
            <c:idx val="8"/>
            <c:bubble3D val="0"/>
            <c:spPr>
              <a:solidFill>
                <a:schemeClr val="accent2">
                  <a:lumMod val="50000"/>
                </a:schemeClr>
              </a:solidFill>
            </c:spPr>
            <c:extLst>
              <c:ext xmlns:c16="http://schemas.microsoft.com/office/drawing/2014/chart" uri="{C3380CC4-5D6E-409C-BE32-E72D297353CC}">
                <c16:uniqueId val="{00000011-1F29-4054-A3D9-DA780593F783}"/>
              </c:ext>
            </c:extLst>
          </c:dPt>
          <c:dPt>
            <c:idx val="9"/>
            <c:bubble3D val="0"/>
            <c:spPr>
              <a:noFill/>
            </c:spPr>
            <c:extLst>
              <c:ext xmlns:c16="http://schemas.microsoft.com/office/drawing/2014/chart" uri="{C3380CC4-5D6E-409C-BE32-E72D297353CC}">
                <c16:uniqueId val="{00000013-1F29-4054-A3D9-DA780593F783}"/>
              </c:ext>
            </c:extLst>
          </c:dPt>
          <c:val>
            <c:numLit>
              <c:formatCode>General</c:formatCode>
              <c:ptCount val="10"/>
              <c:pt idx="0">
                <c:v>1</c:v>
              </c:pt>
              <c:pt idx="1">
                <c:v>1</c:v>
              </c:pt>
              <c:pt idx="2">
                <c:v>1</c:v>
              </c:pt>
              <c:pt idx="3">
                <c:v>1</c:v>
              </c:pt>
              <c:pt idx="4">
                <c:v>1</c:v>
              </c:pt>
              <c:pt idx="5">
                <c:v>1</c:v>
              </c:pt>
              <c:pt idx="6">
                <c:v>1</c:v>
              </c:pt>
              <c:pt idx="7">
                <c:v>1</c:v>
              </c:pt>
              <c:pt idx="8">
                <c:v>1</c:v>
              </c:pt>
              <c:pt idx="9">
                <c:v>9</c:v>
              </c:pt>
            </c:numLit>
          </c:val>
          <c:extLst>
            <c:ext xmlns:c16="http://schemas.microsoft.com/office/drawing/2014/chart" uri="{C3380CC4-5D6E-409C-BE32-E72D297353CC}">
              <c16:uniqueId val="{00000014-1F29-4054-A3D9-DA780593F783}"/>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Lit>
              <c:formatCode>General</c:formatCode>
              <c:ptCount val="2"/>
              <c:pt idx="0">
                <c:v>0</c:v>
              </c:pt>
              <c:pt idx="1">
                <c:v>-0.81995210932545226</c:v>
              </c:pt>
            </c:numLit>
          </c:xVal>
          <c:yVal>
            <c:numLit>
              <c:formatCode>General</c:formatCode>
              <c:ptCount val="2"/>
              <c:pt idx="0">
                <c:v>0</c:v>
              </c:pt>
              <c:pt idx="1">
                <c:v>0.57243212559459089</c:v>
              </c:pt>
            </c:numLit>
          </c:yVal>
          <c:smooth val="1"/>
          <c:extLst>
            <c:ext xmlns:c16="http://schemas.microsoft.com/office/drawing/2014/chart" uri="{C3380CC4-5D6E-409C-BE32-E72D297353CC}">
              <c16:uniqueId val="{00000015-1F29-4054-A3D9-DA780593F783}"/>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348245569821949"/>
          <c:y val="0.14622684753176765"/>
          <c:w val="0.43259773527042056"/>
          <c:h val="0.44806849312335267"/>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8B73-4BEC-A267-8136B03083EB}"/>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8B73-4BEC-A267-8136B03083EB}"/>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8B73-4BEC-A267-8136B03083EB}"/>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8B73-4BEC-A267-8136B03083EB}"/>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8B73-4BEC-A267-8136B03083EB}"/>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8B73-4BEC-A267-8136B03083EB}"/>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8B73-4BEC-A267-8136B03083EB}"/>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8B73-4BEC-A267-8136B03083EB}"/>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8B73-4BEC-A267-8136B03083EB}"/>
              </c:ext>
            </c:extLst>
          </c:dPt>
          <c:dPt>
            <c:idx val="9"/>
            <c:bubble3D val="0"/>
            <c:spPr>
              <a:noFill/>
              <a:ln w="19050">
                <a:noFill/>
              </a:ln>
              <a:effectLst/>
            </c:spPr>
            <c:extLst>
              <c:ext xmlns:c16="http://schemas.microsoft.com/office/drawing/2014/chart" uri="{C3380CC4-5D6E-409C-BE32-E72D297353CC}">
                <c16:uniqueId val="{00000013-8B73-4BEC-A267-8136B03083EB}"/>
              </c:ext>
            </c:extLst>
          </c:dPt>
          <c:val>
            <c:numLit>
              <c:formatCode>General</c:formatCode>
              <c:ptCount val="10"/>
              <c:pt idx="0">
                <c:v>1</c:v>
              </c:pt>
              <c:pt idx="1">
                <c:v>1</c:v>
              </c:pt>
              <c:pt idx="2">
                <c:v>1</c:v>
              </c:pt>
              <c:pt idx="3">
                <c:v>1</c:v>
              </c:pt>
              <c:pt idx="4">
                <c:v>1</c:v>
              </c:pt>
              <c:pt idx="5">
                <c:v>1</c:v>
              </c:pt>
              <c:pt idx="6">
                <c:v>1</c:v>
              </c:pt>
              <c:pt idx="7">
                <c:v>1</c:v>
              </c:pt>
              <c:pt idx="8">
                <c:v>1</c:v>
              </c:pt>
              <c:pt idx="9">
                <c:v>9</c:v>
              </c:pt>
            </c:numLit>
          </c:val>
          <c:extLst>
            <c:ext xmlns:c16="http://schemas.microsoft.com/office/drawing/2014/chart" uri="{C3380CC4-5D6E-409C-BE32-E72D297353CC}">
              <c16:uniqueId val="{00000014-8B73-4BEC-A267-8136B03083EB}"/>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8B73-4BEC-A267-8136B03083EB}"/>
              </c:ext>
            </c:extLst>
          </c:dPt>
          <c:xVal>
            <c:numLit>
              <c:formatCode>General</c:formatCode>
              <c:ptCount val="2"/>
              <c:pt idx="0">
                <c:v>0</c:v>
              </c:pt>
              <c:pt idx="1">
                <c:v>-7.532680552793275E-2</c:v>
              </c:pt>
            </c:numLit>
          </c:xVal>
          <c:yVal>
            <c:numLit>
              <c:formatCode>General</c:formatCode>
              <c:ptCount val="2"/>
              <c:pt idx="0">
                <c:v>0</c:v>
              </c:pt>
              <c:pt idx="1">
                <c:v>0.99715890026061393</c:v>
              </c:pt>
            </c:numLit>
          </c:yVal>
          <c:smooth val="1"/>
          <c:extLst>
            <c:ext xmlns:c16="http://schemas.microsoft.com/office/drawing/2014/chart" uri="{C3380CC4-5D6E-409C-BE32-E72D297353CC}">
              <c16:uniqueId val="{00000017-8B73-4BEC-A267-8136B03083EB}"/>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348245569821949"/>
          <c:y val="0.14622684753176765"/>
          <c:w val="0.43259773527042056"/>
          <c:h val="0.44806849312335267"/>
        </c:manualLayout>
      </c:layout>
      <c:doughnutChart>
        <c:varyColors val="1"/>
        <c:ser>
          <c:idx val="1"/>
          <c:order val="0"/>
          <c:tx>
            <c:v>a</c:v>
          </c:tx>
          <c:spPr>
            <a:ln>
              <a:noFill/>
            </a:ln>
          </c:spPr>
          <c:explosion val="5"/>
          <c:dPt>
            <c:idx val="0"/>
            <c:bubble3D val="0"/>
            <c:spPr>
              <a:solidFill>
                <a:schemeClr val="accent1">
                  <a:lumMod val="20000"/>
                  <a:lumOff val="80000"/>
                </a:schemeClr>
              </a:solidFill>
              <a:ln>
                <a:noFill/>
              </a:ln>
            </c:spPr>
            <c:extLst>
              <c:ext xmlns:c16="http://schemas.microsoft.com/office/drawing/2014/chart" uri="{C3380CC4-5D6E-409C-BE32-E72D297353CC}">
                <c16:uniqueId val="{00000001-6A09-4F20-951E-91979515FDDB}"/>
              </c:ext>
            </c:extLst>
          </c:dPt>
          <c:dPt>
            <c:idx val="1"/>
            <c:bubble3D val="0"/>
            <c:spPr>
              <a:solidFill>
                <a:schemeClr val="accent1">
                  <a:lumMod val="20000"/>
                  <a:lumOff val="80000"/>
                </a:schemeClr>
              </a:solidFill>
              <a:ln>
                <a:noFill/>
              </a:ln>
            </c:spPr>
            <c:extLst>
              <c:ext xmlns:c16="http://schemas.microsoft.com/office/drawing/2014/chart" uri="{C3380CC4-5D6E-409C-BE32-E72D297353CC}">
                <c16:uniqueId val="{00000003-6A09-4F20-951E-91979515FDDB}"/>
              </c:ext>
            </c:extLst>
          </c:dPt>
          <c:dPt>
            <c:idx val="2"/>
            <c:bubble3D val="0"/>
            <c:spPr>
              <a:solidFill>
                <a:schemeClr val="accent1">
                  <a:lumMod val="40000"/>
                  <a:lumOff val="60000"/>
                </a:schemeClr>
              </a:solidFill>
              <a:ln>
                <a:noFill/>
              </a:ln>
            </c:spPr>
            <c:extLst>
              <c:ext xmlns:c16="http://schemas.microsoft.com/office/drawing/2014/chart" uri="{C3380CC4-5D6E-409C-BE32-E72D297353CC}">
                <c16:uniqueId val="{00000005-6A09-4F20-951E-91979515FDDB}"/>
              </c:ext>
            </c:extLst>
          </c:dPt>
          <c:dPt>
            <c:idx val="3"/>
            <c:bubble3D val="0"/>
            <c:spPr>
              <a:solidFill>
                <a:schemeClr val="accent1">
                  <a:lumMod val="40000"/>
                  <a:lumOff val="60000"/>
                </a:schemeClr>
              </a:solidFill>
              <a:ln>
                <a:noFill/>
              </a:ln>
            </c:spPr>
            <c:extLst>
              <c:ext xmlns:c16="http://schemas.microsoft.com/office/drawing/2014/chart" uri="{C3380CC4-5D6E-409C-BE32-E72D297353CC}">
                <c16:uniqueId val="{00000007-6A09-4F20-951E-91979515FDDB}"/>
              </c:ext>
            </c:extLst>
          </c:dPt>
          <c:dPt>
            <c:idx val="4"/>
            <c:bubble3D val="0"/>
            <c:spPr>
              <a:solidFill>
                <a:schemeClr val="accent1">
                  <a:lumMod val="60000"/>
                  <a:lumOff val="40000"/>
                </a:schemeClr>
              </a:solidFill>
              <a:ln>
                <a:noFill/>
              </a:ln>
            </c:spPr>
            <c:extLst>
              <c:ext xmlns:c16="http://schemas.microsoft.com/office/drawing/2014/chart" uri="{C3380CC4-5D6E-409C-BE32-E72D297353CC}">
                <c16:uniqueId val="{00000009-6A09-4F20-951E-91979515FDDB}"/>
              </c:ext>
            </c:extLst>
          </c:dPt>
          <c:dPt>
            <c:idx val="5"/>
            <c:bubble3D val="0"/>
            <c:spPr>
              <a:solidFill>
                <a:schemeClr val="accent1">
                  <a:lumMod val="60000"/>
                  <a:lumOff val="40000"/>
                </a:schemeClr>
              </a:solidFill>
              <a:ln>
                <a:noFill/>
              </a:ln>
            </c:spPr>
            <c:extLst>
              <c:ext xmlns:c16="http://schemas.microsoft.com/office/drawing/2014/chart" uri="{C3380CC4-5D6E-409C-BE32-E72D297353CC}">
                <c16:uniqueId val="{0000000B-6A09-4F20-951E-91979515FDDB}"/>
              </c:ext>
            </c:extLst>
          </c:dPt>
          <c:dPt>
            <c:idx val="6"/>
            <c:bubble3D val="0"/>
            <c:spPr>
              <a:solidFill>
                <a:schemeClr val="accent1">
                  <a:lumMod val="75000"/>
                </a:schemeClr>
              </a:solidFill>
              <a:ln>
                <a:noFill/>
              </a:ln>
            </c:spPr>
            <c:extLst>
              <c:ext xmlns:c16="http://schemas.microsoft.com/office/drawing/2014/chart" uri="{C3380CC4-5D6E-409C-BE32-E72D297353CC}">
                <c16:uniqueId val="{0000000D-6A09-4F20-951E-91979515FDDB}"/>
              </c:ext>
            </c:extLst>
          </c:dPt>
          <c:dPt>
            <c:idx val="7"/>
            <c:bubble3D val="0"/>
            <c:spPr>
              <a:solidFill>
                <a:schemeClr val="accent1">
                  <a:lumMod val="75000"/>
                </a:schemeClr>
              </a:solidFill>
              <a:ln>
                <a:noFill/>
              </a:ln>
            </c:spPr>
            <c:extLst>
              <c:ext xmlns:c16="http://schemas.microsoft.com/office/drawing/2014/chart" uri="{C3380CC4-5D6E-409C-BE32-E72D297353CC}">
                <c16:uniqueId val="{0000000F-6A09-4F20-951E-91979515FDDB}"/>
              </c:ext>
            </c:extLst>
          </c:dPt>
          <c:dPt>
            <c:idx val="8"/>
            <c:bubble3D val="0"/>
            <c:spPr>
              <a:solidFill>
                <a:schemeClr val="accent1">
                  <a:lumMod val="50000"/>
                </a:schemeClr>
              </a:solidFill>
              <a:ln>
                <a:noFill/>
              </a:ln>
            </c:spPr>
            <c:extLst>
              <c:ext xmlns:c16="http://schemas.microsoft.com/office/drawing/2014/chart" uri="{C3380CC4-5D6E-409C-BE32-E72D297353CC}">
                <c16:uniqueId val="{00000011-6A09-4F20-951E-91979515FDDB}"/>
              </c:ext>
            </c:extLst>
          </c:dPt>
          <c:dPt>
            <c:idx val="9"/>
            <c:bubble3D val="0"/>
            <c:spPr>
              <a:noFill/>
              <a:ln>
                <a:noFill/>
              </a:ln>
            </c:spPr>
            <c:extLst>
              <c:ext xmlns:c16="http://schemas.microsoft.com/office/drawing/2014/chart" uri="{C3380CC4-5D6E-409C-BE32-E72D297353CC}">
                <c16:uniqueId val="{00000013-6A09-4F20-951E-91979515FDDB}"/>
              </c:ext>
            </c:extLst>
          </c:dPt>
          <c:val>
            <c:numLit>
              <c:formatCode>General</c:formatCode>
              <c:ptCount val="10"/>
              <c:pt idx="0">
                <c:v>1</c:v>
              </c:pt>
              <c:pt idx="1">
                <c:v>1</c:v>
              </c:pt>
              <c:pt idx="2">
                <c:v>1</c:v>
              </c:pt>
              <c:pt idx="3">
                <c:v>1</c:v>
              </c:pt>
              <c:pt idx="4">
                <c:v>1</c:v>
              </c:pt>
              <c:pt idx="5">
                <c:v>1</c:v>
              </c:pt>
              <c:pt idx="6">
                <c:v>1</c:v>
              </c:pt>
              <c:pt idx="7">
                <c:v>1</c:v>
              </c:pt>
              <c:pt idx="8">
                <c:v>1</c:v>
              </c:pt>
              <c:pt idx="9">
                <c:v>9</c:v>
              </c:pt>
            </c:numLit>
          </c:val>
          <c:extLst>
            <c:ext xmlns:c16="http://schemas.microsoft.com/office/drawing/2014/chart" uri="{C3380CC4-5D6E-409C-BE32-E72D297353CC}">
              <c16:uniqueId val="{00000014-6A09-4F20-951E-91979515FDDB}"/>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Lit>
              <c:formatCode>General</c:formatCode>
              <c:ptCount val="2"/>
              <c:pt idx="0">
                <c:v>0</c:v>
              </c:pt>
              <c:pt idx="1">
                <c:v>0.99495101698130017</c:v>
              </c:pt>
            </c:numLit>
          </c:xVal>
          <c:yVal>
            <c:numLit>
              <c:formatCode>General</c:formatCode>
              <c:ptCount val="2"/>
              <c:pt idx="0">
                <c:v>0</c:v>
              </c:pt>
              <c:pt idx="1">
                <c:v>-0.10036171485121473</c:v>
              </c:pt>
            </c:numLit>
          </c:yVal>
          <c:smooth val="1"/>
          <c:extLst>
            <c:ext xmlns:c16="http://schemas.microsoft.com/office/drawing/2014/chart" uri="{C3380CC4-5D6E-409C-BE32-E72D297353CC}">
              <c16:uniqueId val="{00000015-6A09-4F20-951E-91979515FDDB}"/>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63.39</c:v>
                </c:pt>
                <c:pt idx="1">
                  <c:v>60.61</c:v>
                </c:pt>
                <c:pt idx="2">
                  <c:v>58.94</c:v>
                </c:pt>
                <c:pt idx="3">
                  <c:v>57.06</c:v>
                </c:pt>
                <c:pt idx="4">
                  <c:v>57.77</c:v>
                </c:pt>
                <c:pt idx="5">
                  <c:v>59.8</c:v>
                </c:pt>
                <c:pt idx="6">
                  <c:v>69.209999999999994</c:v>
                </c:pt>
                <c:pt idx="7">
                  <c:v>73.760000000000005</c:v>
                </c:pt>
                <c:pt idx="8">
                  <c:v>64.87</c:v>
                </c:pt>
                <c:pt idx="9">
                  <c:v>55.95</c:v>
                </c:pt>
                <c:pt idx="10">
                  <c:v>44.11</c:v>
                </c:pt>
                <c:pt idx="11">
                  <c:v>29.82</c:v>
                </c:pt>
                <c:pt idx="12">
                  <c:v>26.9</c:v>
                </c:pt>
                <c:pt idx="13">
                  <c:v>25.7</c:v>
                </c:pt>
                <c:pt idx="14">
                  <c:v>22.4</c:v>
                </c:pt>
                <c:pt idx="15">
                  <c:v>21.15</c:v>
                </c:pt>
                <c:pt idx="16">
                  <c:v>21.81</c:v>
                </c:pt>
                <c:pt idx="17">
                  <c:v>27.27</c:v>
                </c:pt>
                <c:pt idx="18">
                  <c:v>39.770000000000003</c:v>
                </c:pt>
                <c:pt idx="19">
                  <c:v>54.57</c:v>
                </c:pt>
                <c:pt idx="20">
                  <c:v>74.069999999999993</c:v>
                </c:pt>
                <c:pt idx="21">
                  <c:v>95.31</c:v>
                </c:pt>
                <c:pt idx="22">
                  <c:v>87.43</c:v>
                </c:pt>
                <c:pt idx="23">
                  <c:v>77.349999999999994</c:v>
                </c:pt>
              </c:numCache>
            </c:numRef>
          </c:val>
          <c:smooth val="0"/>
          <c:extLst>
            <c:ext xmlns:c16="http://schemas.microsoft.com/office/drawing/2014/chart" uri="{C3380CC4-5D6E-409C-BE32-E72D297353CC}">
              <c16:uniqueId val="{00000000-9093-43B2-8021-AA985F125AB3}"/>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14.12</c:v>
                </c:pt>
                <c:pt idx="1">
                  <c:v>26.95</c:v>
                </c:pt>
                <c:pt idx="2">
                  <c:v>8.6199999999999992</c:v>
                </c:pt>
                <c:pt idx="3">
                  <c:v>6.45</c:v>
                </c:pt>
                <c:pt idx="4">
                  <c:v>34.22</c:v>
                </c:pt>
                <c:pt idx="5">
                  <c:v>10.35</c:v>
                </c:pt>
                <c:pt idx="6">
                  <c:v>41.08</c:v>
                </c:pt>
                <c:pt idx="7">
                  <c:v>3.83</c:v>
                </c:pt>
                <c:pt idx="8">
                  <c:v>3.25</c:v>
                </c:pt>
                <c:pt idx="10">
                  <c:v>28.68</c:v>
                </c:pt>
                <c:pt idx="11">
                  <c:v>19.100000000000001</c:v>
                </c:pt>
                <c:pt idx="12">
                  <c:v>22.96</c:v>
                </c:pt>
                <c:pt idx="13">
                  <c:v>25.79</c:v>
                </c:pt>
                <c:pt idx="14">
                  <c:v>21.94</c:v>
                </c:pt>
                <c:pt idx="15">
                  <c:v>20.059999999999999</c:v>
                </c:pt>
                <c:pt idx="16">
                  <c:v>20.170000000000002</c:v>
                </c:pt>
                <c:pt idx="17">
                  <c:v>15.11</c:v>
                </c:pt>
                <c:pt idx="18">
                  <c:v>46.15</c:v>
                </c:pt>
                <c:pt idx="19">
                  <c:v>24.07</c:v>
                </c:pt>
                <c:pt idx="20">
                  <c:v>7.3</c:v>
                </c:pt>
                <c:pt idx="21">
                  <c:v>7.2</c:v>
                </c:pt>
                <c:pt idx="22">
                  <c:v>69.64</c:v>
                </c:pt>
              </c:numCache>
            </c:numRef>
          </c:yVal>
          <c:smooth val="0"/>
          <c:extLst>
            <c:ext xmlns:c16="http://schemas.microsoft.com/office/drawing/2014/chart" uri="{C3380CC4-5D6E-409C-BE32-E72D297353CC}">
              <c16:uniqueId val="{00000001-9093-43B2-8021-AA985F125AB3}"/>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8">
                  <c:v>120.22</c:v>
                </c:pt>
                <c:pt idx="20">
                  <c:v>119.68</c:v>
                </c:pt>
                <c:pt idx="21">
                  <c:v>171.15</c:v>
                </c:pt>
                <c:pt idx="22">
                  <c:v>120.47</c:v>
                </c:pt>
              </c:numCache>
            </c:numRef>
          </c:yVal>
          <c:smooth val="0"/>
          <c:extLst>
            <c:ext xmlns:c16="http://schemas.microsoft.com/office/drawing/2014/chart" uri="{C3380CC4-5D6E-409C-BE32-E72D297353CC}">
              <c16:uniqueId val="{00000003-9093-43B2-8021-AA985F125AB3}"/>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102.57</c:v>
                </c:pt>
                <c:pt idx="1">
                  <c:v>102.69</c:v>
                </c:pt>
                <c:pt idx="2">
                  <c:v>102.54</c:v>
                </c:pt>
                <c:pt idx="3">
                  <c:v>100.54</c:v>
                </c:pt>
                <c:pt idx="4">
                  <c:v>74.36</c:v>
                </c:pt>
                <c:pt idx="5">
                  <c:v>104.3</c:v>
                </c:pt>
                <c:pt idx="6">
                  <c:v>87.94</c:v>
                </c:pt>
                <c:pt idx="7">
                  <c:v>130.49</c:v>
                </c:pt>
                <c:pt idx="8">
                  <c:v>92.08</c:v>
                </c:pt>
                <c:pt idx="9">
                  <c:v>64.45</c:v>
                </c:pt>
                <c:pt idx="10">
                  <c:v>48.18</c:v>
                </c:pt>
                <c:pt idx="11">
                  <c:v>43.21</c:v>
                </c:pt>
                <c:pt idx="12">
                  <c:v>46.16</c:v>
                </c:pt>
                <c:pt idx="13">
                  <c:v>41.6</c:v>
                </c:pt>
                <c:pt idx="14">
                  <c:v>0</c:v>
                </c:pt>
                <c:pt idx="15">
                  <c:v>-0.01</c:v>
                </c:pt>
                <c:pt idx="16">
                  <c:v>20.16</c:v>
                </c:pt>
                <c:pt idx="17">
                  <c:v>27.44</c:v>
                </c:pt>
                <c:pt idx="18">
                  <c:v>19.82</c:v>
                </c:pt>
                <c:pt idx="19">
                  <c:v>81.64</c:v>
                </c:pt>
                <c:pt idx="20">
                  <c:v>82.53</c:v>
                </c:pt>
                <c:pt idx="21">
                  <c:v>113.32</c:v>
                </c:pt>
                <c:pt idx="22">
                  <c:v>68.900000000000006</c:v>
                </c:pt>
                <c:pt idx="23">
                  <c:v>81.36</c:v>
                </c:pt>
              </c:numCache>
            </c:numRef>
          </c:yVal>
          <c:smooth val="0"/>
          <c:extLst>
            <c:ext xmlns:c16="http://schemas.microsoft.com/office/drawing/2014/chart" uri="{C3380CC4-5D6E-409C-BE32-E72D297353CC}">
              <c16:uniqueId val="{00000004-9093-43B2-8021-AA985F125AB3}"/>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1"/>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30229557245738453"/>
          <c:w val="0.88320436110107481"/>
          <c:h val="0.57992637437627947"/>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72.380000000000038</c:v>
                </c:pt>
                <c:pt idx="1">
                  <c:v>72.380000000000038</c:v>
                </c:pt>
                <c:pt idx="2">
                  <c:v>72.859999999999971</c:v>
                </c:pt>
                <c:pt idx="3">
                  <c:v>70.960000000000022</c:v>
                </c:pt>
                <c:pt idx="4">
                  <c:v>70.210000000000022</c:v>
                </c:pt>
                <c:pt idx="5">
                  <c:v>70.630000000000038</c:v>
                </c:pt>
                <c:pt idx="6">
                  <c:v>70.630000000000038</c:v>
                </c:pt>
                <c:pt idx="7">
                  <c:v>69.890000000000029</c:v>
                </c:pt>
                <c:pt idx="8">
                  <c:v>69.890000000000029</c:v>
                </c:pt>
                <c:pt idx="9">
                  <c:v>69.890000000000029</c:v>
                </c:pt>
              </c:numCache>
            </c:numRef>
          </c:val>
          <c:smooth val="0"/>
          <c:extLst>
            <c:ext xmlns:c16="http://schemas.microsoft.com/office/drawing/2014/chart" uri="{C3380CC4-5D6E-409C-BE32-E72D297353CC}">
              <c16:uniqueId val="{00000000-501C-4C55-922D-BB2FA1D73D2A}"/>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70.97</c:v>
                </c:pt>
                <c:pt idx="1">
                  <c:v>70.97</c:v>
                </c:pt>
                <c:pt idx="2">
                  <c:v>70.97</c:v>
                </c:pt>
                <c:pt idx="3">
                  <c:v>70.97</c:v>
                </c:pt>
                <c:pt idx="4">
                  <c:v>70.97</c:v>
                </c:pt>
                <c:pt idx="5">
                  <c:v>70.97</c:v>
                </c:pt>
                <c:pt idx="6">
                  <c:v>70.97</c:v>
                </c:pt>
                <c:pt idx="7">
                  <c:v>70.97</c:v>
                </c:pt>
                <c:pt idx="8">
                  <c:v>70.97</c:v>
                </c:pt>
                <c:pt idx="9">
                  <c:v>70.97</c:v>
                </c:pt>
                <c:pt idx="10">
                  <c:v>70.97</c:v>
                </c:pt>
                <c:pt idx="11">
                  <c:v>70.97</c:v>
                </c:pt>
                <c:pt idx="12">
                  <c:v>70.97</c:v>
                </c:pt>
                <c:pt idx="13">
                  <c:v>70.97</c:v>
                </c:pt>
                <c:pt idx="14">
                  <c:v>70.97</c:v>
                </c:pt>
                <c:pt idx="15">
                  <c:v>70.97</c:v>
                </c:pt>
                <c:pt idx="16">
                  <c:v>70.97</c:v>
                </c:pt>
                <c:pt idx="17">
                  <c:v>70.97</c:v>
                </c:pt>
                <c:pt idx="18">
                  <c:v>70.97</c:v>
                </c:pt>
                <c:pt idx="19">
                  <c:v>70.97</c:v>
                </c:pt>
                <c:pt idx="20">
                  <c:v>70.97</c:v>
                </c:pt>
                <c:pt idx="21">
                  <c:v>70.97</c:v>
                </c:pt>
                <c:pt idx="22">
                  <c:v>70.97</c:v>
                </c:pt>
                <c:pt idx="23">
                  <c:v>70.97</c:v>
                </c:pt>
                <c:pt idx="24">
                  <c:v>70.97</c:v>
                </c:pt>
                <c:pt idx="25">
                  <c:v>70.97</c:v>
                </c:pt>
                <c:pt idx="26">
                  <c:v>70.97</c:v>
                </c:pt>
                <c:pt idx="27">
                  <c:v>70.97</c:v>
                </c:pt>
                <c:pt idx="28">
                  <c:v>70.97</c:v>
                </c:pt>
                <c:pt idx="29">
                  <c:v>70.97</c:v>
                </c:pt>
                <c:pt idx="30">
                  <c:v>70.97</c:v>
                </c:pt>
              </c:numCache>
            </c:numRef>
          </c:val>
          <c:smooth val="0"/>
          <c:extLst>
            <c:ext xmlns:c16="http://schemas.microsoft.com/office/drawing/2014/chart" uri="{C3380CC4-5D6E-409C-BE32-E72D297353CC}">
              <c16:uniqueId val="{00000001-501C-4C55-922D-BB2FA1D73D2A}"/>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501C-4C55-922D-BB2FA1D73D2A}"/>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min val="5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majorUnit val="5"/>
      </c:valAx>
      <c:spPr>
        <a:noFill/>
        <a:ln>
          <a:noFill/>
        </a:ln>
        <a:effectLst/>
      </c:spPr>
    </c:plotArea>
    <c:legend>
      <c:legendPos val="t"/>
      <c:layout>
        <c:manualLayout>
          <c:xMode val="edge"/>
          <c:yMode val="edge"/>
          <c:x val="0.14737674847039858"/>
          <c:y val="3.6300182501311236E-2"/>
          <c:w val="0.76827680127688469"/>
          <c:h val="0.12558888013388023"/>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34.5</c:v>
                </c:pt>
                <c:pt idx="1">
                  <c:v>33.850000000000016</c:v>
                </c:pt>
                <c:pt idx="2">
                  <c:v>34.850000000000016</c:v>
                </c:pt>
                <c:pt idx="3">
                  <c:v>36.47000000000002</c:v>
                </c:pt>
                <c:pt idx="4">
                  <c:v>34.79999999999999</c:v>
                </c:pt>
                <c:pt idx="5">
                  <c:v>34.039999999999992</c:v>
                </c:pt>
                <c:pt idx="6">
                  <c:v>33.960000000000008</c:v>
                </c:pt>
                <c:pt idx="7">
                  <c:v>33.399999999999984</c:v>
                </c:pt>
                <c:pt idx="8">
                  <c:v>33.77999999999998</c:v>
                </c:pt>
                <c:pt idx="9">
                  <c:v>33.860000000000007</c:v>
                </c:pt>
              </c:numCache>
            </c:numRef>
          </c:val>
          <c:smooth val="0"/>
          <c:extLst>
            <c:ext xmlns:c16="http://schemas.microsoft.com/office/drawing/2014/chart" uri="{C3380CC4-5D6E-409C-BE32-E72D297353CC}">
              <c16:uniqueId val="{00000000-EC63-4505-96F0-C142D8BC255F}"/>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34.35</c:v>
                </c:pt>
                <c:pt idx="1">
                  <c:v>34.35</c:v>
                </c:pt>
                <c:pt idx="2">
                  <c:v>34.35</c:v>
                </c:pt>
                <c:pt idx="3">
                  <c:v>34.35</c:v>
                </c:pt>
                <c:pt idx="4">
                  <c:v>34.35</c:v>
                </c:pt>
                <c:pt idx="5">
                  <c:v>34.35</c:v>
                </c:pt>
                <c:pt idx="6">
                  <c:v>34.35</c:v>
                </c:pt>
                <c:pt idx="7">
                  <c:v>34.35</c:v>
                </c:pt>
                <c:pt idx="8">
                  <c:v>34.35</c:v>
                </c:pt>
                <c:pt idx="9">
                  <c:v>34.35</c:v>
                </c:pt>
                <c:pt idx="10">
                  <c:v>34.35</c:v>
                </c:pt>
                <c:pt idx="11">
                  <c:v>34.35</c:v>
                </c:pt>
                <c:pt idx="12">
                  <c:v>34.35</c:v>
                </c:pt>
                <c:pt idx="13">
                  <c:v>34.35</c:v>
                </c:pt>
                <c:pt idx="14">
                  <c:v>34.35</c:v>
                </c:pt>
                <c:pt idx="15">
                  <c:v>34.35</c:v>
                </c:pt>
                <c:pt idx="16">
                  <c:v>34.35</c:v>
                </c:pt>
                <c:pt idx="17">
                  <c:v>34.35</c:v>
                </c:pt>
                <c:pt idx="18">
                  <c:v>34.35</c:v>
                </c:pt>
                <c:pt idx="19">
                  <c:v>34.35</c:v>
                </c:pt>
                <c:pt idx="20">
                  <c:v>34.35</c:v>
                </c:pt>
                <c:pt idx="21">
                  <c:v>34.35</c:v>
                </c:pt>
                <c:pt idx="22">
                  <c:v>34.35</c:v>
                </c:pt>
                <c:pt idx="23">
                  <c:v>34.35</c:v>
                </c:pt>
                <c:pt idx="24">
                  <c:v>34.35</c:v>
                </c:pt>
                <c:pt idx="25">
                  <c:v>34.35</c:v>
                </c:pt>
                <c:pt idx="26">
                  <c:v>34.35</c:v>
                </c:pt>
                <c:pt idx="27">
                  <c:v>34.35</c:v>
                </c:pt>
                <c:pt idx="28">
                  <c:v>34.35</c:v>
                </c:pt>
                <c:pt idx="29">
                  <c:v>34.35</c:v>
                </c:pt>
              </c:numCache>
            </c:numRef>
          </c:val>
          <c:smooth val="0"/>
          <c:extLst>
            <c:ext xmlns:c16="http://schemas.microsoft.com/office/drawing/2014/chart" uri="{C3380CC4-5D6E-409C-BE32-E72D297353CC}">
              <c16:uniqueId val="{00000001-EC63-4505-96F0-C142D8BC255F}"/>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EC63-4505-96F0-C142D8BC255F}"/>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3.4861555491874738E-2"/>
          <c:y val="4.6931080503258733E-2"/>
          <c:w val="0.93198015508685794"/>
          <c:h val="0.1622855624646281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63.39</c:v>
                </c:pt>
                <c:pt idx="1">
                  <c:v>60.61</c:v>
                </c:pt>
                <c:pt idx="2">
                  <c:v>58.94</c:v>
                </c:pt>
                <c:pt idx="3">
                  <c:v>57.06</c:v>
                </c:pt>
                <c:pt idx="4">
                  <c:v>57.77</c:v>
                </c:pt>
                <c:pt idx="5">
                  <c:v>59.8</c:v>
                </c:pt>
                <c:pt idx="6">
                  <c:v>69.209999999999994</c:v>
                </c:pt>
                <c:pt idx="7">
                  <c:v>73.760000000000005</c:v>
                </c:pt>
                <c:pt idx="8">
                  <c:v>64.87</c:v>
                </c:pt>
                <c:pt idx="9">
                  <c:v>55.95</c:v>
                </c:pt>
                <c:pt idx="10">
                  <c:v>44.11</c:v>
                </c:pt>
                <c:pt idx="11">
                  <c:v>29.82</c:v>
                </c:pt>
                <c:pt idx="12">
                  <c:v>26.9</c:v>
                </c:pt>
                <c:pt idx="13">
                  <c:v>25.7</c:v>
                </c:pt>
                <c:pt idx="14">
                  <c:v>22.4</c:v>
                </c:pt>
                <c:pt idx="15">
                  <c:v>21.15</c:v>
                </c:pt>
                <c:pt idx="16">
                  <c:v>21.81</c:v>
                </c:pt>
                <c:pt idx="17">
                  <c:v>27.27</c:v>
                </c:pt>
                <c:pt idx="18">
                  <c:v>39.770000000000003</c:v>
                </c:pt>
                <c:pt idx="19">
                  <c:v>54.57</c:v>
                </c:pt>
                <c:pt idx="20">
                  <c:v>74.069999999999993</c:v>
                </c:pt>
                <c:pt idx="21">
                  <c:v>95.31</c:v>
                </c:pt>
                <c:pt idx="22">
                  <c:v>87.43</c:v>
                </c:pt>
                <c:pt idx="23">
                  <c:v>77.349999999999994</c:v>
                </c:pt>
              </c:numCache>
            </c:numRef>
          </c:val>
          <c:smooth val="0"/>
          <c:extLst>
            <c:ext xmlns:c16="http://schemas.microsoft.com/office/drawing/2014/chart" uri="{C3380CC4-5D6E-409C-BE32-E72D297353CC}">
              <c16:uniqueId val="{00000000-E15F-47A6-981A-26DD3FB8C260}"/>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14.12</c:v>
                </c:pt>
                <c:pt idx="1">
                  <c:v>26.95</c:v>
                </c:pt>
                <c:pt idx="2">
                  <c:v>8.6199999999999992</c:v>
                </c:pt>
                <c:pt idx="3">
                  <c:v>6.45</c:v>
                </c:pt>
                <c:pt idx="4">
                  <c:v>34.22</c:v>
                </c:pt>
                <c:pt idx="5">
                  <c:v>10.35</c:v>
                </c:pt>
                <c:pt idx="6">
                  <c:v>41.08</c:v>
                </c:pt>
                <c:pt idx="7">
                  <c:v>3.83</c:v>
                </c:pt>
                <c:pt idx="8">
                  <c:v>3.25</c:v>
                </c:pt>
                <c:pt idx="10">
                  <c:v>28.68</c:v>
                </c:pt>
                <c:pt idx="11">
                  <c:v>19.100000000000001</c:v>
                </c:pt>
                <c:pt idx="12">
                  <c:v>22.96</c:v>
                </c:pt>
                <c:pt idx="13">
                  <c:v>25.79</c:v>
                </c:pt>
                <c:pt idx="14">
                  <c:v>21.94</c:v>
                </c:pt>
                <c:pt idx="15">
                  <c:v>20.059999999999999</c:v>
                </c:pt>
                <c:pt idx="16">
                  <c:v>20.170000000000002</c:v>
                </c:pt>
                <c:pt idx="17">
                  <c:v>15.11</c:v>
                </c:pt>
                <c:pt idx="18">
                  <c:v>46.15</c:v>
                </c:pt>
                <c:pt idx="19">
                  <c:v>24.07</c:v>
                </c:pt>
                <c:pt idx="20">
                  <c:v>7.3</c:v>
                </c:pt>
                <c:pt idx="21">
                  <c:v>7.2</c:v>
                </c:pt>
                <c:pt idx="22">
                  <c:v>69.64</c:v>
                </c:pt>
              </c:numCache>
            </c:numRef>
          </c:yVal>
          <c:smooth val="0"/>
          <c:extLst>
            <c:ext xmlns:c16="http://schemas.microsoft.com/office/drawing/2014/chart" uri="{C3380CC4-5D6E-409C-BE32-E72D297353CC}">
              <c16:uniqueId val="{00000002-E15F-47A6-981A-26DD3FB8C260}"/>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8">
                  <c:v>120.22</c:v>
                </c:pt>
                <c:pt idx="20">
                  <c:v>119.68</c:v>
                </c:pt>
                <c:pt idx="21">
                  <c:v>171.15</c:v>
                </c:pt>
                <c:pt idx="22">
                  <c:v>120.47</c:v>
                </c:pt>
              </c:numCache>
            </c:numRef>
          </c:yVal>
          <c:smooth val="0"/>
          <c:extLst>
            <c:ext xmlns:c16="http://schemas.microsoft.com/office/drawing/2014/chart" uri="{C3380CC4-5D6E-409C-BE32-E72D297353CC}">
              <c16:uniqueId val="{00000004-E15F-47A6-981A-26DD3FB8C260}"/>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102.57</c:v>
                </c:pt>
                <c:pt idx="1">
                  <c:v>102.69</c:v>
                </c:pt>
                <c:pt idx="2">
                  <c:v>102.54</c:v>
                </c:pt>
                <c:pt idx="3">
                  <c:v>100.54</c:v>
                </c:pt>
                <c:pt idx="4">
                  <c:v>74.36</c:v>
                </c:pt>
                <c:pt idx="5">
                  <c:v>104.3</c:v>
                </c:pt>
                <c:pt idx="6">
                  <c:v>87.94</c:v>
                </c:pt>
                <c:pt idx="7">
                  <c:v>130.49</c:v>
                </c:pt>
                <c:pt idx="8">
                  <c:v>92.08</c:v>
                </c:pt>
                <c:pt idx="9">
                  <c:v>64.45</c:v>
                </c:pt>
                <c:pt idx="10">
                  <c:v>48.18</c:v>
                </c:pt>
                <c:pt idx="11">
                  <c:v>43.21</c:v>
                </c:pt>
                <c:pt idx="12">
                  <c:v>46.16</c:v>
                </c:pt>
                <c:pt idx="13">
                  <c:v>41.6</c:v>
                </c:pt>
                <c:pt idx="14">
                  <c:v>0</c:v>
                </c:pt>
                <c:pt idx="15">
                  <c:v>-0.01</c:v>
                </c:pt>
                <c:pt idx="16">
                  <c:v>20.16</c:v>
                </c:pt>
                <c:pt idx="17">
                  <c:v>27.44</c:v>
                </c:pt>
                <c:pt idx="18">
                  <c:v>19.82</c:v>
                </c:pt>
                <c:pt idx="19">
                  <c:v>81.64</c:v>
                </c:pt>
                <c:pt idx="20">
                  <c:v>82.53</c:v>
                </c:pt>
                <c:pt idx="21">
                  <c:v>113.32</c:v>
                </c:pt>
                <c:pt idx="22">
                  <c:v>68.900000000000006</c:v>
                </c:pt>
                <c:pt idx="23">
                  <c:v>81.36</c:v>
                </c:pt>
              </c:numCache>
            </c:numRef>
          </c:yVal>
          <c:smooth val="0"/>
          <c:extLst>
            <c:ext xmlns:c16="http://schemas.microsoft.com/office/drawing/2014/chart" uri="{C3380CC4-5D6E-409C-BE32-E72D297353CC}">
              <c16:uniqueId val="{00000006-E15F-47A6-981A-26DD3FB8C260}"/>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1"/>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30229557245738453"/>
          <c:w val="0.88320436110107481"/>
          <c:h val="0.57992637437627947"/>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72.380000000000038</c:v>
                </c:pt>
                <c:pt idx="1">
                  <c:v>72.380000000000038</c:v>
                </c:pt>
                <c:pt idx="2">
                  <c:v>72.859999999999971</c:v>
                </c:pt>
                <c:pt idx="3">
                  <c:v>70.960000000000022</c:v>
                </c:pt>
                <c:pt idx="4">
                  <c:v>70.210000000000022</c:v>
                </c:pt>
                <c:pt idx="5">
                  <c:v>70.630000000000038</c:v>
                </c:pt>
                <c:pt idx="6">
                  <c:v>70.630000000000038</c:v>
                </c:pt>
                <c:pt idx="7">
                  <c:v>69.890000000000029</c:v>
                </c:pt>
                <c:pt idx="8">
                  <c:v>69.890000000000029</c:v>
                </c:pt>
                <c:pt idx="9">
                  <c:v>69.890000000000029</c:v>
                </c:pt>
              </c:numCache>
            </c:numRef>
          </c:val>
          <c:smooth val="0"/>
          <c:extLst>
            <c:ext xmlns:c16="http://schemas.microsoft.com/office/drawing/2014/chart" uri="{C3380CC4-5D6E-409C-BE32-E72D297353CC}">
              <c16:uniqueId val="{00000000-6629-4A02-8F91-5A22DDEE4A64}"/>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70.97</c:v>
                </c:pt>
                <c:pt idx="1">
                  <c:v>70.97</c:v>
                </c:pt>
                <c:pt idx="2">
                  <c:v>70.97</c:v>
                </c:pt>
                <c:pt idx="3">
                  <c:v>70.97</c:v>
                </c:pt>
                <c:pt idx="4">
                  <c:v>70.97</c:v>
                </c:pt>
                <c:pt idx="5">
                  <c:v>70.97</c:v>
                </c:pt>
                <c:pt idx="6">
                  <c:v>70.97</c:v>
                </c:pt>
                <c:pt idx="7">
                  <c:v>70.97</c:v>
                </c:pt>
                <c:pt idx="8">
                  <c:v>70.97</c:v>
                </c:pt>
                <c:pt idx="9">
                  <c:v>70.97</c:v>
                </c:pt>
                <c:pt idx="10">
                  <c:v>70.97</c:v>
                </c:pt>
                <c:pt idx="11">
                  <c:v>70.97</c:v>
                </c:pt>
                <c:pt idx="12">
                  <c:v>70.97</c:v>
                </c:pt>
                <c:pt idx="13">
                  <c:v>70.97</c:v>
                </c:pt>
                <c:pt idx="14">
                  <c:v>70.97</c:v>
                </c:pt>
                <c:pt idx="15">
                  <c:v>70.97</c:v>
                </c:pt>
                <c:pt idx="16">
                  <c:v>70.97</c:v>
                </c:pt>
                <c:pt idx="17">
                  <c:v>70.97</c:v>
                </c:pt>
                <c:pt idx="18">
                  <c:v>70.97</c:v>
                </c:pt>
                <c:pt idx="19">
                  <c:v>70.97</c:v>
                </c:pt>
                <c:pt idx="20">
                  <c:v>70.97</c:v>
                </c:pt>
                <c:pt idx="21">
                  <c:v>70.97</c:v>
                </c:pt>
                <c:pt idx="22">
                  <c:v>70.97</c:v>
                </c:pt>
                <c:pt idx="23">
                  <c:v>70.97</c:v>
                </c:pt>
                <c:pt idx="24">
                  <c:v>70.97</c:v>
                </c:pt>
                <c:pt idx="25">
                  <c:v>70.97</c:v>
                </c:pt>
                <c:pt idx="26">
                  <c:v>70.97</c:v>
                </c:pt>
                <c:pt idx="27">
                  <c:v>70.97</c:v>
                </c:pt>
                <c:pt idx="28">
                  <c:v>70.97</c:v>
                </c:pt>
                <c:pt idx="29">
                  <c:v>70.97</c:v>
                </c:pt>
                <c:pt idx="30">
                  <c:v>70.97</c:v>
                </c:pt>
              </c:numCache>
            </c:numRef>
          </c:val>
          <c:smooth val="0"/>
          <c:extLst>
            <c:ext xmlns:c16="http://schemas.microsoft.com/office/drawing/2014/chart" uri="{C3380CC4-5D6E-409C-BE32-E72D297353CC}">
              <c16:uniqueId val="{00000001-6629-4A02-8F91-5A22DDEE4A64}"/>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6629-4A02-8F91-5A22DDEE4A64}"/>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min val="5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majorUnit val="5"/>
      </c:valAx>
      <c:spPr>
        <a:noFill/>
        <a:ln>
          <a:noFill/>
        </a:ln>
        <a:effectLst/>
      </c:spPr>
    </c:plotArea>
    <c:legend>
      <c:legendPos val="t"/>
      <c:layout>
        <c:manualLayout>
          <c:xMode val="edge"/>
          <c:yMode val="edge"/>
          <c:x val="0.14737674847039858"/>
          <c:y val="3.6300182501311236E-2"/>
          <c:w val="0.76827680127688469"/>
          <c:h val="0.1255888801338802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9440511210248231E-2"/>
          <c:y val="0.10141847936166613"/>
          <c:w val="0.86115506365106242"/>
          <c:h val="0.74201302251025614"/>
        </c:manualLayout>
      </c:layout>
      <c:barChart>
        <c:barDir val="col"/>
        <c:grouping val="clustered"/>
        <c:varyColors val="0"/>
        <c:dLbls>
          <c:showLegendKey val="0"/>
          <c:showVal val="0"/>
          <c:showCatName val="0"/>
          <c:showSerName val="0"/>
          <c:showPercent val="0"/>
          <c:showBubbleSize val="0"/>
        </c:dLbls>
        <c:gapWidth val="150"/>
        <c:axId val="796336896"/>
        <c:axId val="306093343"/>
        <c:extLst>
          <c:ext xmlns:c15="http://schemas.microsoft.com/office/drawing/2012/chart" uri="{02D57815-91ED-43cb-92C2-25804820EDAC}">
            <c15:filteredBarSeries>
              <c15:ser>
                <c:idx val="4"/>
                <c:order val="4"/>
                <c:tx>
                  <c:strRef>
                    <c:extLst>
                      <c:ext uri="{02D57815-91ED-43cb-92C2-25804820EDAC}">
                        <c15:formulaRef>
                          <c15:sqref>externo!$S$3</c15:sqref>
                        </c15:formulaRef>
                      </c:ext>
                    </c:extLst>
                    <c:strCache>
                      <c:ptCount val="1"/>
                      <c:pt idx="0">
                        <c:v>Media RE</c:v>
                      </c:pt>
                    </c:strCache>
                  </c:strRef>
                </c:tx>
                <c:spPr>
                  <a:solidFill>
                    <a:schemeClr val="accent5"/>
                  </a:solidFill>
                  <a:ln>
                    <a:noFill/>
                  </a:ln>
                  <a:effectLst/>
                </c:spPr>
                <c:invertIfNegative val="0"/>
                <c:val>
                  <c:numRef>
                    <c:extLst>
                      <c:ext uri="{02D57815-91ED-43cb-92C2-25804820EDAC}">
                        <c15:formulaRef>
                          <c15:sqref>externo!$S$4:$S$34</c15:sqref>
                        </c15:formulaRef>
                      </c:ext>
                    </c:extLst>
                    <c:numCache>
                      <c:formatCode>General</c:formatCode>
                      <c:ptCount val="31"/>
                      <c:pt idx="0">
                        <c:v>0.38800000000000001</c:v>
                      </c:pt>
                      <c:pt idx="1">
                        <c:v>0.38800000000000001</c:v>
                      </c:pt>
                      <c:pt idx="2">
                        <c:v>0.38800000000000001</c:v>
                      </c:pt>
                      <c:pt idx="3">
                        <c:v>0.38800000000000001</c:v>
                      </c:pt>
                      <c:pt idx="4">
                        <c:v>0.38800000000000001</c:v>
                      </c:pt>
                      <c:pt idx="5">
                        <c:v>0.38800000000000001</c:v>
                      </c:pt>
                      <c:pt idx="6">
                        <c:v>0.38800000000000001</c:v>
                      </c:pt>
                      <c:pt idx="7">
                        <c:v>0.38800000000000001</c:v>
                      </c:pt>
                      <c:pt idx="8">
                        <c:v>0.38800000000000001</c:v>
                      </c:pt>
                      <c:pt idx="9">
                        <c:v>0.38800000000000001</c:v>
                      </c:pt>
                      <c:pt idx="10">
                        <c:v>0.38800000000000001</c:v>
                      </c:pt>
                      <c:pt idx="11">
                        <c:v>0.38800000000000001</c:v>
                      </c:pt>
                      <c:pt idx="12">
                        <c:v>0.38800000000000001</c:v>
                      </c:pt>
                      <c:pt idx="13">
                        <c:v>0.38800000000000001</c:v>
                      </c:pt>
                      <c:pt idx="14">
                        <c:v>0.38800000000000001</c:v>
                      </c:pt>
                      <c:pt idx="15">
                        <c:v>0.38800000000000001</c:v>
                      </c:pt>
                      <c:pt idx="16">
                        <c:v>0.38800000000000001</c:v>
                      </c:pt>
                      <c:pt idx="17">
                        <c:v>0.38800000000000001</c:v>
                      </c:pt>
                      <c:pt idx="18">
                        <c:v>0.38800000000000001</c:v>
                      </c:pt>
                      <c:pt idx="19">
                        <c:v>0.38800000000000001</c:v>
                      </c:pt>
                      <c:pt idx="20">
                        <c:v>0.38800000000000001</c:v>
                      </c:pt>
                      <c:pt idx="21">
                        <c:v>0.38800000000000001</c:v>
                      </c:pt>
                      <c:pt idx="22">
                        <c:v>0.38800000000000001</c:v>
                      </c:pt>
                      <c:pt idx="23">
                        <c:v>0.38800000000000001</c:v>
                      </c:pt>
                      <c:pt idx="24">
                        <c:v>0.38800000000000001</c:v>
                      </c:pt>
                      <c:pt idx="25">
                        <c:v>0.38800000000000001</c:v>
                      </c:pt>
                      <c:pt idx="26">
                        <c:v>0.38800000000000001</c:v>
                      </c:pt>
                      <c:pt idx="27">
                        <c:v>0.38800000000000001</c:v>
                      </c:pt>
                      <c:pt idx="28">
                        <c:v>0.38800000000000001</c:v>
                      </c:pt>
                      <c:pt idx="29">
                        <c:v>0.38800000000000001</c:v>
                      </c:pt>
                      <c:pt idx="30">
                        <c:v>0.38800000000000001</c:v>
                      </c:pt>
                    </c:numCache>
                  </c:numRef>
                </c:val>
                <c:extLst>
                  <c:ext xmlns:c16="http://schemas.microsoft.com/office/drawing/2014/chart" uri="{C3380CC4-5D6E-409C-BE32-E72D297353CC}">
                    <c16:uniqueId val="{00000006-955C-49EE-AA1A-F93A38FE3B1C}"/>
                  </c:ext>
                </c:extLst>
              </c15:ser>
            </c15:filteredBarSeries>
          </c:ext>
        </c:extLst>
      </c:barChart>
      <c:barChart>
        <c:barDir val="col"/>
        <c:grouping val="clustered"/>
        <c:varyColors val="0"/>
        <c:ser>
          <c:idx val="3"/>
          <c:order val="3"/>
          <c:tx>
            <c:strRef>
              <c:f>externo!$R$3</c:f>
              <c:strCache>
                <c:ptCount val="1"/>
                <c:pt idx="0">
                  <c:v>% Horas RE</c:v>
                </c:pt>
              </c:strCache>
            </c:strRef>
          </c:tx>
          <c:spPr>
            <a:solidFill>
              <a:schemeClr val="accent6">
                <a:alpha val="52000"/>
              </a:schemeClr>
            </a:solidFill>
            <a:ln>
              <a:noFill/>
            </a:ln>
            <a:effectLst/>
          </c:spPr>
          <c:invertIfNegative val="0"/>
          <c:val>
            <c:numRef>
              <c:f>externo!$R$4:$R$34</c:f>
              <c:numCache>
                <c:formatCode>General</c:formatCode>
                <c:ptCount val="31"/>
                <c:pt idx="0">
                  <c:v>0.66666666666666663</c:v>
                </c:pt>
                <c:pt idx="1">
                  <c:v>0.70833333333333337</c:v>
                </c:pt>
                <c:pt idx="2">
                  <c:v>0.58333333333333337</c:v>
                </c:pt>
                <c:pt idx="3">
                  <c:v>8.3333333333333329E-2</c:v>
                </c:pt>
                <c:pt idx="4">
                  <c:v>0.16666666666666666</c:v>
                </c:pt>
                <c:pt idx="5">
                  <c:v>0.25</c:v>
                </c:pt>
                <c:pt idx="6">
                  <c:v>0.29166666666666669</c:v>
                </c:pt>
                <c:pt idx="7">
                  <c:v>0.20833333333333337</c:v>
                </c:pt>
                <c:pt idx="8">
                  <c:v>0.45833333333333326</c:v>
                </c:pt>
                <c:pt idx="9">
                  <c:v>0.45833333333333326</c:v>
                </c:pt>
              </c:numCache>
            </c:numRef>
          </c:val>
          <c:extLst>
            <c:ext xmlns:c16="http://schemas.microsoft.com/office/drawing/2014/chart" uri="{C3380CC4-5D6E-409C-BE32-E72D297353CC}">
              <c16:uniqueId val="{00000000-955C-49EE-AA1A-F93A38FE3B1C}"/>
            </c:ext>
          </c:extLst>
        </c:ser>
        <c:ser>
          <c:idx val="5"/>
          <c:order val="5"/>
          <c:tx>
            <c:strRef>
              <c:f>externo!$T$3</c:f>
              <c:strCache>
                <c:ptCount val="1"/>
                <c:pt idx="0">
                  <c:v>% Horas TCC</c:v>
                </c:pt>
              </c:strCache>
            </c:strRef>
          </c:tx>
          <c:spPr>
            <a:solidFill>
              <a:schemeClr val="accent2">
                <a:alpha val="44000"/>
              </a:schemeClr>
            </a:solidFill>
            <a:ln>
              <a:noFill/>
            </a:ln>
            <a:effectLst/>
          </c:spPr>
          <c:invertIfNegative val="0"/>
          <c:val>
            <c:numRef>
              <c:f>externo!$T$4:$T$34</c:f>
              <c:numCache>
                <c:formatCode>General</c:formatCode>
                <c:ptCount val="31"/>
                <c:pt idx="0">
                  <c:v>0</c:v>
                </c:pt>
                <c:pt idx="1">
                  <c:v>0</c:v>
                </c:pt>
                <c:pt idx="2">
                  <c:v>0</c:v>
                </c:pt>
                <c:pt idx="3">
                  <c:v>4.1666666666666664E-2</c:v>
                </c:pt>
                <c:pt idx="4">
                  <c:v>0.125</c:v>
                </c:pt>
                <c:pt idx="5">
                  <c:v>8.3333333333333329E-2</c:v>
                </c:pt>
                <c:pt idx="6">
                  <c:v>0</c:v>
                </c:pt>
                <c:pt idx="7">
                  <c:v>0</c:v>
                </c:pt>
                <c:pt idx="8">
                  <c:v>0</c:v>
                </c:pt>
                <c:pt idx="9">
                  <c:v>0</c:v>
                </c:pt>
              </c:numCache>
            </c:numRef>
          </c:val>
          <c:extLst>
            <c:ext xmlns:c16="http://schemas.microsoft.com/office/drawing/2014/chart" uri="{C3380CC4-5D6E-409C-BE32-E72D297353CC}">
              <c16:uniqueId val="{00000001-955C-49EE-AA1A-F93A38FE3B1C}"/>
            </c:ext>
          </c:extLst>
        </c:ser>
        <c:ser>
          <c:idx val="7"/>
          <c:order val="7"/>
          <c:tx>
            <c:strRef>
              <c:f>externo!$V$3</c:f>
              <c:strCache>
                <c:ptCount val="1"/>
                <c:pt idx="0">
                  <c:v>% Horas HI</c:v>
                </c:pt>
              </c:strCache>
            </c:strRef>
          </c:tx>
          <c:spPr>
            <a:solidFill>
              <a:schemeClr val="accent1">
                <a:alpha val="32000"/>
              </a:schemeClr>
            </a:solidFill>
            <a:ln>
              <a:noFill/>
            </a:ln>
            <a:effectLst/>
          </c:spPr>
          <c:invertIfNegative val="0"/>
          <c:val>
            <c:numRef>
              <c:f>externo!$V$4:$V$34</c:f>
              <c:numCache>
                <c:formatCode>General</c:formatCode>
                <c:ptCount val="31"/>
                <c:pt idx="0">
                  <c:v>0.20833333333333337</c:v>
                </c:pt>
                <c:pt idx="1">
                  <c:v>0.16666666666666666</c:v>
                </c:pt>
                <c:pt idx="2">
                  <c:v>0.20833333333333337</c:v>
                </c:pt>
                <c:pt idx="3">
                  <c:v>0.58333333333333337</c:v>
                </c:pt>
                <c:pt idx="4">
                  <c:v>0.5</c:v>
                </c:pt>
                <c:pt idx="5">
                  <c:v>0.5</c:v>
                </c:pt>
                <c:pt idx="6">
                  <c:v>0.54166666666666663</c:v>
                </c:pt>
                <c:pt idx="7">
                  <c:v>0.45833333333333326</c:v>
                </c:pt>
                <c:pt idx="8">
                  <c:v>0.45833333333333326</c:v>
                </c:pt>
                <c:pt idx="9">
                  <c:v>0.125</c:v>
                </c:pt>
              </c:numCache>
            </c:numRef>
          </c:val>
          <c:extLst>
            <c:ext xmlns:c16="http://schemas.microsoft.com/office/drawing/2014/chart" uri="{C3380CC4-5D6E-409C-BE32-E72D297353CC}">
              <c16:uniqueId val="{00000002-955C-49EE-AA1A-F93A38FE3B1C}"/>
            </c:ext>
          </c:extLst>
        </c:ser>
        <c:dLbls>
          <c:showLegendKey val="0"/>
          <c:showVal val="0"/>
          <c:showCatName val="0"/>
          <c:showSerName val="0"/>
          <c:showPercent val="0"/>
          <c:showBubbleSize val="0"/>
        </c:dLbls>
        <c:gapWidth val="180"/>
        <c:axId val="327395439"/>
        <c:axId val="306049199"/>
        <c:extLst>
          <c:ext xmlns:c15="http://schemas.microsoft.com/office/drawing/2012/chart" uri="{02D57815-91ED-43cb-92C2-25804820EDAC}">
            <c15:filteredBarSeries>
              <c15:ser>
                <c:idx val="0"/>
                <c:order val="0"/>
                <c:tx>
                  <c:strRef>
                    <c:extLst>
                      <c:ext uri="{02D57815-91ED-43cb-92C2-25804820EDAC}">
                        <c15:formulaRef>
                          <c15:sqref>externo!$O$3</c15:sqref>
                        </c15:formulaRef>
                      </c:ext>
                    </c:extLst>
                    <c:strCache>
                      <c:ptCount val="1"/>
                      <c:pt idx="0">
                        <c:v>Dia</c:v>
                      </c:pt>
                    </c:strCache>
                  </c:strRef>
                </c:tx>
                <c:spPr>
                  <a:solidFill>
                    <a:schemeClr val="accent1"/>
                  </a:solidFill>
                  <a:ln>
                    <a:noFill/>
                  </a:ln>
                  <a:effectLst/>
                </c:spPr>
                <c:invertIfNegative val="0"/>
                <c:val>
                  <c:numRef>
                    <c:extLst>
                      <c:ext uri="{02D57815-91ED-43cb-92C2-25804820EDAC}">
                        <c15:formulaRef>
                          <c15:sqref>externo!$O$4:$O$34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extLst>
                  <c:ext xmlns:c16="http://schemas.microsoft.com/office/drawing/2014/chart" uri="{C3380CC4-5D6E-409C-BE32-E72D297353CC}">
                    <c16:uniqueId val="{00000005-955C-49EE-AA1A-F93A38FE3B1C}"/>
                  </c:ext>
                </c:extLst>
              </c15:ser>
            </c15:filteredBarSeries>
          </c:ext>
        </c:extLst>
      </c:barChart>
      <c:lineChart>
        <c:grouping val="standard"/>
        <c:varyColors val="0"/>
        <c:ser>
          <c:idx val="1"/>
          <c:order val="1"/>
          <c:tx>
            <c:strRef>
              <c:f>externo!$P$3</c:f>
              <c:strCache>
                <c:ptCount val="1"/>
                <c:pt idx="0">
                  <c:v>Omie media mensual (€/MWh)</c:v>
                </c:pt>
              </c:strCache>
            </c:strRef>
          </c:tx>
          <c:spPr>
            <a:ln w="22225" cap="rnd">
              <a:solidFill>
                <a:schemeClr val="bg1">
                  <a:lumMod val="50000"/>
                </a:schemeClr>
              </a:solidFill>
              <a:prstDash val="sysDot"/>
              <a:round/>
            </a:ln>
            <a:effectLst/>
          </c:spPr>
          <c:marker>
            <c:symbol val="none"/>
          </c:marker>
          <c:val>
            <c:numRef>
              <c:f>externo!$P$4:$P$34</c:f>
              <c:numCache>
                <c:formatCode>General</c:formatCode>
                <c:ptCount val="31"/>
                <c:pt idx="0">
                  <c:v>52.048999999999999</c:v>
                </c:pt>
                <c:pt idx="1">
                  <c:v>52.048999999999999</c:v>
                </c:pt>
                <c:pt idx="2">
                  <c:v>52.048999999999999</c:v>
                </c:pt>
                <c:pt idx="3">
                  <c:v>52.048999999999999</c:v>
                </c:pt>
                <c:pt idx="4">
                  <c:v>52.048999999999999</c:v>
                </c:pt>
                <c:pt idx="5">
                  <c:v>52.048999999999999</c:v>
                </c:pt>
                <c:pt idx="6">
                  <c:v>52.048999999999999</c:v>
                </c:pt>
                <c:pt idx="7">
                  <c:v>52.048999999999999</c:v>
                </c:pt>
                <c:pt idx="8">
                  <c:v>52.048999999999999</c:v>
                </c:pt>
                <c:pt idx="9">
                  <c:v>52.048999999999999</c:v>
                </c:pt>
                <c:pt idx="10">
                  <c:v>52.048999999999999</c:v>
                </c:pt>
                <c:pt idx="11">
                  <c:v>52.048999999999999</c:v>
                </c:pt>
                <c:pt idx="12">
                  <c:v>52.048999999999999</c:v>
                </c:pt>
                <c:pt idx="13">
                  <c:v>52.048999999999999</c:v>
                </c:pt>
                <c:pt idx="14">
                  <c:v>52.048999999999999</c:v>
                </c:pt>
                <c:pt idx="15">
                  <c:v>52.048999999999999</c:v>
                </c:pt>
                <c:pt idx="16">
                  <c:v>52.048999999999999</c:v>
                </c:pt>
                <c:pt idx="17">
                  <c:v>52.048999999999999</c:v>
                </c:pt>
                <c:pt idx="18">
                  <c:v>52.048999999999999</c:v>
                </c:pt>
                <c:pt idx="19">
                  <c:v>52.048999999999999</c:v>
                </c:pt>
                <c:pt idx="20">
                  <c:v>52.048999999999999</c:v>
                </c:pt>
                <c:pt idx="21">
                  <c:v>52.048999999999999</c:v>
                </c:pt>
                <c:pt idx="22">
                  <c:v>52.048999999999999</c:v>
                </c:pt>
                <c:pt idx="23">
                  <c:v>52.048999999999999</c:v>
                </c:pt>
                <c:pt idx="24">
                  <c:v>52.048999999999999</c:v>
                </c:pt>
                <c:pt idx="25">
                  <c:v>52.048999999999999</c:v>
                </c:pt>
                <c:pt idx="26">
                  <c:v>52.048999999999999</c:v>
                </c:pt>
                <c:pt idx="27">
                  <c:v>52.048999999999999</c:v>
                </c:pt>
                <c:pt idx="28">
                  <c:v>52.048999999999999</c:v>
                </c:pt>
                <c:pt idx="29">
                  <c:v>52.048999999999999</c:v>
                </c:pt>
                <c:pt idx="30">
                  <c:v>52.048999999999999</c:v>
                </c:pt>
              </c:numCache>
            </c:numRef>
          </c:val>
          <c:smooth val="0"/>
          <c:extLst>
            <c:ext xmlns:c16="http://schemas.microsoft.com/office/drawing/2014/chart" uri="{C3380CC4-5D6E-409C-BE32-E72D297353CC}">
              <c16:uniqueId val="{00000003-955C-49EE-AA1A-F93A38FE3B1C}"/>
            </c:ext>
          </c:extLst>
        </c:ser>
        <c:ser>
          <c:idx val="2"/>
          <c:order val="2"/>
          <c:tx>
            <c:strRef>
              <c:f>externo!$Q$3</c:f>
              <c:strCache>
                <c:ptCount val="1"/>
                <c:pt idx="0">
                  <c:v>Omie media diaria</c:v>
                </c:pt>
              </c:strCache>
            </c:strRef>
          </c:tx>
          <c:spPr>
            <a:ln w="25400" cap="rnd">
              <a:solidFill>
                <a:schemeClr val="tx1"/>
              </a:solidFill>
              <a:round/>
            </a:ln>
            <a:effectLst/>
          </c:spPr>
          <c:marker>
            <c:symbol val="none"/>
          </c:marker>
          <c:val>
            <c:numRef>
              <c:f>externo!$Q$4:$Q$34</c:f>
              <c:numCache>
                <c:formatCode>General</c:formatCode>
                <c:ptCount val="31"/>
                <c:pt idx="0">
                  <c:v>1.7595833333333333</c:v>
                </c:pt>
                <c:pt idx="1">
                  <c:v>4.2612499999999986</c:v>
                </c:pt>
                <c:pt idx="2">
                  <c:v>28.55541666666667</c:v>
                </c:pt>
                <c:pt idx="3">
                  <c:v>87.639999999999986</c:v>
                </c:pt>
                <c:pt idx="4">
                  <c:v>93.260416666666671</c:v>
                </c:pt>
                <c:pt idx="5">
                  <c:v>93.423333333333332</c:v>
                </c:pt>
                <c:pt idx="6">
                  <c:v>79.132916666666674</c:v>
                </c:pt>
                <c:pt idx="7">
                  <c:v>71.420416666666668</c:v>
                </c:pt>
                <c:pt idx="8">
                  <c:v>16.427916666666665</c:v>
                </c:pt>
                <c:pt idx="9">
                  <c:v>44.605833333333329</c:v>
                </c:pt>
              </c:numCache>
            </c:numRef>
          </c:val>
          <c:smooth val="0"/>
          <c:extLst>
            <c:ext xmlns:c16="http://schemas.microsoft.com/office/drawing/2014/chart" uri="{C3380CC4-5D6E-409C-BE32-E72D297353CC}">
              <c16:uniqueId val="{00000004-955C-49EE-AA1A-F93A38FE3B1C}"/>
            </c:ext>
          </c:extLst>
        </c:ser>
        <c:dLbls>
          <c:showLegendKey val="0"/>
          <c:showVal val="0"/>
          <c:showCatName val="0"/>
          <c:showSerName val="0"/>
          <c:showPercent val="0"/>
          <c:showBubbleSize val="0"/>
        </c:dLbls>
        <c:marker val="1"/>
        <c:smooth val="0"/>
        <c:axId val="796336896"/>
        <c:axId val="306093343"/>
        <c:extLst>
          <c:ext xmlns:c15="http://schemas.microsoft.com/office/drawing/2012/chart" uri="{02D57815-91ED-43cb-92C2-25804820EDAC}">
            <c15:filteredLineSeries>
              <c15:ser>
                <c:idx val="6"/>
                <c:order val="6"/>
                <c:tx>
                  <c:strRef>
                    <c:extLst>
                      <c:ext uri="{02D57815-91ED-43cb-92C2-25804820EDAC}">
                        <c15:formulaRef>
                          <c15:sqref>externo!$U$3</c15:sqref>
                        </c15:formulaRef>
                      </c:ext>
                    </c:extLst>
                    <c:strCache>
                      <c:ptCount val="1"/>
                      <c:pt idx="0">
                        <c:v>Media TCC</c:v>
                      </c:pt>
                    </c:strCache>
                  </c:strRef>
                </c:tx>
                <c:spPr>
                  <a:ln w="28575" cap="rnd">
                    <a:solidFill>
                      <a:schemeClr val="accent1">
                        <a:lumMod val="60000"/>
                      </a:schemeClr>
                    </a:solidFill>
                    <a:round/>
                  </a:ln>
                  <a:effectLst/>
                </c:spPr>
                <c:marker>
                  <c:symbol val="none"/>
                </c:marker>
                <c:val>
                  <c:numRef>
                    <c:extLst>
                      <c:ext uri="{02D57815-91ED-43cb-92C2-25804820EDAC}">
                        <c15:formulaRef>
                          <c15:sqref>externo!$U$4:$U$34</c15:sqref>
                        </c15:formulaRef>
                      </c:ext>
                    </c:extLst>
                    <c:numCache>
                      <c:formatCode>General</c:formatCode>
                      <c:ptCount val="31"/>
                      <c:pt idx="0">
                        <c:v>2.5000000000000001E-2</c:v>
                      </c:pt>
                      <c:pt idx="1">
                        <c:v>2.8000000000000001E-2</c:v>
                      </c:pt>
                      <c:pt idx="2">
                        <c:v>3.1E-2</c:v>
                      </c:pt>
                      <c:pt idx="3">
                        <c:v>3.5999999999999997E-2</c:v>
                      </c:pt>
                      <c:pt idx="4">
                        <c:v>3.5000000000000003E-2</c:v>
                      </c:pt>
                      <c:pt idx="5">
                        <c:v>1.7000000000000001E-2</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7-955C-49EE-AA1A-F93A38FE3B1C}"/>
                  </c:ext>
                </c:extLst>
              </c15:ser>
            </c15:filteredLineSeries>
            <c15:filteredLineSeries>
              <c15:ser>
                <c:idx val="8"/>
                <c:order val="8"/>
                <c:tx>
                  <c:strRef>
                    <c:extLst xmlns:c15="http://schemas.microsoft.com/office/drawing/2012/chart">
                      <c:ext xmlns:c15="http://schemas.microsoft.com/office/drawing/2012/chart" uri="{02D57815-91ED-43cb-92C2-25804820EDAC}">
                        <c15:formulaRef>
                          <c15:sqref>externo!$W$3</c15:sqref>
                        </c15:formulaRef>
                      </c:ext>
                    </c:extLst>
                    <c:strCache>
                      <c:ptCount val="1"/>
                      <c:pt idx="0">
                        <c:v>Media HI</c:v>
                      </c:pt>
                    </c:strCache>
                  </c:strRef>
                </c:tx>
                <c:spPr>
                  <a:ln w="28575" cap="rnd">
                    <a:solidFill>
                      <a:schemeClr val="accent3">
                        <a:lumMod val="60000"/>
                      </a:schemeClr>
                    </a:solidFill>
                    <a:round/>
                  </a:ln>
                  <a:effectLst/>
                </c:spPr>
                <c:marker>
                  <c:symbol val="none"/>
                </c:marker>
                <c:val>
                  <c:numRef>
                    <c:extLst xmlns:c15="http://schemas.microsoft.com/office/drawing/2012/chart">
                      <c:ext xmlns:c15="http://schemas.microsoft.com/office/drawing/2012/chart" uri="{02D57815-91ED-43cb-92C2-25804820EDAC}">
                        <c15:formulaRef>
                          <c15:sqref>externo!$W$4:$W$34</c15:sqref>
                        </c15:formulaRef>
                      </c:ext>
                    </c:extLst>
                    <c:numCache>
                      <c:formatCode>General</c:formatCode>
                      <c:ptCount val="31"/>
                      <c:pt idx="0">
                        <c:v>0.375</c:v>
                      </c:pt>
                      <c:pt idx="1">
                        <c:v>0.39400000000000002</c:v>
                      </c:pt>
                      <c:pt idx="2">
                        <c:v>0.42199999999999999</c:v>
                      </c:pt>
                      <c:pt idx="3">
                        <c:v>0.45200000000000001</c:v>
                      </c:pt>
                      <c:pt idx="4">
                        <c:v>0.43099999999999999</c:v>
                      </c:pt>
                      <c:pt idx="5">
                        <c:v>0.41699999999999998</c:v>
                      </c:pt>
                      <c:pt idx="6">
                        <c:v>0.39600000000000002</c:v>
                      </c:pt>
                      <c:pt idx="7">
                        <c:v>0.34699999999999998</c:v>
                      </c:pt>
                      <c:pt idx="8">
                        <c:v>0.29199999999999998</c:v>
                      </c:pt>
                      <c:pt idx="9">
                        <c:v>0.125</c:v>
                      </c:pt>
                      <c:pt idx="10">
                        <c:v>0.125</c:v>
                      </c:pt>
                      <c:pt idx="11">
                        <c:v>0.125</c:v>
                      </c:pt>
                      <c:pt idx="12">
                        <c:v>0.125</c:v>
                      </c:pt>
                      <c:pt idx="13">
                        <c:v>0.125</c:v>
                      </c:pt>
                      <c:pt idx="14">
                        <c:v>0.125</c:v>
                      </c:pt>
                      <c:pt idx="15">
                        <c:v>0.125</c:v>
                      </c:pt>
                      <c:pt idx="16">
                        <c:v>0.125</c:v>
                      </c:pt>
                      <c:pt idx="17">
                        <c:v>0.125</c:v>
                      </c:pt>
                      <c:pt idx="18">
                        <c:v>0.125</c:v>
                      </c:pt>
                      <c:pt idx="19">
                        <c:v>0.125</c:v>
                      </c:pt>
                      <c:pt idx="20">
                        <c:v>0.125</c:v>
                      </c:pt>
                      <c:pt idx="21">
                        <c:v>0.125</c:v>
                      </c:pt>
                      <c:pt idx="22">
                        <c:v>0.125</c:v>
                      </c:pt>
                      <c:pt idx="23">
                        <c:v>0.125</c:v>
                      </c:pt>
                      <c:pt idx="24">
                        <c:v>0.125</c:v>
                      </c:pt>
                      <c:pt idx="25">
                        <c:v>0.125</c:v>
                      </c:pt>
                      <c:pt idx="26">
                        <c:v>0.125</c:v>
                      </c:pt>
                      <c:pt idx="27">
                        <c:v>0.125</c:v>
                      </c:pt>
                      <c:pt idx="28">
                        <c:v>0.125</c:v>
                      </c:pt>
                      <c:pt idx="29">
                        <c:v>0.125</c:v>
                      </c:pt>
                      <c:pt idx="30">
                        <c:v>0.125</c:v>
                      </c:pt>
                    </c:numCache>
                  </c:numRef>
                </c:val>
                <c:smooth val="0"/>
                <c:extLst xmlns:c15="http://schemas.microsoft.com/office/drawing/2012/chart">
                  <c:ext xmlns:c16="http://schemas.microsoft.com/office/drawing/2014/chart" uri="{C3380CC4-5D6E-409C-BE32-E72D297353CC}">
                    <c16:uniqueId val="{00000008-955C-49EE-AA1A-F93A38FE3B1C}"/>
                  </c:ext>
                </c:extLst>
              </c15:ser>
            </c15:filteredLineSeries>
          </c:ext>
        </c:extLst>
      </c:lineChart>
      <c:catAx>
        <c:axId val="796336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306093343"/>
        <c:crosses val="autoZero"/>
        <c:auto val="1"/>
        <c:lblAlgn val="ctr"/>
        <c:lblOffset val="100"/>
        <c:noMultiLvlLbl val="0"/>
      </c:catAx>
      <c:valAx>
        <c:axId val="30609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796336896"/>
        <c:crosses val="autoZero"/>
        <c:crossBetween val="between"/>
      </c:valAx>
      <c:valAx>
        <c:axId val="306049199"/>
        <c:scaling>
          <c:orientation val="minMax"/>
          <c:max val="2"/>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400" b="0" i="0" u="none" strike="noStrike" kern="1200" baseline="0">
                <a:solidFill>
                  <a:schemeClr val="bg1"/>
                </a:solidFill>
                <a:latin typeface="Arial Narrow" panose="020B0606020202030204" pitchFamily="34" charset="0"/>
                <a:ea typeface="+mn-ea"/>
                <a:cs typeface="+mn-cs"/>
              </a:defRPr>
            </a:pPr>
            <a:endParaRPr lang="es-ES"/>
          </a:p>
        </c:txPr>
        <c:crossAx val="327395439"/>
        <c:crosses val="max"/>
        <c:crossBetween val="between"/>
      </c:valAx>
      <c:catAx>
        <c:axId val="327395439"/>
        <c:scaling>
          <c:orientation val="minMax"/>
        </c:scaling>
        <c:delete val="1"/>
        <c:axPos val="b"/>
        <c:majorTickMark val="out"/>
        <c:minorTickMark val="none"/>
        <c:tickLblPos val="nextTo"/>
        <c:crossAx val="30604919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2062164987398E-2"/>
          <c:y val="7.872191763610005E-2"/>
          <c:w val="0.94398146897181301"/>
          <c:h val="0.63417832401184715"/>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739F-4B76-A142-F3D5219ED2F1}"/>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739F-4B76-A142-F3D5219ED2F1}"/>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739F-4B76-A142-F3D5219ED2F1}"/>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739F-4B76-A142-F3D5219ED2F1}"/>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739F-4B76-A142-F3D5219ED2F1}"/>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739F-4B76-A142-F3D5219ED2F1}"/>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739F-4B76-A142-F3D5219ED2F1}"/>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739F-4B76-A142-F3D5219ED2F1}"/>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739F-4B76-A142-F3D5219ED2F1}"/>
              </c:ext>
            </c:extLst>
          </c:dPt>
          <c:dPt>
            <c:idx val="9"/>
            <c:bubble3D val="0"/>
            <c:spPr>
              <a:noFill/>
              <a:ln w="19050">
                <a:noFill/>
              </a:ln>
              <a:effectLst/>
            </c:spPr>
            <c:extLst>
              <c:ext xmlns:c16="http://schemas.microsoft.com/office/drawing/2014/chart" uri="{C3380CC4-5D6E-409C-BE32-E72D297353CC}">
                <c16:uniqueId val="{00000013-739F-4B76-A142-F3D5219ED2F1}"/>
              </c:ext>
            </c:extLst>
          </c:dPt>
          <c:val>
            <c:numRef>
              <c:f>[1]omie_dinamic_dia!$W$9:$W$18</c:f>
              <c:numCache>
                <c:formatCode>General</c:formatCode>
                <c:ptCount val="10"/>
                <c:pt idx="1">
                  <c:v>0</c:v>
                </c:pt>
                <c:pt idx="2">
                  <c:v>0</c:v>
                </c:pt>
                <c:pt idx="3">
                  <c:v>0</c:v>
                </c:pt>
              </c:numCache>
            </c:numRef>
          </c:val>
          <c:extLst>
            <c:ext xmlns:c16="http://schemas.microsoft.com/office/drawing/2014/chart" uri="{C3380CC4-5D6E-409C-BE32-E72D297353CC}">
              <c16:uniqueId val="{00000014-739F-4B76-A142-F3D5219ED2F1}"/>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739F-4B76-A142-F3D5219ED2F1}"/>
              </c:ext>
            </c:extLst>
          </c:dPt>
          <c:xVal>
            <c:numRef>
              <c:f>[1]omie_dinamic_dia!$X$20:$X$21</c:f>
              <c:numCache>
                <c:formatCode>General</c:formatCode>
                <c:ptCount val="2"/>
              </c:numCache>
            </c:numRef>
          </c:xVal>
          <c:yVal>
            <c:numRef>
              <c:f>[1]omie_dinamic_dia!$Y$20:$Y$21</c:f>
              <c:numCache>
                <c:formatCode>General</c:formatCode>
                <c:ptCount val="2"/>
              </c:numCache>
            </c:numRef>
          </c:yVal>
          <c:smooth val="1"/>
          <c:extLst>
            <c:ext xmlns:c16="http://schemas.microsoft.com/office/drawing/2014/chart" uri="{C3380CC4-5D6E-409C-BE32-E72D297353CC}">
              <c16:uniqueId val="{00000017-739F-4B76-A142-F3D5219ED2F1}"/>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7338585128163E-2"/>
          <c:y val="0.12646101921580638"/>
          <c:w val="0.8881918832655995"/>
          <c:h val="0.69281770511755181"/>
        </c:manualLayout>
      </c:layout>
      <c:doughnutChart>
        <c:varyColors val="1"/>
        <c:ser>
          <c:idx val="1"/>
          <c:order val="0"/>
          <c:tx>
            <c:v>a</c:v>
          </c:tx>
          <c:spPr>
            <a:ln>
              <a:noFill/>
            </a:ln>
          </c:spPr>
          <c:explosion val="5"/>
          <c:dPt>
            <c:idx val="0"/>
            <c:bubble3D val="0"/>
            <c:spPr>
              <a:solidFill>
                <a:schemeClr val="accent2">
                  <a:lumMod val="20000"/>
                  <a:lumOff val="80000"/>
                </a:schemeClr>
              </a:solidFill>
              <a:ln>
                <a:noFill/>
              </a:ln>
            </c:spPr>
            <c:extLst>
              <c:ext xmlns:c16="http://schemas.microsoft.com/office/drawing/2014/chart" uri="{C3380CC4-5D6E-409C-BE32-E72D297353CC}">
                <c16:uniqueId val="{00000001-F576-45BC-99F3-D1186F25F405}"/>
              </c:ext>
            </c:extLst>
          </c:dPt>
          <c:dPt>
            <c:idx val="1"/>
            <c:bubble3D val="0"/>
            <c:spPr>
              <a:solidFill>
                <a:schemeClr val="accent2">
                  <a:lumMod val="20000"/>
                  <a:lumOff val="80000"/>
                </a:schemeClr>
              </a:solidFill>
              <a:ln>
                <a:noFill/>
              </a:ln>
            </c:spPr>
            <c:extLst>
              <c:ext xmlns:c16="http://schemas.microsoft.com/office/drawing/2014/chart" uri="{C3380CC4-5D6E-409C-BE32-E72D297353CC}">
                <c16:uniqueId val="{00000003-F576-45BC-99F3-D1186F25F405}"/>
              </c:ext>
            </c:extLst>
          </c:dPt>
          <c:dPt>
            <c:idx val="2"/>
            <c:bubble3D val="0"/>
            <c:spPr>
              <a:solidFill>
                <a:schemeClr val="accent2">
                  <a:lumMod val="40000"/>
                  <a:lumOff val="60000"/>
                </a:schemeClr>
              </a:solidFill>
              <a:ln>
                <a:noFill/>
              </a:ln>
            </c:spPr>
            <c:extLst>
              <c:ext xmlns:c16="http://schemas.microsoft.com/office/drawing/2014/chart" uri="{C3380CC4-5D6E-409C-BE32-E72D297353CC}">
                <c16:uniqueId val="{00000005-F576-45BC-99F3-D1186F25F405}"/>
              </c:ext>
            </c:extLst>
          </c:dPt>
          <c:dPt>
            <c:idx val="3"/>
            <c:bubble3D val="0"/>
            <c:spPr>
              <a:solidFill>
                <a:schemeClr val="accent2">
                  <a:lumMod val="40000"/>
                  <a:lumOff val="60000"/>
                </a:schemeClr>
              </a:solidFill>
              <a:ln>
                <a:noFill/>
              </a:ln>
            </c:spPr>
            <c:extLst>
              <c:ext xmlns:c16="http://schemas.microsoft.com/office/drawing/2014/chart" uri="{C3380CC4-5D6E-409C-BE32-E72D297353CC}">
                <c16:uniqueId val="{00000007-F576-45BC-99F3-D1186F25F405}"/>
              </c:ext>
            </c:extLst>
          </c:dPt>
          <c:dPt>
            <c:idx val="4"/>
            <c:bubble3D val="0"/>
            <c:spPr>
              <a:solidFill>
                <a:schemeClr val="accent2">
                  <a:lumMod val="60000"/>
                  <a:lumOff val="40000"/>
                </a:schemeClr>
              </a:solidFill>
              <a:ln>
                <a:noFill/>
              </a:ln>
            </c:spPr>
            <c:extLst>
              <c:ext xmlns:c16="http://schemas.microsoft.com/office/drawing/2014/chart" uri="{C3380CC4-5D6E-409C-BE32-E72D297353CC}">
                <c16:uniqueId val="{00000009-F576-45BC-99F3-D1186F25F405}"/>
              </c:ext>
            </c:extLst>
          </c:dPt>
          <c:dPt>
            <c:idx val="5"/>
            <c:bubble3D val="0"/>
            <c:spPr>
              <a:solidFill>
                <a:schemeClr val="accent2">
                  <a:lumMod val="60000"/>
                  <a:lumOff val="40000"/>
                </a:schemeClr>
              </a:solidFill>
              <a:ln>
                <a:noFill/>
              </a:ln>
            </c:spPr>
            <c:extLst>
              <c:ext xmlns:c16="http://schemas.microsoft.com/office/drawing/2014/chart" uri="{C3380CC4-5D6E-409C-BE32-E72D297353CC}">
                <c16:uniqueId val="{0000000B-F576-45BC-99F3-D1186F25F405}"/>
              </c:ext>
            </c:extLst>
          </c:dPt>
          <c:dPt>
            <c:idx val="6"/>
            <c:bubble3D val="0"/>
            <c:spPr>
              <a:solidFill>
                <a:schemeClr val="accent2">
                  <a:lumMod val="75000"/>
                </a:schemeClr>
              </a:solidFill>
              <a:ln>
                <a:noFill/>
              </a:ln>
            </c:spPr>
            <c:extLst>
              <c:ext xmlns:c16="http://schemas.microsoft.com/office/drawing/2014/chart" uri="{C3380CC4-5D6E-409C-BE32-E72D297353CC}">
                <c16:uniqueId val="{0000000D-F576-45BC-99F3-D1186F25F405}"/>
              </c:ext>
            </c:extLst>
          </c:dPt>
          <c:dPt>
            <c:idx val="7"/>
            <c:bubble3D val="0"/>
            <c:spPr>
              <a:solidFill>
                <a:schemeClr val="accent2">
                  <a:lumMod val="75000"/>
                </a:schemeClr>
              </a:solidFill>
              <a:ln>
                <a:noFill/>
              </a:ln>
            </c:spPr>
            <c:extLst>
              <c:ext xmlns:c16="http://schemas.microsoft.com/office/drawing/2014/chart" uri="{C3380CC4-5D6E-409C-BE32-E72D297353CC}">
                <c16:uniqueId val="{0000000F-F576-45BC-99F3-D1186F25F405}"/>
              </c:ext>
            </c:extLst>
          </c:dPt>
          <c:dPt>
            <c:idx val="8"/>
            <c:bubble3D val="0"/>
            <c:spPr>
              <a:solidFill>
                <a:schemeClr val="accent2">
                  <a:lumMod val="50000"/>
                </a:schemeClr>
              </a:solidFill>
              <a:ln>
                <a:noFill/>
              </a:ln>
            </c:spPr>
            <c:extLst>
              <c:ext xmlns:c16="http://schemas.microsoft.com/office/drawing/2014/chart" uri="{C3380CC4-5D6E-409C-BE32-E72D297353CC}">
                <c16:uniqueId val="{00000011-F576-45BC-99F3-D1186F25F405}"/>
              </c:ext>
            </c:extLst>
          </c:dPt>
          <c:dPt>
            <c:idx val="9"/>
            <c:bubble3D val="0"/>
            <c:spPr>
              <a:noFill/>
              <a:ln>
                <a:noFill/>
              </a:ln>
            </c:spPr>
            <c:extLst>
              <c:ext xmlns:c16="http://schemas.microsoft.com/office/drawing/2014/chart" uri="{C3380CC4-5D6E-409C-BE32-E72D297353CC}">
                <c16:uniqueId val="{00000013-F576-45BC-99F3-D1186F25F405}"/>
              </c:ext>
            </c:extLst>
          </c:dPt>
          <c:val>
            <c:numRef>
              <c:f>[1]omie_dinamic_dia!$AA$9:$AA$18</c:f>
              <c:numCache>
                <c:formatCode>General</c:formatCode>
                <c:ptCount val="10"/>
              </c:numCache>
            </c:numRef>
          </c:val>
          <c:extLst>
            <c:ext xmlns:c16="http://schemas.microsoft.com/office/drawing/2014/chart" uri="{C3380CC4-5D6E-409C-BE32-E72D297353CC}">
              <c16:uniqueId val="{00000014-F576-45BC-99F3-D1186F25F405}"/>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[1]omie_dinamic_dia!$AB$20:$AB$21</c:f>
              <c:numCache>
                <c:formatCode>General</c:formatCode>
                <c:ptCount val="2"/>
                <c:pt idx="0">
                  <c:v>0</c:v>
                </c:pt>
                <c:pt idx="1">
                  <c:v>-0.98768834059513777</c:v>
                </c:pt>
              </c:numCache>
            </c:numRef>
          </c:xVal>
          <c:yVal>
            <c:numRef>
              <c:f>[1]omie_dinamic_dia!$AC$20:$AC$21</c:f>
              <c:numCache>
                <c:formatCode>General</c:formatCode>
                <c:ptCount val="2"/>
                <c:pt idx="0">
                  <c:v>0</c:v>
                </c:pt>
                <c:pt idx="1">
                  <c:v>0.15643446504023087</c:v>
                </c:pt>
              </c:numCache>
            </c:numRef>
          </c:yVal>
          <c:smooth val="1"/>
          <c:extLst>
            <c:ext xmlns:c16="http://schemas.microsoft.com/office/drawing/2014/chart" uri="{C3380CC4-5D6E-409C-BE32-E72D297353CC}">
              <c16:uniqueId val="{00000015-F576-45BC-99F3-D1186F25F405}"/>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962320497611979E-2"/>
          <c:y val="3.5181020279236579E-2"/>
          <c:w val="0.96337578488856979"/>
          <c:h val="0.8411346311549518"/>
        </c:manualLayout>
      </c:layout>
      <c:doughnutChart>
        <c:varyColors val="1"/>
        <c:ser>
          <c:idx val="1"/>
          <c:order val="0"/>
          <c:tx>
            <c:v>a</c:v>
          </c:tx>
          <c:explosion val="5"/>
          <c:val>
            <c:numRef>
              <c:f>[1]omie_dinamic_dia!#REF!</c:f>
              <c:numCache>
                <c:formatCode>General</c:formatCode>
                <c:ptCount val="1"/>
                <c:pt idx="0">
                  <c:v>1</c:v>
                </c:pt>
              </c:numCache>
            </c:numRef>
          </c:val>
          <c:extLst>
            <c:ext xmlns:c16="http://schemas.microsoft.com/office/drawing/2014/chart" uri="{C3380CC4-5D6E-409C-BE32-E72D297353CC}">
              <c16:uniqueId val="{00000014-E935-4080-B737-F9B8F41CF9C9}"/>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[1]omie_dinamic_dia!$X$37:$X$38</c:f>
              <c:numCache>
                <c:formatCode>General</c:formatCode>
                <c:ptCount val="2"/>
                <c:pt idx="0">
                  <c:v>0</c:v>
                </c:pt>
                <c:pt idx="1">
                  <c:v>0.70710678118654746</c:v>
                </c:pt>
              </c:numCache>
            </c:numRef>
          </c:xVal>
          <c:yVal>
            <c:numRef>
              <c:f>[1]omie_dinamic_dia!$Y$37:$Y$38</c:f>
              <c:numCache>
                <c:formatCode>General</c:formatCode>
                <c:ptCount val="2"/>
                <c:pt idx="0">
                  <c:v>0</c:v>
                </c:pt>
                <c:pt idx="1">
                  <c:v>0.70710678118654757</c:v>
                </c:pt>
              </c:numCache>
            </c:numRef>
          </c:yVal>
          <c:smooth val="1"/>
          <c:extLst>
            <c:ext xmlns:c16="http://schemas.microsoft.com/office/drawing/2014/chart" uri="{C3380CC4-5D6E-409C-BE32-E72D297353CC}">
              <c16:uniqueId val="{00000015-E935-4080-B737-F9B8F41CF9C9}"/>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34.5</c:v>
                </c:pt>
                <c:pt idx="1">
                  <c:v>33.850000000000016</c:v>
                </c:pt>
                <c:pt idx="2">
                  <c:v>34.850000000000016</c:v>
                </c:pt>
                <c:pt idx="3">
                  <c:v>36.47000000000002</c:v>
                </c:pt>
                <c:pt idx="4">
                  <c:v>34.79999999999999</c:v>
                </c:pt>
                <c:pt idx="5">
                  <c:v>34.039999999999992</c:v>
                </c:pt>
                <c:pt idx="6">
                  <c:v>33.960000000000008</c:v>
                </c:pt>
                <c:pt idx="7">
                  <c:v>33.399999999999984</c:v>
                </c:pt>
                <c:pt idx="8">
                  <c:v>33.77999999999998</c:v>
                </c:pt>
                <c:pt idx="9">
                  <c:v>33.860000000000007</c:v>
                </c:pt>
              </c:numCache>
            </c:numRef>
          </c:val>
          <c:smooth val="0"/>
          <c:extLst>
            <c:ext xmlns:c16="http://schemas.microsoft.com/office/drawing/2014/chart" uri="{C3380CC4-5D6E-409C-BE32-E72D297353CC}">
              <c16:uniqueId val="{00000000-280B-427F-A4F6-D241B9B1DBE7}"/>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34.35</c:v>
                </c:pt>
                <c:pt idx="1">
                  <c:v>34.35</c:v>
                </c:pt>
                <c:pt idx="2">
                  <c:v>34.35</c:v>
                </c:pt>
                <c:pt idx="3">
                  <c:v>34.35</c:v>
                </c:pt>
                <c:pt idx="4">
                  <c:v>34.35</c:v>
                </c:pt>
                <c:pt idx="5">
                  <c:v>34.35</c:v>
                </c:pt>
                <c:pt idx="6">
                  <c:v>34.35</c:v>
                </c:pt>
                <c:pt idx="7">
                  <c:v>34.35</c:v>
                </c:pt>
                <c:pt idx="8">
                  <c:v>34.35</c:v>
                </c:pt>
                <c:pt idx="9">
                  <c:v>34.35</c:v>
                </c:pt>
                <c:pt idx="10">
                  <c:v>34.35</c:v>
                </c:pt>
                <c:pt idx="11">
                  <c:v>34.35</c:v>
                </c:pt>
                <c:pt idx="12">
                  <c:v>34.35</c:v>
                </c:pt>
                <c:pt idx="13">
                  <c:v>34.35</c:v>
                </c:pt>
                <c:pt idx="14">
                  <c:v>34.35</c:v>
                </c:pt>
                <c:pt idx="15">
                  <c:v>34.35</c:v>
                </c:pt>
                <c:pt idx="16">
                  <c:v>34.35</c:v>
                </c:pt>
                <c:pt idx="17">
                  <c:v>34.35</c:v>
                </c:pt>
                <c:pt idx="18">
                  <c:v>34.35</c:v>
                </c:pt>
                <c:pt idx="19">
                  <c:v>34.35</c:v>
                </c:pt>
                <c:pt idx="20">
                  <c:v>34.35</c:v>
                </c:pt>
                <c:pt idx="21">
                  <c:v>34.35</c:v>
                </c:pt>
                <c:pt idx="22">
                  <c:v>34.35</c:v>
                </c:pt>
                <c:pt idx="23">
                  <c:v>34.35</c:v>
                </c:pt>
                <c:pt idx="24">
                  <c:v>34.35</c:v>
                </c:pt>
                <c:pt idx="25">
                  <c:v>34.35</c:v>
                </c:pt>
                <c:pt idx="26">
                  <c:v>34.35</c:v>
                </c:pt>
                <c:pt idx="27">
                  <c:v>34.35</c:v>
                </c:pt>
                <c:pt idx="28">
                  <c:v>34.35</c:v>
                </c:pt>
                <c:pt idx="29">
                  <c:v>34.35</c:v>
                </c:pt>
              </c:numCache>
            </c:numRef>
          </c:val>
          <c:smooth val="0"/>
          <c:extLst>
            <c:ext xmlns:c16="http://schemas.microsoft.com/office/drawing/2014/chart" uri="{C3380CC4-5D6E-409C-BE32-E72D297353CC}">
              <c16:uniqueId val="{00000001-280B-427F-A4F6-D241B9B1DBE7}"/>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280B-427F-A4F6-D241B9B1DBE7}"/>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3.4861555491874738E-2"/>
          <c:y val="4.6931080503258733E-2"/>
          <c:w val="0.93198015508685794"/>
          <c:h val="0.1622855624646281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63.39</c:v>
                </c:pt>
                <c:pt idx="1">
                  <c:v>60.61</c:v>
                </c:pt>
                <c:pt idx="2">
                  <c:v>58.94</c:v>
                </c:pt>
                <c:pt idx="3">
                  <c:v>57.06</c:v>
                </c:pt>
                <c:pt idx="4">
                  <c:v>57.77</c:v>
                </c:pt>
                <c:pt idx="5">
                  <c:v>59.8</c:v>
                </c:pt>
                <c:pt idx="6">
                  <c:v>69.209999999999994</c:v>
                </c:pt>
                <c:pt idx="7">
                  <c:v>73.760000000000005</c:v>
                </c:pt>
                <c:pt idx="8">
                  <c:v>64.87</c:v>
                </c:pt>
                <c:pt idx="9">
                  <c:v>55.95</c:v>
                </c:pt>
                <c:pt idx="10">
                  <c:v>44.11</c:v>
                </c:pt>
                <c:pt idx="11">
                  <c:v>29.82</c:v>
                </c:pt>
                <c:pt idx="12">
                  <c:v>26.9</c:v>
                </c:pt>
                <c:pt idx="13">
                  <c:v>25.7</c:v>
                </c:pt>
                <c:pt idx="14">
                  <c:v>22.4</c:v>
                </c:pt>
                <c:pt idx="15">
                  <c:v>21.15</c:v>
                </c:pt>
                <c:pt idx="16">
                  <c:v>21.81</c:v>
                </c:pt>
                <c:pt idx="17">
                  <c:v>27.27</c:v>
                </c:pt>
                <c:pt idx="18">
                  <c:v>39.770000000000003</c:v>
                </c:pt>
                <c:pt idx="19">
                  <c:v>54.57</c:v>
                </c:pt>
                <c:pt idx="20">
                  <c:v>74.069999999999993</c:v>
                </c:pt>
                <c:pt idx="21">
                  <c:v>95.31</c:v>
                </c:pt>
                <c:pt idx="22">
                  <c:v>87.43</c:v>
                </c:pt>
                <c:pt idx="23">
                  <c:v>77.349999999999994</c:v>
                </c:pt>
              </c:numCache>
            </c:numRef>
          </c:val>
          <c:smooth val="0"/>
          <c:extLst>
            <c:ext xmlns:c16="http://schemas.microsoft.com/office/drawing/2014/chart" uri="{C3380CC4-5D6E-409C-BE32-E72D297353CC}">
              <c16:uniqueId val="{00000000-67D8-4F5A-AD58-1D31D9CB35D8}"/>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14.12</c:v>
                </c:pt>
                <c:pt idx="1">
                  <c:v>26.95</c:v>
                </c:pt>
                <c:pt idx="2">
                  <c:v>8.6199999999999992</c:v>
                </c:pt>
                <c:pt idx="3">
                  <c:v>6.45</c:v>
                </c:pt>
                <c:pt idx="4">
                  <c:v>34.22</c:v>
                </c:pt>
                <c:pt idx="5">
                  <c:v>10.35</c:v>
                </c:pt>
                <c:pt idx="6">
                  <c:v>41.08</c:v>
                </c:pt>
                <c:pt idx="7">
                  <c:v>3.83</c:v>
                </c:pt>
                <c:pt idx="8">
                  <c:v>3.25</c:v>
                </c:pt>
                <c:pt idx="10">
                  <c:v>28.68</c:v>
                </c:pt>
                <c:pt idx="11">
                  <c:v>19.100000000000001</c:v>
                </c:pt>
                <c:pt idx="12">
                  <c:v>22.96</c:v>
                </c:pt>
                <c:pt idx="13">
                  <c:v>25.79</c:v>
                </c:pt>
                <c:pt idx="14">
                  <c:v>21.94</c:v>
                </c:pt>
                <c:pt idx="15">
                  <c:v>20.059999999999999</c:v>
                </c:pt>
                <c:pt idx="16">
                  <c:v>20.170000000000002</c:v>
                </c:pt>
                <c:pt idx="17">
                  <c:v>15.11</c:v>
                </c:pt>
                <c:pt idx="18">
                  <c:v>46.15</c:v>
                </c:pt>
                <c:pt idx="19">
                  <c:v>24.07</c:v>
                </c:pt>
                <c:pt idx="20">
                  <c:v>7.3</c:v>
                </c:pt>
                <c:pt idx="21">
                  <c:v>7.2</c:v>
                </c:pt>
                <c:pt idx="22">
                  <c:v>69.64</c:v>
                </c:pt>
              </c:numCache>
            </c:numRef>
          </c:yVal>
          <c:smooth val="0"/>
          <c:extLst>
            <c:ext xmlns:c16="http://schemas.microsoft.com/office/drawing/2014/chart" uri="{C3380CC4-5D6E-409C-BE32-E72D297353CC}">
              <c16:uniqueId val="{00000002-67D8-4F5A-AD58-1D31D9CB35D8}"/>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8">
                  <c:v>120.22</c:v>
                </c:pt>
                <c:pt idx="20">
                  <c:v>119.68</c:v>
                </c:pt>
                <c:pt idx="21">
                  <c:v>171.15</c:v>
                </c:pt>
                <c:pt idx="22">
                  <c:v>120.47</c:v>
                </c:pt>
              </c:numCache>
            </c:numRef>
          </c:yVal>
          <c:smooth val="0"/>
          <c:extLst>
            <c:ext xmlns:c16="http://schemas.microsoft.com/office/drawing/2014/chart" uri="{C3380CC4-5D6E-409C-BE32-E72D297353CC}">
              <c16:uniqueId val="{00000004-67D8-4F5A-AD58-1D31D9CB35D8}"/>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102.57</c:v>
                </c:pt>
                <c:pt idx="1">
                  <c:v>102.69</c:v>
                </c:pt>
                <c:pt idx="2">
                  <c:v>102.54</c:v>
                </c:pt>
                <c:pt idx="3">
                  <c:v>100.54</c:v>
                </c:pt>
                <c:pt idx="4">
                  <c:v>74.36</c:v>
                </c:pt>
                <c:pt idx="5">
                  <c:v>104.3</c:v>
                </c:pt>
                <c:pt idx="6">
                  <c:v>87.94</c:v>
                </c:pt>
                <c:pt idx="7">
                  <c:v>130.49</c:v>
                </c:pt>
                <c:pt idx="8">
                  <c:v>92.08</c:v>
                </c:pt>
                <c:pt idx="9">
                  <c:v>64.45</c:v>
                </c:pt>
                <c:pt idx="10">
                  <c:v>48.18</c:v>
                </c:pt>
                <c:pt idx="11">
                  <c:v>43.21</c:v>
                </c:pt>
                <c:pt idx="12">
                  <c:v>46.16</c:v>
                </c:pt>
                <c:pt idx="13">
                  <c:v>41.6</c:v>
                </c:pt>
                <c:pt idx="14">
                  <c:v>0</c:v>
                </c:pt>
                <c:pt idx="15">
                  <c:v>-0.01</c:v>
                </c:pt>
                <c:pt idx="16">
                  <c:v>20.16</c:v>
                </c:pt>
                <c:pt idx="17">
                  <c:v>27.44</c:v>
                </c:pt>
                <c:pt idx="18">
                  <c:v>19.82</c:v>
                </c:pt>
                <c:pt idx="19">
                  <c:v>81.64</c:v>
                </c:pt>
                <c:pt idx="20">
                  <c:v>82.53</c:v>
                </c:pt>
                <c:pt idx="21">
                  <c:v>113.32</c:v>
                </c:pt>
                <c:pt idx="22">
                  <c:v>68.900000000000006</c:v>
                </c:pt>
                <c:pt idx="23">
                  <c:v>81.36</c:v>
                </c:pt>
              </c:numCache>
            </c:numRef>
          </c:yVal>
          <c:smooth val="0"/>
          <c:extLst>
            <c:ext xmlns:c16="http://schemas.microsoft.com/office/drawing/2014/chart" uri="{C3380CC4-5D6E-409C-BE32-E72D297353CC}">
              <c16:uniqueId val="{00000006-67D8-4F5A-AD58-1D31D9CB35D8}"/>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1"/>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30229557245738453"/>
          <c:w val="0.88320436110107481"/>
          <c:h val="0.57992637437627947"/>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72.380000000000038</c:v>
                </c:pt>
                <c:pt idx="1">
                  <c:v>72.380000000000038</c:v>
                </c:pt>
                <c:pt idx="2">
                  <c:v>72.859999999999971</c:v>
                </c:pt>
                <c:pt idx="3">
                  <c:v>70.960000000000022</c:v>
                </c:pt>
                <c:pt idx="4">
                  <c:v>70.210000000000022</c:v>
                </c:pt>
                <c:pt idx="5">
                  <c:v>70.630000000000038</c:v>
                </c:pt>
                <c:pt idx="6">
                  <c:v>70.630000000000038</c:v>
                </c:pt>
                <c:pt idx="7">
                  <c:v>69.890000000000029</c:v>
                </c:pt>
                <c:pt idx="8">
                  <c:v>69.890000000000029</c:v>
                </c:pt>
                <c:pt idx="9">
                  <c:v>69.890000000000029</c:v>
                </c:pt>
              </c:numCache>
            </c:numRef>
          </c:val>
          <c:smooth val="0"/>
          <c:extLst>
            <c:ext xmlns:c16="http://schemas.microsoft.com/office/drawing/2014/chart" uri="{C3380CC4-5D6E-409C-BE32-E72D297353CC}">
              <c16:uniqueId val="{00000000-4ECE-4493-9FFF-CD15FB5FA22D}"/>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70.97</c:v>
                </c:pt>
                <c:pt idx="1">
                  <c:v>70.97</c:v>
                </c:pt>
                <c:pt idx="2">
                  <c:v>70.97</c:v>
                </c:pt>
                <c:pt idx="3">
                  <c:v>70.97</c:v>
                </c:pt>
                <c:pt idx="4">
                  <c:v>70.97</c:v>
                </c:pt>
                <c:pt idx="5">
                  <c:v>70.97</c:v>
                </c:pt>
                <c:pt idx="6">
                  <c:v>70.97</c:v>
                </c:pt>
                <c:pt idx="7">
                  <c:v>70.97</c:v>
                </c:pt>
                <c:pt idx="8">
                  <c:v>70.97</c:v>
                </c:pt>
                <c:pt idx="9">
                  <c:v>70.97</c:v>
                </c:pt>
                <c:pt idx="10">
                  <c:v>70.97</c:v>
                </c:pt>
                <c:pt idx="11">
                  <c:v>70.97</c:v>
                </c:pt>
                <c:pt idx="12">
                  <c:v>70.97</c:v>
                </c:pt>
                <c:pt idx="13">
                  <c:v>70.97</c:v>
                </c:pt>
                <c:pt idx="14">
                  <c:v>70.97</c:v>
                </c:pt>
                <c:pt idx="15">
                  <c:v>70.97</c:v>
                </c:pt>
                <c:pt idx="16">
                  <c:v>70.97</c:v>
                </c:pt>
                <c:pt idx="17">
                  <c:v>70.97</c:v>
                </c:pt>
                <c:pt idx="18">
                  <c:v>70.97</c:v>
                </c:pt>
                <c:pt idx="19">
                  <c:v>70.97</c:v>
                </c:pt>
                <c:pt idx="20">
                  <c:v>70.97</c:v>
                </c:pt>
                <c:pt idx="21">
                  <c:v>70.97</c:v>
                </c:pt>
                <c:pt idx="22">
                  <c:v>70.97</c:v>
                </c:pt>
                <c:pt idx="23">
                  <c:v>70.97</c:v>
                </c:pt>
                <c:pt idx="24">
                  <c:v>70.97</c:v>
                </c:pt>
                <c:pt idx="25">
                  <c:v>70.97</c:v>
                </c:pt>
                <c:pt idx="26">
                  <c:v>70.97</c:v>
                </c:pt>
                <c:pt idx="27">
                  <c:v>70.97</c:v>
                </c:pt>
                <c:pt idx="28">
                  <c:v>70.97</c:v>
                </c:pt>
                <c:pt idx="29">
                  <c:v>70.97</c:v>
                </c:pt>
                <c:pt idx="30">
                  <c:v>70.97</c:v>
                </c:pt>
              </c:numCache>
            </c:numRef>
          </c:val>
          <c:smooth val="0"/>
          <c:extLst>
            <c:ext xmlns:c16="http://schemas.microsoft.com/office/drawing/2014/chart" uri="{C3380CC4-5D6E-409C-BE32-E72D297353CC}">
              <c16:uniqueId val="{00000001-4ECE-4493-9FFF-CD15FB5FA22D}"/>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4ECE-4493-9FFF-CD15FB5FA22D}"/>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min val="5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majorUnit val="2"/>
      </c:valAx>
      <c:spPr>
        <a:noFill/>
        <a:ln>
          <a:noFill/>
        </a:ln>
        <a:effectLst/>
      </c:spPr>
    </c:plotArea>
    <c:legend>
      <c:legendPos val="t"/>
      <c:layout>
        <c:manualLayout>
          <c:xMode val="edge"/>
          <c:yMode val="edge"/>
          <c:x val="0.14737674847039858"/>
          <c:y val="3.6300182501311236E-2"/>
          <c:w val="0.76827680127688469"/>
          <c:h val="0.1255888801338802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093751531735877E-2"/>
          <c:y val="0.10141847936166613"/>
          <c:w val="0.93628401298743025"/>
          <c:h val="0.74201302251025614"/>
        </c:manualLayout>
      </c:layout>
      <c:barChart>
        <c:barDir val="col"/>
        <c:grouping val="clustered"/>
        <c:varyColors val="0"/>
        <c:dLbls>
          <c:showLegendKey val="0"/>
          <c:showVal val="0"/>
          <c:showCatName val="0"/>
          <c:showSerName val="0"/>
          <c:showPercent val="0"/>
          <c:showBubbleSize val="0"/>
        </c:dLbls>
        <c:gapWidth val="150"/>
        <c:axId val="796336896"/>
        <c:axId val="306093343"/>
        <c:extLst>
          <c:ext xmlns:c15="http://schemas.microsoft.com/office/drawing/2012/chart" uri="{02D57815-91ED-43cb-92C2-25804820EDAC}">
            <c15:filteredBarSeries>
              <c15:ser>
                <c:idx val="4"/>
                <c:order val="4"/>
                <c:tx>
                  <c:strRef>
                    <c:extLst>
                      <c:ext uri="{02D57815-91ED-43cb-92C2-25804820EDAC}">
                        <c15:formulaRef>
                          <c15:sqref>externo!$S$3</c15:sqref>
                        </c15:formulaRef>
                      </c:ext>
                    </c:extLst>
                    <c:strCache>
                      <c:ptCount val="1"/>
                      <c:pt idx="0">
                        <c:v>Media RE</c:v>
                      </c:pt>
                    </c:strCache>
                  </c:strRef>
                </c:tx>
                <c:spPr>
                  <a:solidFill>
                    <a:schemeClr val="accent5"/>
                  </a:solidFill>
                  <a:ln>
                    <a:noFill/>
                  </a:ln>
                  <a:effectLst/>
                </c:spPr>
                <c:invertIfNegative val="0"/>
                <c:val>
                  <c:numRef>
                    <c:extLst>
                      <c:ext uri="{02D57815-91ED-43cb-92C2-25804820EDAC}">
                        <c15:formulaRef>
                          <c15:sqref>externo!$S$4:$S$34</c15:sqref>
                        </c15:formulaRef>
                      </c:ext>
                    </c:extLst>
                    <c:numCache>
                      <c:formatCode>General</c:formatCode>
                      <c:ptCount val="31"/>
                      <c:pt idx="0">
                        <c:v>0.38800000000000001</c:v>
                      </c:pt>
                      <c:pt idx="1">
                        <c:v>0.38800000000000001</c:v>
                      </c:pt>
                      <c:pt idx="2">
                        <c:v>0.38800000000000001</c:v>
                      </c:pt>
                      <c:pt idx="3">
                        <c:v>0.38800000000000001</c:v>
                      </c:pt>
                      <c:pt idx="4">
                        <c:v>0.38800000000000001</c:v>
                      </c:pt>
                      <c:pt idx="5">
                        <c:v>0.38800000000000001</c:v>
                      </c:pt>
                      <c:pt idx="6">
                        <c:v>0.38800000000000001</c:v>
                      </c:pt>
                      <c:pt idx="7">
                        <c:v>0.38800000000000001</c:v>
                      </c:pt>
                      <c:pt idx="8">
                        <c:v>0.38800000000000001</c:v>
                      </c:pt>
                      <c:pt idx="9">
                        <c:v>0.38800000000000001</c:v>
                      </c:pt>
                      <c:pt idx="10">
                        <c:v>0.38800000000000001</c:v>
                      </c:pt>
                      <c:pt idx="11">
                        <c:v>0.38800000000000001</c:v>
                      </c:pt>
                      <c:pt idx="12">
                        <c:v>0.38800000000000001</c:v>
                      </c:pt>
                      <c:pt idx="13">
                        <c:v>0.38800000000000001</c:v>
                      </c:pt>
                      <c:pt idx="14">
                        <c:v>0.38800000000000001</c:v>
                      </c:pt>
                      <c:pt idx="15">
                        <c:v>0.38800000000000001</c:v>
                      </c:pt>
                      <c:pt idx="16">
                        <c:v>0.38800000000000001</c:v>
                      </c:pt>
                      <c:pt idx="17">
                        <c:v>0.38800000000000001</c:v>
                      </c:pt>
                      <c:pt idx="18">
                        <c:v>0.38800000000000001</c:v>
                      </c:pt>
                      <c:pt idx="19">
                        <c:v>0.38800000000000001</c:v>
                      </c:pt>
                      <c:pt idx="20">
                        <c:v>0.38800000000000001</c:v>
                      </c:pt>
                      <c:pt idx="21">
                        <c:v>0.38800000000000001</c:v>
                      </c:pt>
                      <c:pt idx="22">
                        <c:v>0.38800000000000001</c:v>
                      </c:pt>
                      <c:pt idx="23">
                        <c:v>0.38800000000000001</c:v>
                      </c:pt>
                      <c:pt idx="24">
                        <c:v>0.38800000000000001</c:v>
                      </c:pt>
                      <c:pt idx="25">
                        <c:v>0.38800000000000001</c:v>
                      </c:pt>
                      <c:pt idx="26">
                        <c:v>0.38800000000000001</c:v>
                      </c:pt>
                      <c:pt idx="27">
                        <c:v>0.38800000000000001</c:v>
                      </c:pt>
                      <c:pt idx="28">
                        <c:v>0.38800000000000001</c:v>
                      </c:pt>
                      <c:pt idx="29">
                        <c:v>0.38800000000000001</c:v>
                      </c:pt>
                      <c:pt idx="30">
                        <c:v>0.38800000000000001</c:v>
                      </c:pt>
                    </c:numCache>
                  </c:numRef>
                </c:val>
                <c:extLst>
                  <c:ext xmlns:c16="http://schemas.microsoft.com/office/drawing/2014/chart" uri="{C3380CC4-5D6E-409C-BE32-E72D297353CC}">
                    <c16:uniqueId val="{00000006-8F88-4FE2-8FAC-71157385019F}"/>
                  </c:ext>
                </c:extLst>
              </c15:ser>
            </c15:filteredBarSeries>
          </c:ext>
        </c:extLst>
      </c:barChart>
      <c:barChart>
        <c:barDir val="col"/>
        <c:grouping val="clustered"/>
        <c:varyColors val="0"/>
        <c:ser>
          <c:idx val="3"/>
          <c:order val="3"/>
          <c:tx>
            <c:strRef>
              <c:f>externo!$R$3</c:f>
              <c:strCache>
                <c:ptCount val="1"/>
                <c:pt idx="0">
                  <c:v>% Horas RE</c:v>
                </c:pt>
              </c:strCache>
            </c:strRef>
          </c:tx>
          <c:spPr>
            <a:solidFill>
              <a:schemeClr val="accent6">
                <a:alpha val="52000"/>
              </a:schemeClr>
            </a:solidFill>
            <a:ln>
              <a:noFill/>
            </a:ln>
            <a:effectLst/>
          </c:spPr>
          <c:invertIfNegative val="0"/>
          <c:val>
            <c:numRef>
              <c:f>externo!$R$4:$R$34</c:f>
              <c:numCache>
                <c:formatCode>General</c:formatCode>
                <c:ptCount val="31"/>
                <c:pt idx="0">
                  <c:v>0.66666666666666663</c:v>
                </c:pt>
                <c:pt idx="1">
                  <c:v>0.70833333333333337</c:v>
                </c:pt>
                <c:pt idx="2">
                  <c:v>0.58333333333333337</c:v>
                </c:pt>
                <c:pt idx="3">
                  <c:v>8.3333333333333329E-2</c:v>
                </c:pt>
                <c:pt idx="4">
                  <c:v>0.16666666666666666</c:v>
                </c:pt>
                <c:pt idx="5">
                  <c:v>0.25</c:v>
                </c:pt>
                <c:pt idx="6">
                  <c:v>0.29166666666666669</c:v>
                </c:pt>
                <c:pt idx="7">
                  <c:v>0.20833333333333337</c:v>
                </c:pt>
                <c:pt idx="8">
                  <c:v>0.45833333333333326</c:v>
                </c:pt>
                <c:pt idx="9">
                  <c:v>0.45833333333333326</c:v>
                </c:pt>
              </c:numCache>
            </c:numRef>
          </c:val>
          <c:extLst>
            <c:ext xmlns:c16="http://schemas.microsoft.com/office/drawing/2014/chart" uri="{C3380CC4-5D6E-409C-BE32-E72D297353CC}">
              <c16:uniqueId val="{00000000-8F88-4FE2-8FAC-71157385019F}"/>
            </c:ext>
          </c:extLst>
        </c:ser>
        <c:ser>
          <c:idx val="5"/>
          <c:order val="5"/>
          <c:tx>
            <c:strRef>
              <c:f>externo!$T$3</c:f>
              <c:strCache>
                <c:ptCount val="1"/>
                <c:pt idx="0">
                  <c:v>% Horas TCC</c:v>
                </c:pt>
              </c:strCache>
            </c:strRef>
          </c:tx>
          <c:spPr>
            <a:solidFill>
              <a:schemeClr val="accent2">
                <a:alpha val="44000"/>
              </a:schemeClr>
            </a:solidFill>
            <a:ln>
              <a:noFill/>
            </a:ln>
            <a:effectLst/>
          </c:spPr>
          <c:invertIfNegative val="0"/>
          <c:val>
            <c:numRef>
              <c:f>externo!$T$4:$T$34</c:f>
              <c:numCache>
                <c:formatCode>General</c:formatCode>
                <c:ptCount val="31"/>
                <c:pt idx="0">
                  <c:v>0</c:v>
                </c:pt>
                <c:pt idx="1">
                  <c:v>0</c:v>
                </c:pt>
                <c:pt idx="2">
                  <c:v>0</c:v>
                </c:pt>
                <c:pt idx="3">
                  <c:v>4.1666666666666664E-2</c:v>
                </c:pt>
                <c:pt idx="4">
                  <c:v>0.125</c:v>
                </c:pt>
                <c:pt idx="5">
                  <c:v>8.3333333333333329E-2</c:v>
                </c:pt>
                <c:pt idx="6">
                  <c:v>0</c:v>
                </c:pt>
                <c:pt idx="7">
                  <c:v>0</c:v>
                </c:pt>
                <c:pt idx="8">
                  <c:v>0</c:v>
                </c:pt>
                <c:pt idx="9">
                  <c:v>0</c:v>
                </c:pt>
              </c:numCache>
            </c:numRef>
          </c:val>
          <c:extLst>
            <c:ext xmlns:c16="http://schemas.microsoft.com/office/drawing/2014/chart" uri="{C3380CC4-5D6E-409C-BE32-E72D297353CC}">
              <c16:uniqueId val="{00000001-8F88-4FE2-8FAC-71157385019F}"/>
            </c:ext>
          </c:extLst>
        </c:ser>
        <c:ser>
          <c:idx val="7"/>
          <c:order val="7"/>
          <c:tx>
            <c:strRef>
              <c:f>externo!$V$3</c:f>
              <c:strCache>
                <c:ptCount val="1"/>
                <c:pt idx="0">
                  <c:v>% Horas HI</c:v>
                </c:pt>
              </c:strCache>
            </c:strRef>
          </c:tx>
          <c:spPr>
            <a:solidFill>
              <a:schemeClr val="accent1">
                <a:alpha val="32000"/>
              </a:schemeClr>
            </a:solidFill>
            <a:ln>
              <a:noFill/>
            </a:ln>
            <a:effectLst/>
          </c:spPr>
          <c:invertIfNegative val="0"/>
          <c:val>
            <c:numRef>
              <c:f>externo!$V$4:$V$34</c:f>
              <c:numCache>
                <c:formatCode>General</c:formatCode>
                <c:ptCount val="31"/>
                <c:pt idx="0">
                  <c:v>0.20833333333333337</c:v>
                </c:pt>
                <c:pt idx="1">
                  <c:v>0.16666666666666666</c:v>
                </c:pt>
                <c:pt idx="2">
                  <c:v>0.20833333333333337</c:v>
                </c:pt>
                <c:pt idx="3">
                  <c:v>0.58333333333333337</c:v>
                </c:pt>
                <c:pt idx="4">
                  <c:v>0.5</c:v>
                </c:pt>
                <c:pt idx="5">
                  <c:v>0.5</c:v>
                </c:pt>
                <c:pt idx="6">
                  <c:v>0.54166666666666663</c:v>
                </c:pt>
                <c:pt idx="7">
                  <c:v>0.45833333333333326</c:v>
                </c:pt>
                <c:pt idx="8">
                  <c:v>0.45833333333333326</c:v>
                </c:pt>
                <c:pt idx="9">
                  <c:v>0.125</c:v>
                </c:pt>
              </c:numCache>
            </c:numRef>
          </c:val>
          <c:extLst>
            <c:ext xmlns:c16="http://schemas.microsoft.com/office/drawing/2014/chart" uri="{C3380CC4-5D6E-409C-BE32-E72D297353CC}">
              <c16:uniqueId val="{00000002-8F88-4FE2-8FAC-71157385019F}"/>
            </c:ext>
          </c:extLst>
        </c:ser>
        <c:dLbls>
          <c:showLegendKey val="0"/>
          <c:showVal val="0"/>
          <c:showCatName val="0"/>
          <c:showSerName val="0"/>
          <c:showPercent val="0"/>
          <c:showBubbleSize val="0"/>
        </c:dLbls>
        <c:gapWidth val="180"/>
        <c:axId val="327395439"/>
        <c:axId val="306049199"/>
        <c:extLst>
          <c:ext xmlns:c15="http://schemas.microsoft.com/office/drawing/2012/chart" uri="{02D57815-91ED-43cb-92C2-25804820EDAC}">
            <c15:filteredBarSeries>
              <c15:ser>
                <c:idx val="0"/>
                <c:order val="0"/>
                <c:tx>
                  <c:strRef>
                    <c:extLst>
                      <c:ext uri="{02D57815-91ED-43cb-92C2-25804820EDAC}">
                        <c15:formulaRef>
                          <c15:sqref>externo!$O$3</c15:sqref>
                        </c15:formulaRef>
                      </c:ext>
                    </c:extLst>
                    <c:strCache>
                      <c:ptCount val="1"/>
                      <c:pt idx="0">
                        <c:v>Dia</c:v>
                      </c:pt>
                    </c:strCache>
                  </c:strRef>
                </c:tx>
                <c:spPr>
                  <a:solidFill>
                    <a:schemeClr val="accent1"/>
                  </a:solidFill>
                  <a:ln>
                    <a:noFill/>
                  </a:ln>
                  <a:effectLst/>
                </c:spPr>
                <c:invertIfNegative val="0"/>
                <c:val>
                  <c:numRef>
                    <c:extLst>
                      <c:ext uri="{02D57815-91ED-43cb-92C2-25804820EDAC}">
                        <c15:formulaRef>
                          <c15:sqref>externo!$O$4:$O$34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extLst>
                  <c:ext xmlns:c16="http://schemas.microsoft.com/office/drawing/2014/chart" uri="{C3380CC4-5D6E-409C-BE32-E72D297353CC}">
                    <c16:uniqueId val="{00000005-8F88-4FE2-8FAC-71157385019F}"/>
                  </c:ext>
                </c:extLst>
              </c15:ser>
            </c15:filteredBarSeries>
          </c:ext>
        </c:extLst>
      </c:barChart>
      <c:lineChart>
        <c:grouping val="standard"/>
        <c:varyColors val="0"/>
        <c:ser>
          <c:idx val="1"/>
          <c:order val="1"/>
          <c:tx>
            <c:strRef>
              <c:f>externo!$P$3</c:f>
              <c:strCache>
                <c:ptCount val="1"/>
                <c:pt idx="0">
                  <c:v>Omie media mensual (€/MWh)</c:v>
                </c:pt>
              </c:strCache>
            </c:strRef>
          </c:tx>
          <c:spPr>
            <a:ln w="22225" cap="rnd">
              <a:solidFill>
                <a:schemeClr val="bg1">
                  <a:lumMod val="50000"/>
                </a:schemeClr>
              </a:solidFill>
              <a:prstDash val="sysDot"/>
              <a:round/>
            </a:ln>
            <a:effectLst/>
          </c:spPr>
          <c:marker>
            <c:symbol val="none"/>
          </c:marker>
          <c:val>
            <c:numRef>
              <c:f>externo!$P$4:$P$34</c:f>
              <c:numCache>
                <c:formatCode>General</c:formatCode>
                <c:ptCount val="31"/>
                <c:pt idx="0">
                  <c:v>52.048999999999999</c:v>
                </c:pt>
                <c:pt idx="1">
                  <c:v>52.048999999999999</c:v>
                </c:pt>
                <c:pt idx="2">
                  <c:v>52.048999999999999</c:v>
                </c:pt>
                <c:pt idx="3">
                  <c:v>52.048999999999999</c:v>
                </c:pt>
                <c:pt idx="4">
                  <c:v>52.048999999999999</c:v>
                </c:pt>
                <c:pt idx="5">
                  <c:v>52.048999999999999</c:v>
                </c:pt>
                <c:pt idx="6">
                  <c:v>52.048999999999999</c:v>
                </c:pt>
                <c:pt idx="7">
                  <c:v>52.048999999999999</c:v>
                </c:pt>
                <c:pt idx="8">
                  <c:v>52.048999999999999</c:v>
                </c:pt>
                <c:pt idx="9">
                  <c:v>52.048999999999999</c:v>
                </c:pt>
                <c:pt idx="10">
                  <c:v>52.048999999999999</c:v>
                </c:pt>
                <c:pt idx="11">
                  <c:v>52.048999999999999</c:v>
                </c:pt>
                <c:pt idx="12">
                  <c:v>52.048999999999999</c:v>
                </c:pt>
                <c:pt idx="13">
                  <c:v>52.048999999999999</c:v>
                </c:pt>
                <c:pt idx="14">
                  <c:v>52.048999999999999</c:v>
                </c:pt>
                <c:pt idx="15">
                  <c:v>52.048999999999999</c:v>
                </c:pt>
                <c:pt idx="16">
                  <c:v>52.048999999999999</c:v>
                </c:pt>
                <c:pt idx="17">
                  <c:v>52.048999999999999</c:v>
                </c:pt>
                <c:pt idx="18">
                  <c:v>52.048999999999999</c:v>
                </c:pt>
                <c:pt idx="19">
                  <c:v>52.048999999999999</c:v>
                </c:pt>
                <c:pt idx="20">
                  <c:v>52.048999999999999</c:v>
                </c:pt>
                <c:pt idx="21">
                  <c:v>52.048999999999999</c:v>
                </c:pt>
                <c:pt idx="22">
                  <c:v>52.048999999999999</c:v>
                </c:pt>
                <c:pt idx="23">
                  <c:v>52.048999999999999</c:v>
                </c:pt>
                <c:pt idx="24">
                  <c:v>52.048999999999999</c:v>
                </c:pt>
                <c:pt idx="25">
                  <c:v>52.048999999999999</c:v>
                </c:pt>
                <c:pt idx="26">
                  <c:v>52.048999999999999</c:v>
                </c:pt>
                <c:pt idx="27">
                  <c:v>52.048999999999999</c:v>
                </c:pt>
                <c:pt idx="28">
                  <c:v>52.048999999999999</c:v>
                </c:pt>
                <c:pt idx="29">
                  <c:v>52.048999999999999</c:v>
                </c:pt>
                <c:pt idx="30">
                  <c:v>52.048999999999999</c:v>
                </c:pt>
              </c:numCache>
            </c:numRef>
          </c:val>
          <c:smooth val="0"/>
          <c:extLst>
            <c:ext xmlns:c16="http://schemas.microsoft.com/office/drawing/2014/chart" uri="{C3380CC4-5D6E-409C-BE32-E72D297353CC}">
              <c16:uniqueId val="{00000003-8F88-4FE2-8FAC-71157385019F}"/>
            </c:ext>
          </c:extLst>
        </c:ser>
        <c:ser>
          <c:idx val="2"/>
          <c:order val="2"/>
          <c:tx>
            <c:strRef>
              <c:f>externo!$Q$3</c:f>
              <c:strCache>
                <c:ptCount val="1"/>
                <c:pt idx="0">
                  <c:v>Omie media diaria</c:v>
                </c:pt>
              </c:strCache>
            </c:strRef>
          </c:tx>
          <c:spPr>
            <a:ln w="25400" cap="rnd">
              <a:solidFill>
                <a:schemeClr val="tx1"/>
              </a:solidFill>
              <a:round/>
            </a:ln>
            <a:effectLst/>
          </c:spPr>
          <c:marker>
            <c:symbol val="none"/>
          </c:marker>
          <c:val>
            <c:numRef>
              <c:f>externo!$Q$4:$Q$34</c:f>
              <c:numCache>
                <c:formatCode>General</c:formatCode>
                <c:ptCount val="31"/>
                <c:pt idx="0">
                  <c:v>1.7595833333333333</c:v>
                </c:pt>
                <c:pt idx="1">
                  <c:v>4.2612499999999986</c:v>
                </c:pt>
                <c:pt idx="2">
                  <c:v>28.55541666666667</c:v>
                </c:pt>
                <c:pt idx="3">
                  <c:v>87.639999999999986</c:v>
                </c:pt>
                <c:pt idx="4">
                  <c:v>93.260416666666671</c:v>
                </c:pt>
                <c:pt idx="5">
                  <c:v>93.423333333333332</c:v>
                </c:pt>
                <c:pt idx="6">
                  <c:v>79.132916666666674</c:v>
                </c:pt>
                <c:pt idx="7">
                  <c:v>71.420416666666668</c:v>
                </c:pt>
                <c:pt idx="8">
                  <c:v>16.427916666666665</c:v>
                </c:pt>
                <c:pt idx="9">
                  <c:v>44.605833333333329</c:v>
                </c:pt>
              </c:numCache>
            </c:numRef>
          </c:val>
          <c:smooth val="0"/>
          <c:extLst>
            <c:ext xmlns:c16="http://schemas.microsoft.com/office/drawing/2014/chart" uri="{C3380CC4-5D6E-409C-BE32-E72D297353CC}">
              <c16:uniqueId val="{00000004-8F88-4FE2-8FAC-71157385019F}"/>
            </c:ext>
          </c:extLst>
        </c:ser>
        <c:dLbls>
          <c:showLegendKey val="0"/>
          <c:showVal val="0"/>
          <c:showCatName val="0"/>
          <c:showSerName val="0"/>
          <c:showPercent val="0"/>
          <c:showBubbleSize val="0"/>
        </c:dLbls>
        <c:marker val="1"/>
        <c:smooth val="0"/>
        <c:axId val="796336896"/>
        <c:axId val="306093343"/>
        <c:extLst>
          <c:ext xmlns:c15="http://schemas.microsoft.com/office/drawing/2012/chart" uri="{02D57815-91ED-43cb-92C2-25804820EDAC}">
            <c15:filteredLineSeries>
              <c15:ser>
                <c:idx val="6"/>
                <c:order val="6"/>
                <c:tx>
                  <c:strRef>
                    <c:extLst>
                      <c:ext uri="{02D57815-91ED-43cb-92C2-25804820EDAC}">
                        <c15:formulaRef>
                          <c15:sqref>externo!$U$3</c15:sqref>
                        </c15:formulaRef>
                      </c:ext>
                    </c:extLst>
                    <c:strCache>
                      <c:ptCount val="1"/>
                      <c:pt idx="0">
                        <c:v>Media TCC</c:v>
                      </c:pt>
                    </c:strCache>
                  </c:strRef>
                </c:tx>
                <c:spPr>
                  <a:ln w="28575" cap="rnd">
                    <a:solidFill>
                      <a:schemeClr val="accent1">
                        <a:lumMod val="60000"/>
                      </a:schemeClr>
                    </a:solidFill>
                    <a:round/>
                  </a:ln>
                  <a:effectLst/>
                </c:spPr>
                <c:marker>
                  <c:symbol val="none"/>
                </c:marker>
                <c:val>
                  <c:numRef>
                    <c:extLst>
                      <c:ext uri="{02D57815-91ED-43cb-92C2-25804820EDAC}">
                        <c15:formulaRef>
                          <c15:sqref>externo!$U$4:$U$34</c15:sqref>
                        </c15:formulaRef>
                      </c:ext>
                    </c:extLst>
                    <c:numCache>
                      <c:formatCode>General</c:formatCode>
                      <c:ptCount val="31"/>
                      <c:pt idx="0">
                        <c:v>2.5000000000000001E-2</c:v>
                      </c:pt>
                      <c:pt idx="1">
                        <c:v>2.8000000000000001E-2</c:v>
                      </c:pt>
                      <c:pt idx="2">
                        <c:v>3.1E-2</c:v>
                      </c:pt>
                      <c:pt idx="3">
                        <c:v>3.5999999999999997E-2</c:v>
                      </c:pt>
                      <c:pt idx="4">
                        <c:v>3.5000000000000003E-2</c:v>
                      </c:pt>
                      <c:pt idx="5">
                        <c:v>1.7000000000000001E-2</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7-8F88-4FE2-8FAC-71157385019F}"/>
                  </c:ext>
                </c:extLst>
              </c15:ser>
            </c15:filteredLineSeries>
            <c15:filteredLineSeries>
              <c15:ser>
                <c:idx val="8"/>
                <c:order val="8"/>
                <c:tx>
                  <c:strRef>
                    <c:extLst>
                      <c:ext xmlns:c15="http://schemas.microsoft.com/office/drawing/2012/chart" uri="{02D57815-91ED-43cb-92C2-25804820EDAC}">
                        <c15:formulaRef>
                          <c15:sqref>externo!$W$3</c15:sqref>
                        </c15:formulaRef>
                      </c:ext>
                    </c:extLst>
                    <c:strCache>
                      <c:ptCount val="1"/>
                      <c:pt idx="0">
                        <c:v>Media HI</c:v>
                      </c:pt>
                    </c:strCache>
                  </c:strRef>
                </c:tx>
                <c:spPr>
                  <a:ln w="28575" cap="rnd">
                    <a:solidFill>
                      <a:schemeClr val="accent3">
                        <a:lumMod val="60000"/>
                      </a:schemeClr>
                    </a:solidFill>
                    <a:round/>
                  </a:ln>
                  <a:effectLst/>
                </c:spPr>
                <c:marker>
                  <c:symbol val="none"/>
                </c:marker>
                <c:val>
                  <c:numRef>
                    <c:extLst>
                      <c:ext xmlns:c15="http://schemas.microsoft.com/office/drawing/2012/chart" uri="{02D57815-91ED-43cb-92C2-25804820EDAC}">
                        <c15:formulaRef>
                          <c15:sqref>externo!$W$4:$W$34</c15:sqref>
                        </c15:formulaRef>
                      </c:ext>
                    </c:extLst>
                    <c:numCache>
                      <c:formatCode>General</c:formatCode>
                      <c:ptCount val="31"/>
                      <c:pt idx="0">
                        <c:v>0.375</c:v>
                      </c:pt>
                      <c:pt idx="1">
                        <c:v>0.39400000000000002</c:v>
                      </c:pt>
                      <c:pt idx="2">
                        <c:v>0.42199999999999999</c:v>
                      </c:pt>
                      <c:pt idx="3">
                        <c:v>0.45200000000000001</c:v>
                      </c:pt>
                      <c:pt idx="4">
                        <c:v>0.43099999999999999</c:v>
                      </c:pt>
                      <c:pt idx="5">
                        <c:v>0.41699999999999998</c:v>
                      </c:pt>
                      <c:pt idx="6">
                        <c:v>0.39600000000000002</c:v>
                      </c:pt>
                      <c:pt idx="7">
                        <c:v>0.34699999999999998</c:v>
                      </c:pt>
                      <c:pt idx="8">
                        <c:v>0.29199999999999998</c:v>
                      </c:pt>
                      <c:pt idx="9">
                        <c:v>0.125</c:v>
                      </c:pt>
                      <c:pt idx="10">
                        <c:v>0.125</c:v>
                      </c:pt>
                      <c:pt idx="11">
                        <c:v>0.125</c:v>
                      </c:pt>
                      <c:pt idx="12">
                        <c:v>0.125</c:v>
                      </c:pt>
                      <c:pt idx="13">
                        <c:v>0.125</c:v>
                      </c:pt>
                      <c:pt idx="14">
                        <c:v>0.125</c:v>
                      </c:pt>
                      <c:pt idx="15">
                        <c:v>0.125</c:v>
                      </c:pt>
                      <c:pt idx="16">
                        <c:v>0.125</c:v>
                      </c:pt>
                      <c:pt idx="17">
                        <c:v>0.125</c:v>
                      </c:pt>
                      <c:pt idx="18">
                        <c:v>0.125</c:v>
                      </c:pt>
                      <c:pt idx="19">
                        <c:v>0.125</c:v>
                      </c:pt>
                      <c:pt idx="20">
                        <c:v>0.125</c:v>
                      </c:pt>
                      <c:pt idx="21">
                        <c:v>0.125</c:v>
                      </c:pt>
                      <c:pt idx="22">
                        <c:v>0.125</c:v>
                      </c:pt>
                      <c:pt idx="23">
                        <c:v>0.125</c:v>
                      </c:pt>
                      <c:pt idx="24">
                        <c:v>0.125</c:v>
                      </c:pt>
                      <c:pt idx="25">
                        <c:v>0.125</c:v>
                      </c:pt>
                      <c:pt idx="26">
                        <c:v>0.125</c:v>
                      </c:pt>
                      <c:pt idx="27">
                        <c:v>0.125</c:v>
                      </c:pt>
                      <c:pt idx="28">
                        <c:v>0.125</c:v>
                      </c:pt>
                      <c:pt idx="29">
                        <c:v>0.125</c:v>
                      </c:pt>
                      <c:pt idx="30">
                        <c:v>0.125</c:v>
                      </c:pt>
                    </c:numCache>
                  </c:numRef>
                </c:val>
                <c:smooth val="0"/>
                <c:extLst xmlns:c15="http://schemas.microsoft.com/office/drawing/2012/chart">
                  <c:ext xmlns:c16="http://schemas.microsoft.com/office/drawing/2014/chart" uri="{C3380CC4-5D6E-409C-BE32-E72D297353CC}">
                    <c16:uniqueId val="{00000008-8F88-4FE2-8FAC-71157385019F}"/>
                  </c:ext>
                </c:extLst>
              </c15:ser>
            </c15:filteredLineSeries>
            <c15:filteredLineSeries>
              <c15:ser>
                <c:idx val="9"/>
                <c:order val="9"/>
                <c:tx>
                  <c:strRef>
                    <c:extLst>
                      <c:ext xmlns:c15="http://schemas.microsoft.com/office/drawing/2012/chart" uri="{02D57815-91ED-43cb-92C2-25804820EDAC}">
                        <c15:formulaRef>
                          <c15:sqref>externo!$X$3</c15:sqref>
                        </c15:formulaRef>
                      </c:ext>
                    </c:extLst>
                    <c:strCache>
                      <c:ptCount val="1"/>
                      <c:pt idx="0">
                        <c:v>demanda GWh</c:v>
                      </c:pt>
                    </c:strCache>
                  </c:strRef>
                </c:tx>
                <c:spPr>
                  <a:ln w="28575" cap="rnd">
                    <a:solidFill>
                      <a:schemeClr val="accent4">
                        <a:lumMod val="60000"/>
                      </a:schemeClr>
                    </a:solidFill>
                    <a:round/>
                  </a:ln>
                  <a:effectLst/>
                </c:spPr>
                <c:marker>
                  <c:symbol val="none"/>
                </c:marker>
                <c:val>
                  <c:numRef>
                    <c:extLst>
                      <c:ext xmlns:c15="http://schemas.microsoft.com/office/drawing/2012/chart" uri="{02D57815-91ED-43cb-92C2-25804820EDAC}">
                        <c15:formulaRef>
                          <c15:sqref>externo!$X$4:$X$34</c15:sqref>
                        </c15:formulaRef>
                      </c:ext>
                    </c:extLst>
                    <c:numCache>
                      <c:formatCode>General</c:formatCode>
                      <c:ptCount val="31"/>
                      <c:pt idx="0">
                        <c:v>561</c:v>
                      </c:pt>
                      <c:pt idx="1">
                        <c:v>519</c:v>
                      </c:pt>
                      <c:pt idx="2">
                        <c:v>623</c:v>
                      </c:pt>
                      <c:pt idx="3">
                        <c:v>635</c:v>
                      </c:pt>
                      <c:pt idx="4">
                        <c:v>651</c:v>
                      </c:pt>
                      <c:pt idx="5">
                        <c:v>665</c:v>
                      </c:pt>
                      <c:pt idx="6">
                        <c:v>663</c:v>
                      </c:pt>
                      <c:pt idx="7">
                        <c:v>581</c:v>
                      </c:pt>
                      <c:pt idx="8">
                        <c:v>375</c:v>
                      </c:pt>
                      <c:pt idx="9">
                        <c:v>0</c:v>
                      </c:pt>
                    </c:numCache>
                  </c:numRef>
                </c:val>
                <c:smooth val="0"/>
                <c:extLst xmlns:c15="http://schemas.microsoft.com/office/drawing/2012/chart">
                  <c:ext xmlns:c16="http://schemas.microsoft.com/office/drawing/2014/chart" uri="{C3380CC4-5D6E-409C-BE32-E72D297353CC}">
                    <c16:uniqueId val="{00000000-07F5-4AC7-9694-DCC4F733028D}"/>
                  </c:ext>
                </c:extLst>
              </c15:ser>
            </c15:filteredLineSeries>
            <c15:filteredLineSeries>
              <c15:ser>
                <c:idx val="10"/>
                <c:order val="10"/>
                <c:tx>
                  <c:strRef>
                    <c:extLst>
                      <c:ext xmlns:c15="http://schemas.microsoft.com/office/drawing/2012/chart" uri="{02D57815-91ED-43cb-92C2-25804820EDAC}">
                        <c15:formulaRef>
                          <c15:sqref>externo!$Y$3</c15:sqref>
                        </c15:formulaRef>
                      </c:ext>
                    </c:extLst>
                    <c:strCache>
                      <c:ptCount val="1"/>
                      <c:pt idx="0">
                        <c:v>Precio RE</c:v>
                      </c:pt>
                    </c:strCache>
                  </c:strRef>
                </c:tx>
                <c:spPr>
                  <a:ln w="28575" cap="rnd">
                    <a:solidFill>
                      <a:schemeClr val="accent5">
                        <a:lumMod val="60000"/>
                      </a:schemeClr>
                    </a:solidFill>
                    <a:round/>
                  </a:ln>
                  <a:effectLst/>
                </c:spPr>
                <c:marker>
                  <c:symbol val="none"/>
                </c:marker>
                <c:val>
                  <c:numRef>
                    <c:extLst>
                      <c:ext xmlns:c15="http://schemas.microsoft.com/office/drawing/2012/chart" uri="{02D57815-91ED-43cb-92C2-25804820EDAC}">
                        <c15:formulaRef>
                          <c15:sqref>externo!$Y$4:$Y$34</c15:sqref>
                        </c15:formulaRef>
                      </c:ext>
                    </c:extLst>
                    <c:numCache>
                      <c:formatCode>General</c:formatCode>
                      <c:ptCount val="31"/>
                      <c:pt idx="0">
                        <c:v>1.8262499999999999</c:v>
                      </c:pt>
                      <c:pt idx="1">
                        <c:v>1.7988235294117645</c:v>
                      </c:pt>
                      <c:pt idx="2">
                        <c:v>9.2214285714285715</c:v>
                      </c:pt>
                      <c:pt idx="3">
                        <c:v>32.4</c:v>
                      </c:pt>
                      <c:pt idx="4">
                        <c:v>72.8125</c:v>
                      </c:pt>
                      <c:pt idx="5">
                        <c:v>67.066666666666677</c:v>
                      </c:pt>
                      <c:pt idx="6">
                        <c:v>43.955714285714286</c:v>
                      </c:pt>
                      <c:pt idx="7">
                        <c:v>53.665999999999997</c:v>
                      </c:pt>
                      <c:pt idx="8">
                        <c:v>18.348181818181818</c:v>
                      </c:pt>
                      <c:pt idx="9">
                        <c:v>38.312727272727273</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1-07F5-4AC7-9694-DCC4F733028D}"/>
                  </c:ext>
                </c:extLst>
              </c15:ser>
            </c15:filteredLineSeries>
            <c15:filteredLineSeries>
              <c15:ser>
                <c:idx val="11"/>
                <c:order val="11"/>
                <c:tx>
                  <c:strRef>
                    <c:extLst>
                      <c:ext xmlns:c15="http://schemas.microsoft.com/office/drawing/2012/chart" uri="{02D57815-91ED-43cb-92C2-25804820EDAC}">
                        <c15:formulaRef>
                          <c15:sqref>externo!$Z$3</c15:sqref>
                        </c15:formulaRef>
                      </c:ext>
                    </c:extLst>
                    <c:strCache>
                      <c:ptCount val="1"/>
                      <c:pt idx="0">
                        <c:v>Precio medio RE</c:v>
                      </c:pt>
                    </c:strCache>
                  </c:strRef>
                </c:tx>
                <c:spPr>
                  <a:ln w="28575" cap="rnd">
                    <a:solidFill>
                      <a:schemeClr val="accent6">
                        <a:lumMod val="60000"/>
                      </a:schemeClr>
                    </a:solidFill>
                    <a:round/>
                  </a:ln>
                  <a:effectLst/>
                </c:spPr>
                <c:marker>
                  <c:symbol val="none"/>
                </c:marker>
                <c:val>
                  <c:numRef>
                    <c:extLst>
                      <c:ext xmlns:c15="http://schemas.microsoft.com/office/drawing/2012/chart" uri="{02D57815-91ED-43cb-92C2-25804820EDAC}">
                        <c15:formulaRef>
                          <c15:sqref>externo!$Z$4:$Z$34</c15:sqref>
                        </c15:formulaRef>
                      </c:ext>
                    </c:extLst>
                    <c:numCache>
                      <c:formatCode>General</c:formatCode>
                      <c:ptCount val="31"/>
                      <c:pt idx="0">
                        <c:v>33.94</c:v>
                      </c:pt>
                      <c:pt idx="1">
                        <c:v>33.94</c:v>
                      </c:pt>
                      <c:pt idx="2">
                        <c:v>33.94</c:v>
                      </c:pt>
                      <c:pt idx="3">
                        <c:v>33.94</c:v>
                      </c:pt>
                      <c:pt idx="4">
                        <c:v>33.94</c:v>
                      </c:pt>
                      <c:pt idx="5">
                        <c:v>33.94</c:v>
                      </c:pt>
                      <c:pt idx="6">
                        <c:v>33.94</c:v>
                      </c:pt>
                      <c:pt idx="7">
                        <c:v>33.94</c:v>
                      </c:pt>
                      <c:pt idx="8">
                        <c:v>33.94</c:v>
                      </c:pt>
                      <c:pt idx="9">
                        <c:v>33.94</c:v>
                      </c:pt>
                      <c:pt idx="10">
                        <c:v>33.94</c:v>
                      </c:pt>
                      <c:pt idx="11">
                        <c:v>33.94</c:v>
                      </c:pt>
                      <c:pt idx="12">
                        <c:v>33.94</c:v>
                      </c:pt>
                      <c:pt idx="13">
                        <c:v>33.94</c:v>
                      </c:pt>
                      <c:pt idx="14">
                        <c:v>33.94</c:v>
                      </c:pt>
                      <c:pt idx="15">
                        <c:v>33.94</c:v>
                      </c:pt>
                      <c:pt idx="16">
                        <c:v>33.94</c:v>
                      </c:pt>
                      <c:pt idx="17">
                        <c:v>33.94</c:v>
                      </c:pt>
                      <c:pt idx="18">
                        <c:v>33.94</c:v>
                      </c:pt>
                      <c:pt idx="19">
                        <c:v>33.94</c:v>
                      </c:pt>
                      <c:pt idx="20">
                        <c:v>33.94</c:v>
                      </c:pt>
                      <c:pt idx="21">
                        <c:v>33.94</c:v>
                      </c:pt>
                      <c:pt idx="22">
                        <c:v>33.94</c:v>
                      </c:pt>
                      <c:pt idx="23">
                        <c:v>33.94</c:v>
                      </c:pt>
                      <c:pt idx="24">
                        <c:v>33.94</c:v>
                      </c:pt>
                      <c:pt idx="25">
                        <c:v>33.94</c:v>
                      </c:pt>
                      <c:pt idx="26">
                        <c:v>33.94</c:v>
                      </c:pt>
                      <c:pt idx="27">
                        <c:v>33.94</c:v>
                      </c:pt>
                      <c:pt idx="28">
                        <c:v>33.94</c:v>
                      </c:pt>
                      <c:pt idx="29">
                        <c:v>33.94</c:v>
                      </c:pt>
                      <c:pt idx="30">
                        <c:v>33.94</c:v>
                      </c:pt>
                    </c:numCache>
                  </c:numRef>
                </c:val>
                <c:smooth val="0"/>
                <c:extLst xmlns:c15="http://schemas.microsoft.com/office/drawing/2012/chart">
                  <c:ext xmlns:c16="http://schemas.microsoft.com/office/drawing/2014/chart" uri="{C3380CC4-5D6E-409C-BE32-E72D297353CC}">
                    <c16:uniqueId val="{00000002-07F5-4AC7-9694-DCC4F733028D}"/>
                  </c:ext>
                </c:extLst>
              </c15:ser>
            </c15:filteredLineSeries>
            <c15:filteredLineSeries>
              <c15:ser>
                <c:idx val="12"/>
                <c:order val="12"/>
                <c:tx>
                  <c:strRef>
                    <c:extLst>
                      <c:ext xmlns:c15="http://schemas.microsoft.com/office/drawing/2012/chart" uri="{02D57815-91ED-43cb-92C2-25804820EDAC}">
                        <c15:formulaRef>
                          <c15:sqref>externo!$AA$3</c15:sqref>
                        </c15:formulaRef>
                      </c:ext>
                    </c:extLst>
                    <c:strCache>
                      <c:ptCount val="1"/>
                      <c:pt idx="0">
                        <c:v>Precio TCC</c:v>
                      </c:pt>
                    </c:strCache>
                  </c:strRef>
                </c:tx>
                <c:spPr>
                  <a:ln w="28575" cap="rnd">
                    <a:solidFill>
                      <a:schemeClr val="accent1">
                        <a:lumMod val="80000"/>
                        <a:lumOff val="20000"/>
                      </a:schemeClr>
                    </a:solidFill>
                    <a:round/>
                  </a:ln>
                  <a:effectLst/>
                </c:spPr>
                <c:marker>
                  <c:symbol val="none"/>
                </c:marker>
                <c:val>
                  <c:numRef>
                    <c:extLst>
                      <c:ext xmlns:c15="http://schemas.microsoft.com/office/drawing/2012/chart" uri="{02D57815-91ED-43cb-92C2-25804820EDAC}">
                        <c15:formulaRef>
                          <c15:sqref>externo!$AA$4:$AA$34</c15:sqref>
                        </c15:formulaRef>
                      </c:ext>
                    </c:extLst>
                    <c:numCache>
                      <c:formatCode>General</c:formatCode>
                      <c:ptCount val="31"/>
                      <c:pt idx="0">
                        <c:v>0</c:v>
                      </c:pt>
                      <c:pt idx="1">
                        <c:v>0</c:v>
                      </c:pt>
                      <c:pt idx="2">
                        <c:v>0</c:v>
                      </c:pt>
                      <c:pt idx="3">
                        <c:v>171.15</c:v>
                      </c:pt>
                      <c:pt idx="4">
                        <c:v>122.80333333333331</c:v>
                      </c:pt>
                      <c:pt idx="5">
                        <c:v>116.05</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3-07F5-4AC7-9694-DCC4F733028D}"/>
                  </c:ext>
                </c:extLst>
              </c15:ser>
            </c15:filteredLineSeries>
            <c15:filteredLineSeries>
              <c15:ser>
                <c:idx val="13"/>
                <c:order val="13"/>
                <c:tx>
                  <c:strRef>
                    <c:extLst>
                      <c:ext xmlns:c15="http://schemas.microsoft.com/office/drawing/2012/chart" uri="{02D57815-91ED-43cb-92C2-25804820EDAC}">
                        <c15:formulaRef>
                          <c15:sqref>externo!$AB$3</c15:sqref>
                        </c15:formulaRef>
                      </c:ext>
                    </c:extLst>
                    <c:strCache>
                      <c:ptCount val="1"/>
                      <c:pt idx="0">
                        <c:v>Precio medio TCC</c:v>
                      </c:pt>
                    </c:strCache>
                  </c:strRef>
                </c:tx>
                <c:spPr>
                  <a:ln w="28575" cap="rnd">
                    <a:solidFill>
                      <a:schemeClr val="accent2">
                        <a:lumMod val="80000"/>
                        <a:lumOff val="20000"/>
                      </a:schemeClr>
                    </a:solidFill>
                    <a:round/>
                  </a:ln>
                  <a:effectLst/>
                </c:spPr>
                <c:marker>
                  <c:symbol val="none"/>
                </c:marker>
                <c:val>
                  <c:numRef>
                    <c:extLst>
                      <c:ext xmlns:c15="http://schemas.microsoft.com/office/drawing/2012/chart" uri="{02D57815-91ED-43cb-92C2-25804820EDAC}">
                        <c15:formulaRef>
                          <c15:sqref>externo!$AB$4:$AB$34</c15:sqref>
                        </c15:formulaRef>
                      </c:ext>
                    </c:extLst>
                    <c:numCache>
                      <c:formatCode>General</c:formatCode>
                      <c:ptCount val="31"/>
                      <c:pt idx="0">
                        <c:v>41</c:v>
                      </c:pt>
                      <c:pt idx="1">
                        <c:v>41</c:v>
                      </c:pt>
                      <c:pt idx="2">
                        <c:v>41</c:v>
                      </c:pt>
                      <c:pt idx="3">
                        <c:v>41</c:v>
                      </c:pt>
                      <c:pt idx="4">
                        <c:v>41</c:v>
                      </c:pt>
                      <c:pt idx="5">
                        <c:v>41</c:v>
                      </c:pt>
                      <c:pt idx="6">
                        <c:v>41</c:v>
                      </c:pt>
                      <c:pt idx="7">
                        <c:v>41</c:v>
                      </c:pt>
                      <c:pt idx="8">
                        <c:v>41</c:v>
                      </c:pt>
                      <c:pt idx="9">
                        <c:v>41</c:v>
                      </c:pt>
                      <c:pt idx="10">
                        <c:v>41</c:v>
                      </c:pt>
                      <c:pt idx="11">
                        <c:v>41</c:v>
                      </c:pt>
                      <c:pt idx="12">
                        <c:v>41</c:v>
                      </c:pt>
                      <c:pt idx="13">
                        <c:v>41</c:v>
                      </c:pt>
                      <c:pt idx="14">
                        <c:v>41</c:v>
                      </c:pt>
                      <c:pt idx="15">
                        <c:v>41</c:v>
                      </c:pt>
                      <c:pt idx="16">
                        <c:v>41</c:v>
                      </c:pt>
                      <c:pt idx="17">
                        <c:v>41</c:v>
                      </c:pt>
                      <c:pt idx="18">
                        <c:v>41</c:v>
                      </c:pt>
                      <c:pt idx="19">
                        <c:v>41</c:v>
                      </c:pt>
                      <c:pt idx="20">
                        <c:v>41</c:v>
                      </c:pt>
                      <c:pt idx="21">
                        <c:v>41</c:v>
                      </c:pt>
                      <c:pt idx="22">
                        <c:v>41</c:v>
                      </c:pt>
                      <c:pt idx="23">
                        <c:v>41</c:v>
                      </c:pt>
                      <c:pt idx="24">
                        <c:v>41</c:v>
                      </c:pt>
                      <c:pt idx="25">
                        <c:v>41</c:v>
                      </c:pt>
                      <c:pt idx="26">
                        <c:v>41</c:v>
                      </c:pt>
                      <c:pt idx="27">
                        <c:v>41</c:v>
                      </c:pt>
                      <c:pt idx="28">
                        <c:v>41</c:v>
                      </c:pt>
                      <c:pt idx="29">
                        <c:v>41</c:v>
                      </c:pt>
                      <c:pt idx="30">
                        <c:v>41</c:v>
                      </c:pt>
                    </c:numCache>
                  </c:numRef>
                </c:val>
                <c:smooth val="0"/>
                <c:extLst xmlns:c15="http://schemas.microsoft.com/office/drawing/2012/chart">
                  <c:ext xmlns:c16="http://schemas.microsoft.com/office/drawing/2014/chart" uri="{C3380CC4-5D6E-409C-BE32-E72D297353CC}">
                    <c16:uniqueId val="{00000004-07F5-4AC7-9694-DCC4F733028D}"/>
                  </c:ext>
                </c:extLst>
              </c15:ser>
            </c15:filteredLineSeries>
            <c15:filteredLineSeries>
              <c15:ser>
                <c:idx val="14"/>
                <c:order val="14"/>
                <c:tx>
                  <c:strRef>
                    <c:extLst>
                      <c:ext xmlns:c15="http://schemas.microsoft.com/office/drawing/2012/chart" uri="{02D57815-91ED-43cb-92C2-25804820EDAC}">
                        <c15:formulaRef>
                          <c15:sqref>externo!$AC$3</c15:sqref>
                        </c15:formulaRef>
                      </c:ext>
                    </c:extLst>
                    <c:strCache>
                      <c:ptCount val="1"/>
                      <c:pt idx="0">
                        <c:v>Precio HI</c:v>
                      </c:pt>
                    </c:strCache>
                  </c:strRef>
                </c:tx>
                <c:spPr>
                  <a:ln w="28575" cap="rnd">
                    <a:solidFill>
                      <a:schemeClr val="accent3">
                        <a:lumMod val="80000"/>
                        <a:lumOff val="20000"/>
                      </a:schemeClr>
                    </a:solidFill>
                    <a:round/>
                  </a:ln>
                  <a:effectLst/>
                </c:spPr>
                <c:marker>
                  <c:symbol val="none"/>
                </c:marker>
                <c:val>
                  <c:numRef>
                    <c:extLst>
                      <c:ext xmlns:c15="http://schemas.microsoft.com/office/drawing/2012/chart" uri="{02D57815-91ED-43cb-92C2-25804820EDAC}">
                        <c15:formulaRef>
                          <c15:sqref>externo!$AC$4:$AC$34</c15:sqref>
                        </c15:formulaRef>
                      </c:ext>
                    </c:extLst>
                    <c:numCache>
                      <c:formatCode>General</c:formatCode>
                      <c:ptCount val="31"/>
                      <c:pt idx="0">
                        <c:v>2.6019999999999999</c:v>
                      </c:pt>
                      <c:pt idx="1">
                        <c:v>8.3149999999999995</c:v>
                      </c:pt>
                      <c:pt idx="2">
                        <c:v>72.811999999999998</c:v>
                      </c:pt>
                      <c:pt idx="3">
                        <c:v>107.74214285714284</c:v>
                      </c:pt>
                      <c:pt idx="4">
                        <c:v>103.10666666666668</c:v>
                      </c:pt>
                      <c:pt idx="5">
                        <c:v>101.755</c:v>
                      </c:pt>
                      <c:pt idx="6">
                        <c:v>91.826153846153844</c:v>
                      </c:pt>
                      <c:pt idx="7">
                        <c:v>75.531818181818196</c:v>
                      </c:pt>
                      <c:pt idx="8">
                        <c:v>17.494545454545456</c:v>
                      </c:pt>
                      <c:pt idx="9">
                        <c:v>75.406666666666666</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5-07F5-4AC7-9694-DCC4F733028D}"/>
                  </c:ext>
                </c:extLst>
              </c15:ser>
            </c15:filteredLineSeries>
            <c15:filteredLineSeries>
              <c15:ser>
                <c:idx val="15"/>
                <c:order val="15"/>
                <c:tx>
                  <c:strRef>
                    <c:extLst>
                      <c:ext xmlns:c15="http://schemas.microsoft.com/office/drawing/2012/chart" uri="{02D57815-91ED-43cb-92C2-25804820EDAC}">
                        <c15:formulaRef>
                          <c15:sqref>externo!$AD$3</c15:sqref>
                        </c15:formulaRef>
                      </c:ext>
                    </c:extLst>
                    <c:strCache>
                      <c:ptCount val="1"/>
                      <c:pt idx="0">
                        <c:v>Precio medio HI</c:v>
                      </c:pt>
                    </c:strCache>
                  </c:strRef>
                </c:tx>
                <c:spPr>
                  <a:ln w="28575" cap="rnd">
                    <a:solidFill>
                      <a:schemeClr val="accent4">
                        <a:lumMod val="80000"/>
                        <a:lumOff val="20000"/>
                      </a:schemeClr>
                    </a:solidFill>
                    <a:round/>
                  </a:ln>
                  <a:effectLst/>
                </c:spPr>
                <c:marker>
                  <c:symbol val="none"/>
                </c:marker>
                <c:val>
                  <c:numRef>
                    <c:extLst>
                      <c:ext xmlns:c15="http://schemas.microsoft.com/office/drawing/2012/chart" uri="{02D57815-91ED-43cb-92C2-25804820EDAC}">
                        <c15:formulaRef>
                          <c15:sqref>externo!$AD$4:$AD$34</c15:sqref>
                        </c15:formulaRef>
                      </c:ext>
                    </c:extLst>
                    <c:numCache>
                      <c:formatCode>General</c:formatCode>
                      <c:ptCount val="31"/>
                      <c:pt idx="0">
                        <c:v>65.659000000000006</c:v>
                      </c:pt>
                      <c:pt idx="1">
                        <c:v>65.659000000000006</c:v>
                      </c:pt>
                      <c:pt idx="2">
                        <c:v>65.659000000000006</c:v>
                      </c:pt>
                      <c:pt idx="3">
                        <c:v>65.659000000000006</c:v>
                      </c:pt>
                      <c:pt idx="4">
                        <c:v>65.659000000000006</c:v>
                      </c:pt>
                      <c:pt idx="5">
                        <c:v>65.659000000000006</c:v>
                      </c:pt>
                      <c:pt idx="6">
                        <c:v>65.659000000000006</c:v>
                      </c:pt>
                      <c:pt idx="7">
                        <c:v>65.659000000000006</c:v>
                      </c:pt>
                      <c:pt idx="8">
                        <c:v>65.659000000000006</c:v>
                      </c:pt>
                      <c:pt idx="9">
                        <c:v>65.659000000000006</c:v>
                      </c:pt>
                      <c:pt idx="10">
                        <c:v>65.659000000000006</c:v>
                      </c:pt>
                      <c:pt idx="11">
                        <c:v>65.659000000000006</c:v>
                      </c:pt>
                      <c:pt idx="12">
                        <c:v>65.659000000000006</c:v>
                      </c:pt>
                      <c:pt idx="13">
                        <c:v>65.659000000000006</c:v>
                      </c:pt>
                      <c:pt idx="14">
                        <c:v>65.659000000000006</c:v>
                      </c:pt>
                      <c:pt idx="15">
                        <c:v>65.659000000000006</c:v>
                      </c:pt>
                      <c:pt idx="16">
                        <c:v>65.659000000000006</c:v>
                      </c:pt>
                      <c:pt idx="17">
                        <c:v>65.659000000000006</c:v>
                      </c:pt>
                      <c:pt idx="18">
                        <c:v>65.659000000000006</c:v>
                      </c:pt>
                      <c:pt idx="19">
                        <c:v>65.659000000000006</c:v>
                      </c:pt>
                      <c:pt idx="20">
                        <c:v>65.659000000000006</c:v>
                      </c:pt>
                      <c:pt idx="21">
                        <c:v>65.659000000000006</c:v>
                      </c:pt>
                      <c:pt idx="22">
                        <c:v>65.659000000000006</c:v>
                      </c:pt>
                      <c:pt idx="23">
                        <c:v>65.659000000000006</c:v>
                      </c:pt>
                      <c:pt idx="24">
                        <c:v>65.659000000000006</c:v>
                      </c:pt>
                      <c:pt idx="25">
                        <c:v>65.659000000000006</c:v>
                      </c:pt>
                      <c:pt idx="26">
                        <c:v>65.659000000000006</c:v>
                      </c:pt>
                      <c:pt idx="27">
                        <c:v>65.659000000000006</c:v>
                      </c:pt>
                      <c:pt idx="28">
                        <c:v>65.659000000000006</c:v>
                      </c:pt>
                      <c:pt idx="29">
                        <c:v>65.659000000000006</c:v>
                      </c:pt>
                      <c:pt idx="30">
                        <c:v>65.659000000000006</c:v>
                      </c:pt>
                    </c:numCache>
                  </c:numRef>
                </c:val>
                <c:smooth val="0"/>
                <c:extLst xmlns:c15="http://schemas.microsoft.com/office/drawing/2012/chart">
                  <c:ext xmlns:c16="http://schemas.microsoft.com/office/drawing/2014/chart" uri="{C3380CC4-5D6E-409C-BE32-E72D297353CC}">
                    <c16:uniqueId val="{00000000-C952-4B1B-9AFE-76ED1847B543}"/>
                  </c:ext>
                </c:extLst>
              </c15:ser>
            </c15:filteredLineSeries>
            <c15:filteredLineSeries>
              <c15:ser>
                <c:idx val="16"/>
                <c:order val="16"/>
                <c:tx>
                  <c:strRef>
                    <c:extLst>
                      <c:ext xmlns:c15="http://schemas.microsoft.com/office/drawing/2012/chart" uri="{02D57815-91ED-43cb-92C2-25804820EDAC}">
                        <c15:formulaRef>
                          <c15:sqref>externo!$AE$3</c15:sqref>
                        </c15:formulaRef>
                      </c:ext>
                    </c:extLst>
                    <c:strCache>
                      <c:ptCount val="1"/>
                      <c:pt idx="0">
                        <c:v>demanda grafico</c:v>
                      </c:pt>
                    </c:strCache>
                  </c:strRef>
                </c:tx>
                <c:spPr>
                  <a:ln w="28575" cap="rnd">
                    <a:solidFill>
                      <a:schemeClr val="accent5">
                        <a:lumMod val="80000"/>
                        <a:lumOff val="20000"/>
                      </a:schemeClr>
                    </a:solidFill>
                    <a:round/>
                  </a:ln>
                  <a:effectLst/>
                </c:spPr>
                <c:marker>
                  <c:symbol val="none"/>
                </c:marker>
                <c:val>
                  <c:numRef>
                    <c:extLst>
                      <c:ext xmlns:c15="http://schemas.microsoft.com/office/drawing/2012/chart" uri="{02D57815-91ED-43cb-92C2-25804820EDAC}">
                        <c15:formulaRef>
                          <c15:sqref>externo!$AE$4:$AE$34</c15:sqref>
                        </c15:formulaRef>
                      </c:ext>
                    </c:extLst>
                    <c:numCache>
                      <c:formatCode>General</c:formatCode>
                      <c:ptCount val="31"/>
                      <c:pt idx="0">
                        <c:v>561</c:v>
                      </c:pt>
                      <c:pt idx="1">
                        <c:v>519</c:v>
                      </c:pt>
                      <c:pt idx="2">
                        <c:v>623</c:v>
                      </c:pt>
                      <c:pt idx="3">
                        <c:v>635</c:v>
                      </c:pt>
                      <c:pt idx="4">
                        <c:v>651</c:v>
                      </c:pt>
                      <c:pt idx="5">
                        <c:v>665</c:v>
                      </c:pt>
                      <c:pt idx="6">
                        <c:v>663</c:v>
                      </c:pt>
                      <c:pt idx="7">
                        <c:v>581</c:v>
                      </c:pt>
                      <c:pt idx="8">
                        <c:v>375</c:v>
                      </c:pt>
                      <c:pt idx="9">
                        <c:v>0</c:v>
                      </c:pt>
                      <c:pt idx="10">
                        <c:v>527.29999999999995</c:v>
                      </c:pt>
                      <c:pt idx="11">
                        <c:v>527.29999999999995</c:v>
                      </c:pt>
                      <c:pt idx="12">
                        <c:v>527.29999999999995</c:v>
                      </c:pt>
                      <c:pt idx="13">
                        <c:v>527.29999999999995</c:v>
                      </c:pt>
                      <c:pt idx="14">
                        <c:v>527.29999999999995</c:v>
                      </c:pt>
                      <c:pt idx="15">
                        <c:v>527.29999999999995</c:v>
                      </c:pt>
                      <c:pt idx="16">
                        <c:v>527.29999999999995</c:v>
                      </c:pt>
                      <c:pt idx="17">
                        <c:v>527.29999999999995</c:v>
                      </c:pt>
                      <c:pt idx="18">
                        <c:v>527.29999999999995</c:v>
                      </c:pt>
                      <c:pt idx="19">
                        <c:v>527.29999999999995</c:v>
                      </c:pt>
                      <c:pt idx="20">
                        <c:v>527.29999999999995</c:v>
                      </c:pt>
                      <c:pt idx="21">
                        <c:v>527.29999999999995</c:v>
                      </c:pt>
                      <c:pt idx="22">
                        <c:v>527.29999999999995</c:v>
                      </c:pt>
                      <c:pt idx="23">
                        <c:v>527.29999999999995</c:v>
                      </c:pt>
                      <c:pt idx="24">
                        <c:v>527.29999999999995</c:v>
                      </c:pt>
                      <c:pt idx="25">
                        <c:v>527.29999999999995</c:v>
                      </c:pt>
                      <c:pt idx="26">
                        <c:v>527.29999999999995</c:v>
                      </c:pt>
                      <c:pt idx="27">
                        <c:v>527.29999999999995</c:v>
                      </c:pt>
                      <c:pt idx="28">
                        <c:v>527.29999999999995</c:v>
                      </c:pt>
                      <c:pt idx="29">
                        <c:v>527.29999999999995</c:v>
                      </c:pt>
                      <c:pt idx="30">
                        <c:v>527.29999999999995</c:v>
                      </c:pt>
                    </c:numCache>
                  </c:numRef>
                </c:val>
                <c:smooth val="0"/>
                <c:extLst xmlns:c15="http://schemas.microsoft.com/office/drawing/2012/chart">
                  <c:ext xmlns:c16="http://schemas.microsoft.com/office/drawing/2014/chart" uri="{C3380CC4-5D6E-409C-BE32-E72D297353CC}">
                    <c16:uniqueId val="{00000001-C952-4B1B-9AFE-76ED1847B543}"/>
                  </c:ext>
                </c:extLst>
              </c15:ser>
            </c15:filteredLineSeries>
          </c:ext>
        </c:extLst>
      </c:lineChart>
      <c:catAx>
        <c:axId val="796336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306093343"/>
        <c:crosses val="autoZero"/>
        <c:auto val="1"/>
        <c:lblAlgn val="ctr"/>
        <c:lblOffset val="100"/>
        <c:noMultiLvlLbl val="0"/>
      </c:catAx>
      <c:valAx>
        <c:axId val="30609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796336896"/>
        <c:crosses val="autoZero"/>
        <c:crossBetween val="between"/>
      </c:valAx>
      <c:valAx>
        <c:axId val="306049199"/>
        <c:scaling>
          <c:orientation val="minMax"/>
          <c:max val="2"/>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400" b="0" i="0" u="none" strike="noStrike" kern="1200" baseline="0">
                <a:solidFill>
                  <a:schemeClr val="bg1"/>
                </a:solidFill>
                <a:latin typeface="Arial Narrow" panose="020B0606020202030204" pitchFamily="34" charset="0"/>
                <a:ea typeface="+mn-ea"/>
                <a:cs typeface="+mn-cs"/>
              </a:defRPr>
            </a:pPr>
            <a:endParaRPr lang="es-ES"/>
          </a:p>
        </c:txPr>
        <c:crossAx val="327395439"/>
        <c:crosses val="max"/>
        <c:crossBetween val="between"/>
      </c:valAx>
      <c:catAx>
        <c:axId val="327395439"/>
        <c:scaling>
          <c:orientation val="minMax"/>
        </c:scaling>
        <c:delete val="1"/>
        <c:axPos val="b"/>
        <c:majorTickMark val="out"/>
        <c:minorTickMark val="none"/>
        <c:tickLblPos val="nextTo"/>
        <c:crossAx val="30604919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userShapes r:id="rId3"/>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2062164987398E-2"/>
          <c:y val="0"/>
          <c:w val="0.90863576366323995"/>
          <c:h val="1"/>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22D8-4DAB-A899-B737BACB635A}"/>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22D8-4DAB-A899-B737BACB635A}"/>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22D8-4DAB-A899-B737BACB635A}"/>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22D8-4DAB-A899-B737BACB635A}"/>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22D8-4DAB-A899-B737BACB635A}"/>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22D8-4DAB-A899-B737BACB635A}"/>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22D8-4DAB-A899-B737BACB635A}"/>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22D8-4DAB-A899-B737BACB635A}"/>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22D8-4DAB-A899-B737BACB635A}"/>
              </c:ext>
            </c:extLst>
          </c:dPt>
          <c:dPt>
            <c:idx val="9"/>
            <c:bubble3D val="0"/>
            <c:spPr>
              <a:noFill/>
              <a:ln w="19050">
                <a:noFill/>
              </a:ln>
              <a:effectLst/>
            </c:spPr>
            <c:extLst>
              <c:ext xmlns:c16="http://schemas.microsoft.com/office/drawing/2014/chart" uri="{C3380CC4-5D6E-409C-BE32-E72D297353CC}">
                <c16:uniqueId val="{00000013-22D8-4DAB-A899-B737BACB635A}"/>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22D8-4DAB-A899-B737BACB635A}"/>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22D8-4DAB-A899-B737BACB635A}"/>
              </c:ext>
            </c:extLst>
          </c:dPt>
          <c:xVal>
            <c:numRef>
              <c:f>[1]omie_dinamic_dia!$X$11:$X$12</c:f>
              <c:numCache>
                <c:formatCode>General</c:formatCode>
                <c:ptCount val="2"/>
                <c:pt idx="0">
                  <c:v>0</c:v>
                </c:pt>
                <c:pt idx="1">
                  <c:v>0.762442511011448</c:v>
                </c:pt>
              </c:numCache>
            </c:numRef>
          </c:xVal>
          <c:yVal>
            <c:numRef>
              <c:f>[1]omie_dinamic_dia!$Y$11:$Y$12</c:f>
              <c:numCache>
                <c:formatCode>General</c:formatCode>
                <c:ptCount val="2"/>
                <c:pt idx="0">
                  <c:v>0</c:v>
                </c:pt>
                <c:pt idx="1">
                  <c:v>0.64705596156944423</c:v>
                </c:pt>
              </c:numCache>
            </c:numRef>
          </c:yVal>
          <c:smooth val="1"/>
          <c:extLst>
            <c:ext xmlns:c16="http://schemas.microsoft.com/office/drawing/2014/chart" uri="{C3380CC4-5D6E-409C-BE32-E72D297353CC}">
              <c16:uniqueId val="{00000017-22D8-4DAB-A899-B737BACB635A}"/>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7851924982527E-2"/>
          <c:y val="6.8872807634068611E-2"/>
          <c:w val="0.8881918832655995"/>
          <c:h val="0.69281770511755181"/>
        </c:manualLayout>
      </c:layout>
      <c:doughnutChart>
        <c:varyColors val="1"/>
        <c:ser>
          <c:idx val="1"/>
          <c:order val="0"/>
          <c:tx>
            <c:v>a</c:v>
          </c:tx>
          <c:spPr>
            <a:solidFill>
              <a:schemeClr val="accent1">
                <a:lumMod val="50000"/>
              </a:schemeClr>
            </a:solidFill>
          </c:spPr>
          <c:explosion val="5"/>
          <c:dPt>
            <c:idx val="0"/>
            <c:bubble3D val="0"/>
            <c:spPr>
              <a:solidFill>
                <a:schemeClr val="accent2">
                  <a:lumMod val="20000"/>
                  <a:lumOff val="80000"/>
                </a:schemeClr>
              </a:solidFill>
            </c:spPr>
            <c:extLst>
              <c:ext xmlns:c16="http://schemas.microsoft.com/office/drawing/2014/chart" uri="{C3380CC4-5D6E-409C-BE32-E72D297353CC}">
                <c16:uniqueId val="{00000001-C5D8-4963-BD1A-D9706B0CCEFC}"/>
              </c:ext>
            </c:extLst>
          </c:dPt>
          <c:dPt>
            <c:idx val="1"/>
            <c:bubble3D val="0"/>
            <c:spPr>
              <a:solidFill>
                <a:schemeClr val="accent2">
                  <a:lumMod val="20000"/>
                  <a:lumOff val="80000"/>
                </a:schemeClr>
              </a:solidFill>
            </c:spPr>
            <c:extLst>
              <c:ext xmlns:c16="http://schemas.microsoft.com/office/drawing/2014/chart" uri="{C3380CC4-5D6E-409C-BE32-E72D297353CC}">
                <c16:uniqueId val="{00000003-C5D8-4963-BD1A-D9706B0CCEFC}"/>
              </c:ext>
            </c:extLst>
          </c:dPt>
          <c:dPt>
            <c:idx val="2"/>
            <c:bubble3D val="0"/>
            <c:spPr>
              <a:solidFill>
                <a:schemeClr val="accent2">
                  <a:lumMod val="40000"/>
                  <a:lumOff val="60000"/>
                </a:schemeClr>
              </a:solidFill>
            </c:spPr>
            <c:extLst>
              <c:ext xmlns:c16="http://schemas.microsoft.com/office/drawing/2014/chart" uri="{C3380CC4-5D6E-409C-BE32-E72D297353CC}">
                <c16:uniqueId val="{00000005-C5D8-4963-BD1A-D9706B0CCEFC}"/>
              </c:ext>
            </c:extLst>
          </c:dPt>
          <c:dPt>
            <c:idx val="3"/>
            <c:bubble3D val="0"/>
            <c:spPr>
              <a:solidFill>
                <a:schemeClr val="accent2">
                  <a:lumMod val="40000"/>
                  <a:lumOff val="60000"/>
                </a:schemeClr>
              </a:solidFill>
            </c:spPr>
            <c:extLst>
              <c:ext xmlns:c16="http://schemas.microsoft.com/office/drawing/2014/chart" uri="{C3380CC4-5D6E-409C-BE32-E72D297353CC}">
                <c16:uniqueId val="{00000007-C5D8-4963-BD1A-D9706B0CCEFC}"/>
              </c:ext>
            </c:extLst>
          </c:dPt>
          <c:dPt>
            <c:idx val="4"/>
            <c:bubble3D val="0"/>
            <c:spPr>
              <a:solidFill>
                <a:schemeClr val="accent2">
                  <a:lumMod val="60000"/>
                  <a:lumOff val="40000"/>
                </a:schemeClr>
              </a:solidFill>
            </c:spPr>
            <c:extLst>
              <c:ext xmlns:c16="http://schemas.microsoft.com/office/drawing/2014/chart" uri="{C3380CC4-5D6E-409C-BE32-E72D297353CC}">
                <c16:uniqueId val="{00000009-C5D8-4963-BD1A-D9706B0CCEFC}"/>
              </c:ext>
            </c:extLst>
          </c:dPt>
          <c:dPt>
            <c:idx val="5"/>
            <c:bubble3D val="0"/>
            <c:spPr>
              <a:solidFill>
                <a:schemeClr val="accent2">
                  <a:lumMod val="60000"/>
                  <a:lumOff val="40000"/>
                </a:schemeClr>
              </a:solidFill>
            </c:spPr>
            <c:extLst>
              <c:ext xmlns:c16="http://schemas.microsoft.com/office/drawing/2014/chart" uri="{C3380CC4-5D6E-409C-BE32-E72D297353CC}">
                <c16:uniqueId val="{0000000B-C5D8-4963-BD1A-D9706B0CCEFC}"/>
              </c:ext>
            </c:extLst>
          </c:dPt>
          <c:dPt>
            <c:idx val="6"/>
            <c:bubble3D val="0"/>
            <c:spPr>
              <a:solidFill>
                <a:schemeClr val="accent2">
                  <a:lumMod val="75000"/>
                </a:schemeClr>
              </a:solidFill>
            </c:spPr>
            <c:extLst>
              <c:ext xmlns:c16="http://schemas.microsoft.com/office/drawing/2014/chart" uri="{C3380CC4-5D6E-409C-BE32-E72D297353CC}">
                <c16:uniqueId val="{0000000D-C5D8-4963-BD1A-D9706B0CCEFC}"/>
              </c:ext>
            </c:extLst>
          </c:dPt>
          <c:dPt>
            <c:idx val="7"/>
            <c:bubble3D val="0"/>
            <c:spPr>
              <a:solidFill>
                <a:schemeClr val="accent2">
                  <a:lumMod val="75000"/>
                </a:schemeClr>
              </a:solidFill>
            </c:spPr>
            <c:extLst>
              <c:ext xmlns:c16="http://schemas.microsoft.com/office/drawing/2014/chart" uri="{C3380CC4-5D6E-409C-BE32-E72D297353CC}">
                <c16:uniqueId val="{0000000F-C5D8-4963-BD1A-D9706B0CCEFC}"/>
              </c:ext>
            </c:extLst>
          </c:dPt>
          <c:dPt>
            <c:idx val="8"/>
            <c:bubble3D val="0"/>
            <c:spPr>
              <a:solidFill>
                <a:schemeClr val="accent2">
                  <a:lumMod val="50000"/>
                </a:schemeClr>
              </a:solidFill>
            </c:spPr>
            <c:extLst>
              <c:ext xmlns:c16="http://schemas.microsoft.com/office/drawing/2014/chart" uri="{C3380CC4-5D6E-409C-BE32-E72D297353CC}">
                <c16:uniqueId val="{00000011-C5D8-4963-BD1A-D9706B0CCEFC}"/>
              </c:ext>
            </c:extLst>
          </c:dPt>
          <c:dPt>
            <c:idx val="9"/>
            <c:bubble3D val="0"/>
            <c:spPr>
              <a:noFill/>
            </c:spPr>
            <c:extLst>
              <c:ext xmlns:c16="http://schemas.microsoft.com/office/drawing/2014/chart" uri="{C3380CC4-5D6E-409C-BE32-E72D297353CC}">
                <c16:uniqueId val="{00000013-C5D8-4963-BD1A-D9706B0CCEFC}"/>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C5D8-4963-BD1A-D9706B0CCEFC}"/>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[1]omie_dinamic_dia!$AB$20:$AB$21</c:f>
              <c:numCache>
                <c:formatCode>General</c:formatCode>
                <c:ptCount val="2"/>
                <c:pt idx="0">
                  <c:v>0</c:v>
                </c:pt>
                <c:pt idx="1">
                  <c:v>-0.98768834059513777</c:v>
                </c:pt>
              </c:numCache>
            </c:numRef>
          </c:xVal>
          <c:yVal>
            <c:numRef>
              <c:f>[1]omie_dinamic_dia!$AC$20:$AC$21</c:f>
              <c:numCache>
                <c:formatCode>General</c:formatCode>
                <c:ptCount val="2"/>
                <c:pt idx="0">
                  <c:v>0</c:v>
                </c:pt>
                <c:pt idx="1">
                  <c:v>0.15643446504023087</c:v>
                </c:pt>
              </c:numCache>
            </c:numRef>
          </c:yVal>
          <c:smooth val="1"/>
          <c:extLst>
            <c:ext xmlns:c16="http://schemas.microsoft.com/office/drawing/2014/chart" uri="{C3380CC4-5D6E-409C-BE32-E72D297353CC}">
              <c16:uniqueId val="{00000015-C5D8-4963-BD1A-D9706B0CCEFC}"/>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962320497611979E-2"/>
          <c:y val="3.5181020279236579E-2"/>
          <c:w val="0.96337578488856979"/>
          <c:h val="0.8411346311549518"/>
        </c:manualLayout>
      </c:layout>
      <c:doughnutChart>
        <c:varyColors val="1"/>
        <c:ser>
          <c:idx val="1"/>
          <c:order val="0"/>
          <c:tx>
            <c:v>a</c:v>
          </c:tx>
          <c:explosion val="5"/>
          <c:dPt>
            <c:idx val="0"/>
            <c:bubble3D val="0"/>
            <c:spPr>
              <a:solidFill>
                <a:schemeClr val="accent1">
                  <a:lumMod val="20000"/>
                  <a:lumOff val="80000"/>
                </a:schemeClr>
              </a:solidFill>
            </c:spPr>
            <c:extLst>
              <c:ext xmlns:c16="http://schemas.microsoft.com/office/drawing/2014/chart" uri="{C3380CC4-5D6E-409C-BE32-E72D297353CC}">
                <c16:uniqueId val="{00000001-1674-49EE-9AE7-ABC335C21D56}"/>
              </c:ext>
            </c:extLst>
          </c:dPt>
          <c:dPt>
            <c:idx val="1"/>
            <c:bubble3D val="0"/>
            <c:spPr>
              <a:solidFill>
                <a:schemeClr val="accent1">
                  <a:lumMod val="20000"/>
                  <a:lumOff val="80000"/>
                </a:schemeClr>
              </a:solidFill>
            </c:spPr>
            <c:extLst>
              <c:ext xmlns:c16="http://schemas.microsoft.com/office/drawing/2014/chart" uri="{C3380CC4-5D6E-409C-BE32-E72D297353CC}">
                <c16:uniqueId val="{00000003-1674-49EE-9AE7-ABC335C21D56}"/>
              </c:ext>
            </c:extLst>
          </c:dPt>
          <c:dPt>
            <c:idx val="2"/>
            <c:bubble3D val="0"/>
            <c:spPr>
              <a:solidFill>
                <a:schemeClr val="accent1">
                  <a:lumMod val="40000"/>
                  <a:lumOff val="60000"/>
                </a:schemeClr>
              </a:solidFill>
            </c:spPr>
            <c:extLst>
              <c:ext xmlns:c16="http://schemas.microsoft.com/office/drawing/2014/chart" uri="{C3380CC4-5D6E-409C-BE32-E72D297353CC}">
                <c16:uniqueId val="{00000005-1674-49EE-9AE7-ABC335C21D56}"/>
              </c:ext>
            </c:extLst>
          </c:dPt>
          <c:dPt>
            <c:idx val="3"/>
            <c:bubble3D val="0"/>
            <c:spPr>
              <a:solidFill>
                <a:schemeClr val="accent1">
                  <a:lumMod val="40000"/>
                  <a:lumOff val="60000"/>
                </a:schemeClr>
              </a:solidFill>
            </c:spPr>
            <c:extLst>
              <c:ext xmlns:c16="http://schemas.microsoft.com/office/drawing/2014/chart" uri="{C3380CC4-5D6E-409C-BE32-E72D297353CC}">
                <c16:uniqueId val="{00000007-1674-49EE-9AE7-ABC335C21D56}"/>
              </c:ext>
            </c:extLst>
          </c:dPt>
          <c:dPt>
            <c:idx val="4"/>
            <c:bubble3D val="0"/>
            <c:spPr>
              <a:solidFill>
                <a:schemeClr val="accent1">
                  <a:lumMod val="60000"/>
                  <a:lumOff val="40000"/>
                </a:schemeClr>
              </a:solidFill>
            </c:spPr>
            <c:extLst>
              <c:ext xmlns:c16="http://schemas.microsoft.com/office/drawing/2014/chart" uri="{C3380CC4-5D6E-409C-BE32-E72D297353CC}">
                <c16:uniqueId val="{00000009-1674-49EE-9AE7-ABC335C21D56}"/>
              </c:ext>
            </c:extLst>
          </c:dPt>
          <c:dPt>
            <c:idx val="5"/>
            <c:bubble3D val="0"/>
            <c:spPr>
              <a:solidFill>
                <a:schemeClr val="accent1">
                  <a:lumMod val="60000"/>
                  <a:lumOff val="40000"/>
                </a:schemeClr>
              </a:solidFill>
            </c:spPr>
            <c:extLst>
              <c:ext xmlns:c16="http://schemas.microsoft.com/office/drawing/2014/chart" uri="{C3380CC4-5D6E-409C-BE32-E72D297353CC}">
                <c16:uniqueId val="{0000000B-1674-49EE-9AE7-ABC335C21D56}"/>
              </c:ext>
            </c:extLst>
          </c:dPt>
          <c:dPt>
            <c:idx val="6"/>
            <c:bubble3D val="0"/>
            <c:spPr>
              <a:solidFill>
                <a:schemeClr val="accent1">
                  <a:lumMod val="75000"/>
                </a:schemeClr>
              </a:solidFill>
            </c:spPr>
            <c:extLst>
              <c:ext xmlns:c16="http://schemas.microsoft.com/office/drawing/2014/chart" uri="{C3380CC4-5D6E-409C-BE32-E72D297353CC}">
                <c16:uniqueId val="{0000000D-1674-49EE-9AE7-ABC335C21D56}"/>
              </c:ext>
            </c:extLst>
          </c:dPt>
          <c:dPt>
            <c:idx val="7"/>
            <c:bubble3D val="0"/>
            <c:spPr>
              <a:solidFill>
                <a:schemeClr val="accent1">
                  <a:lumMod val="75000"/>
                </a:schemeClr>
              </a:solidFill>
            </c:spPr>
            <c:extLst>
              <c:ext xmlns:c16="http://schemas.microsoft.com/office/drawing/2014/chart" uri="{C3380CC4-5D6E-409C-BE32-E72D297353CC}">
                <c16:uniqueId val="{0000000F-1674-49EE-9AE7-ABC335C21D56}"/>
              </c:ext>
            </c:extLst>
          </c:dPt>
          <c:dPt>
            <c:idx val="8"/>
            <c:bubble3D val="0"/>
            <c:spPr>
              <a:solidFill>
                <a:schemeClr val="accent1">
                  <a:lumMod val="50000"/>
                </a:schemeClr>
              </a:solidFill>
            </c:spPr>
            <c:extLst>
              <c:ext xmlns:c16="http://schemas.microsoft.com/office/drawing/2014/chart" uri="{C3380CC4-5D6E-409C-BE32-E72D297353CC}">
                <c16:uniqueId val="{00000011-1674-49EE-9AE7-ABC335C21D56}"/>
              </c:ext>
            </c:extLst>
          </c:dPt>
          <c:dPt>
            <c:idx val="9"/>
            <c:bubble3D val="0"/>
            <c:spPr>
              <a:noFill/>
            </c:spPr>
            <c:extLst>
              <c:ext xmlns:c16="http://schemas.microsoft.com/office/drawing/2014/chart" uri="{C3380CC4-5D6E-409C-BE32-E72D297353CC}">
                <c16:uniqueId val="{00000013-1674-49EE-9AE7-ABC335C21D56}"/>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1674-49EE-9AE7-ABC335C21D56}"/>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[1]omie_dinamic_dia!$X$37:$X$38</c:f>
              <c:numCache>
                <c:formatCode>General</c:formatCode>
                <c:ptCount val="2"/>
                <c:pt idx="0">
                  <c:v>0</c:v>
                </c:pt>
                <c:pt idx="1">
                  <c:v>0.70710678118654746</c:v>
                </c:pt>
              </c:numCache>
            </c:numRef>
          </c:xVal>
          <c:yVal>
            <c:numRef>
              <c:f>[1]omie_dinamic_dia!$Y$37:$Y$38</c:f>
              <c:numCache>
                <c:formatCode>General</c:formatCode>
                <c:ptCount val="2"/>
                <c:pt idx="0">
                  <c:v>0</c:v>
                </c:pt>
                <c:pt idx="1">
                  <c:v>0.70710678118654757</c:v>
                </c:pt>
              </c:numCache>
            </c:numRef>
          </c:yVal>
          <c:smooth val="1"/>
          <c:extLst>
            <c:ext xmlns:c16="http://schemas.microsoft.com/office/drawing/2014/chart" uri="{C3380CC4-5D6E-409C-BE32-E72D297353CC}">
              <c16:uniqueId val="{00000015-1674-49EE-9AE7-ABC335C21D56}"/>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ndard"/>
        <c:varyColors val="0"/>
        <c:ser>
          <c:idx val="0"/>
          <c:order val="0"/>
          <c:tx>
            <c:v>demanda</c:v>
          </c:tx>
          <c:spPr>
            <a:solidFill>
              <a:schemeClr val="accent1">
                <a:lumMod val="20000"/>
                <a:lumOff val="80000"/>
              </a:schemeClr>
            </a:solidFill>
            <a:ln>
              <a:noFill/>
            </a:ln>
            <a:effectLst/>
          </c:spPr>
          <c:trendline>
            <c:spPr>
              <a:ln w="19050" cap="rnd">
                <a:solidFill>
                  <a:schemeClr val="accent1"/>
                </a:solidFill>
                <a:prstDash val="sysDot"/>
              </a:ln>
              <a:effectLst/>
            </c:spPr>
            <c:trendlineType val="linear"/>
            <c:dispRSqr val="0"/>
            <c:dispEq val="0"/>
          </c:trendline>
          <c:cat>
            <c:numRef>
              <c:f>externo!$O$4:$O$34</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externo!$X$4:$X$34</c:f>
              <c:numCache>
                <c:formatCode>General</c:formatCode>
                <c:ptCount val="31"/>
                <c:pt idx="0">
                  <c:v>561</c:v>
                </c:pt>
                <c:pt idx="1">
                  <c:v>519</c:v>
                </c:pt>
                <c:pt idx="2">
                  <c:v>623</c:v>
                </c:pt>
                <c:pt idx="3">
                  <c:v>635</c:v>
                </c:pt>
                <c:pt idx="4">
                  <c:v>651</c:v>
                </c:pt>
                <c:pt idx="5">
                  <c:v>665</c:v>
                </c:pt>
                <c:pt idx="6">
                  <c:v>663</c:v>
                </c:pt>
                <c:pt idx="7">
                  <c:v>581</c:v>
                </c:pt>
                <c:pt idx="8">
                  <c:v>375</c:v>
                </c:pt>
                <c:pt idx="9">
                  <c:v>0</c:v>
                </c:pt>
              </c:numCache>
            </c:numRef>
          </c:val>
          <c:extLst>
            <c:ext xmlns:c16="http://schemas.microsoft.com/office/drawing/2014/chart" uri="{C3380CC4-5D6E-409C-BE32-E72D297353CC}">
              <c16:uniqueId val="{00000000-0201-4E5B-A63C-652A59659A27}"/>
            </c:ext>
          </c:extLst>
        </c:ser>
        <c:dLbls>
          <c:showLegendKey val="0"/>
          <c:showVal val="0"/>
          <c:showCatName val="0"/>
          <c:showSerName val="0"/>
          <c:showPercent val="0"/>
          <c:showBubbleSize val="0"/>
        </c:dLbls>
        <c:axId val="2080834575"/>
        <c:axId val="2080836015"/>
      </c:areaChart>
      <c:catAx>
        <c:axId val="2080834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2080836015"/>
        <c:crosses val="autoZero"/>
        <c:auto val="1"/>
        <c:lblAlgn val="ctr"/>
        <c:lblOffset val="100"/>
        <c:noMultiLvlLbl val="0"/>
      </c:catAx>
      <c:valAx>
        <c:axId val="20808360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208083457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34.5</c:v>
                </c:pt>
                <c:pt idx="1">
                  <c:v>33.850000000000016</c:v>
                </c:pt>
                <c:pt idx="2">
                  <c:v>34.850000000000016</c:v>
                </c:pt>
                <c:pt idx="3">
                  <c:v>36.47000000000002</c:v>
                </c:pt>
                <c:pt idx="4">
                  <c:v>34.79999999999999</c:v>
                </c:pt>
                <c:pt idx="5">
                  <c:v>34.039999999999992</c:v>
                </c:pt>
                <c:pt idx="6">
                  <c:v>33.960000000000008</c:v>
                </c:pt>
                <c:pt idx="7">
                  <c:v>33.399999999999984</c:v>
                </c:pt>
                <c:pt idx="8">
                  <c:v>33.77999999999998</c:v>
                </c:pt>
                <c:pt idx="9">
                  <c:v>33.860000000000007</c:v>
                </c:pt>
              </c:numCache>
            </c:numRef>
          </c:val>
          <c:smooth val="0"/>
          <c:extLst>
            <c:ext xmlns:c16="http://schemas.microsoft.com/office/drawing/2014/chart" uri="{C3380CC4-5D6E-409C-BE32-E72D297353CC}">
              <c16:uniqueId val="{00000000-68FE-452E-B8B8-92FC3F46E985}"/>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34.35</c:v>
                </c:pt>
                <c:pt idx="1">
                  <c:v>34.35</c:v>
                </c:pt>
                <c:pt idx="2">
                  <c:v>34.35</c:v>
                </c:pt>
                <c:pt idx="3">
                  <c:v>34.35</c:v>
                </c:pt>
                <c:pt idx="4">
                  <c:v>34.35</c:v>
                </c:pt>
                <c:pt idx="5">
                  <c:v>34.35</c:v>
                </c:pt>
                <c:pt idx="6">
                  <c:v>34.35</c:v>
                </c:pt>
                <c:pt idx="7">
                  <c:v>34.35</c:v>
                </c:pt>
                <c:pt idx="8">
                  <c:v>34.35</c:v>
                </c:pt>
                <c:pt idx="9">
                  <c:v>34.35</c:v>
                </c:pt>
                <c:pt idx="10">
                  <c:v>34.35</c:v>
                </c:pt>
                <c:pt idx="11">
                  <c:v>34.35</c:v>
                </c:pt>
                <c:pt idx="12">
                  <c:v>34.35</c:v>
                </c:pt>
                <c:pt idx="13">
                  <c:v>34.35</c:v>
                </c:pt>
                <c:pt idx="14">
                  <c:v>34.35</c:v>
                </c:pt>
                <c:pt idx="15">
                  <c:v>34.35</c:v>
                </c:pt>
                <c:pt idx="16">
                  <c:v>34.35</c:v>
                </c:pt>
                <c:pt idx="17">
                  <c:v>34.35</c:v>
                </c:pt>
                <c:pt idx="18">
                  <c:v>34.35</c:v>
                </c:pt>
                <c:pt idx="19">
                  <c:v>34.35</c:v>
                </c:pt>
                <c:pt idx="20">
                  <c:v>34.35</c:v>
                </c:pt>
                <c:pt idx="21">
                  <c:v>34.35</c:v>
                </c:pt>
                <c:pt idx="22">
                  <c:v>34.35</c:v>
                </c:pt>
                <c:pt idx="23">
                  <c:v>34.35</c:v>
                </c:pt>
                <c:pt idx="24">
                  <c:v>34.35</c:v>
                </c:pt>
                <c:pt idx="25">
                  <c:v>34.35</c:v>
                </c:pt>
                <c:pt idx="26">
                  <c:v>34.35</c:v>
                </c:pt>
                <c:pt idx="27">
                  <c:v>34.35</c:v>
                </c:pt>
                <c:pt idx="28">
                  <c:v>34.35</c:v>
                </c:pt>
                <c:pt idx="29">
                  <c:v>34.35</c:v>
                </c:pt>
              </c:numCache>
            </c:numRef>
          </c:val>
          <c:smooth val="0"/>
          <c:extLst>
            <c:ext xmlns:c16="http://schemas.microsoft.com/office/drawing/2014/chart" uri="{C3380CC4-5D6E-409C-BE32-E72D297353CC}">
              <c16:uniqueId val="{00000001-68FE-452E-B8B8-92FC3F46E985}"/>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68FE-452E-B8B8-92FC3F46E985}"/>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1.9475642105786166E-2"/>
          <c:y val="3.7950040167004227E-2"/>
          <c:w val="0.93198015508685794"/>
          <c:h val="0.1622855624646281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014720349947366E-2"/>
          <c:y val="9.6785166720590163E-2"/>
          <c:w val="0.9104172631515498"/>
          <c:h val="0.75379918151756642"/>
        </c:manualLayout>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63.39</c:v>
                </c:pt>
                <c:pt idx="1">
                  <c:v>60.61</c:v>
                </c:pt>
                <c:pt idx="2">
                  <c:v>58.94</c:v>
                </c:pt>
                <c:pt idx="3">
                  <c:v>57.06</c:v>
                </c:pt>
                <c:pt idx="4">
                  <c:v>57.77</c:v>
                </c:pt>
                <c:pt idx="5">
                  <c:v>59.8</c:v>
                </c:pt>
                <c:pt idx="6">
                  <c:v>69.209999999999994</c:v>
                </c:pt>
                <c:pt idx="7">
                  <c:v>73.760000000000005</c:v>
                </c:pt>
                <c:pt idx="8">
                  <c:v>64.87</c:v>
                </c:pt>
                <c:pt idx="9">
                  <c:v>55.95</c:v>
                </c:pt>
                <c:pt idx="10">
                  <c:v>44.11</c:v>
                </c:pt>
                <c:pt idx="11">
                  <c:v>29.82</c:v>
                </c:pt>
                <c:pt idx="12">
                  <c:v>26.9</c:v>
                </c:pt>
                <c:pt idx="13">
                  <c:v>25.7</c:v>
                </c:pt>
                <c:pt idx="14">
                  <c:v>22.4</c:v>
                </c:pt>
                <c:pt idx="15">
                  <c:v>21.15</c:v>
                </c:pt>
                <c:pt idx="16">
                  <c:v>21.81</c:v>
                </c:pt>
                <c:pt idx="17">
                  <c:v>27.27</c:v>
                </c:pt>
                <c:pt idx="18">
                  <c:v>39.770000000000003</c:v>
                </c:pt>
                <c:pt idx="19">
                  <c:v>54.57</c:v>
                </c:pt>
                <c:pt idx="20">
                  <c:v>74.069999999999993</c:v>
                </c:pt>
                <c:pt idx="21">
                  <c:v>95.31</c:v>
                </c:pt>
                <c:pt idx="22">
                  <c:v>87.43</c:v>
                </c:pt>
                <c:pt idx="23">
                  <c:v>77.349999999999994</c:v>
                </c:pt>
              </c:numCache>
            </c:numRef>
          </c:val>
          <c:smooth val="0"/>
          <c:extLst>
            <c:ext xmlns:c16="http://schemas.microsoft.com/office/drawing/2014/chart" uri="{C3380CC4-5D6E-409C-BE32-E72D297353CC}">
              <c16:uniqueId val="{00000000-9C2E-433D-96F1-0A5BEE986A8B}"/>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14.12</c:v>
                </c:pt>
                <c:pt idx="1">
                  <c:v>26.95</c:v>
                </c:pt>
                <c:pt idx="2">
                  <c:v>8.6199999999999992</c:v>
                </c:pt>
                <c:pt idx="3">
                  <c:v>6.45</c:v>
                </c:pt>
                <c:pt idx="4">
                  <c:v>34.22</c:v>
                </c:pt>
                <c:pt idx="5">
                  <c:v>10.35</c:v>
                </c:pt>
                <c:pt idx="6">
                  <c:v>41.08</c:v>
                </c:pt>
                <c:pt idx="7">
                  <c:v>3.83</c:v>
                </c:pt>
                <c:pt idx="8">
                  <c:v>3.25</c:v>
                </c:pt>
                <c:pt idx="10">
                  <c:v>28.68</c:v>
                </c:pt>
                <c:pt idx="11">
                  <c:v>19.100000000000001</c:v>
                </c:pt>
                <c:pt idx="12">
                  <c:v>22.96</c:v>
                </c:pt>
                <c:pt idx="13">
                  <c:v>25.79</c:v>
                </c:pt>
                <c:pt idx="14">
                  <c:v>21.94</c:v>
                </c:pt>
                <c:pt idx="15">
                  <c:v>20.059999999999999</c:v>
                </c:pt>
                <c:pt idx="16">
                  <c:v>20.170000000000002</c:v>
                </c:pt>
                <c:pt idx="17">
                  <c:v>15.11</c:v>
                </c:pt>
                <c:pt idx="18">
                  <c:v>46.15</c:v>
                </c:pt>
                <c:pt idx="19">
                  <c:v>24.07</c:v>
                </c:pt>
                <c:pt idx="20">
                  <c:v>7.3</c:v>
                </c:pt>
                <c:pt idx="21">
                  <c:v>7.2</c:v>
                </c:pt>
                <c:pt idx="22">
                  <c:v>69.64</c:v>
                </c:pt>
              </c:numCache>
            </c:numRef>
          </c:yVal>
          <c:smooth val="0"/>
          <c:extLst>
            <c:ext xmlns:c16="http://schemas.microsoft.com/office/drawing/2014/chart" uri="{C3380CC4-5D6E-409C-BE32-E72D297353CC}">
              <c16:uniqueId val="{00000002-9C2E-433D-96F1-0A5BEE986A8B}"/>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8">
                  <c:v>120.22</c:v>
                </c:pt>
                <c:pt idx="20">
                  <c:v>119.68</c:v>
                </c:pt>
                <c:pt idx="21">
                  <c:v>171.15</c:v>
                </c:pt>
                <c:pt idx="22">
                  <c:v>120.47</c:v>
                </c:pt>
              </c:numCache>
            </c:numRef>
          </c:yVal>
          <c:smooth val="0"/>
          <c:extLst>
            <c:ext xmlns:c16="http://schemas.microsoft.com/office/drawing/2014/chart" uri="{C3380CC4-5D6E-409C-BE32-E72D297353CC}">
              <c16:uniqueId val="{00000004-9C2E-433D-96F1-0A5BEE986A8B}"/>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102.57</c:v>
                </c:pt>
                <c:pt idx="1">
                  <c:v>102.69</c:v>
                </c:pt>
                <c:pt idx="2">
                  <c:v>102.54</c:v>
                </c:pt>
                <c:pt idx="3">
                  <c:v>100.54</c:v>
                </c:pt>
                <c:pt idx="4">
                  <c:v>74.36</c:v>
                </c:pt>
                <c:pt idx="5">
                  <c:v>104.3</c:v>
                </c:pt>
                <c:pt idx="6">
                  <c:v>87.94</c:v>
                </c:pt>
                <c:pt idx="7">
                  <c:v>130.49</c:v>
                </c:pt>
                <c:pt idx="8">
                  <c:v>92.08</c:v>
                </c:pt>
                <c:pt idx="9">
                  <c:v>64.45</c:v>
                </c:pt>
                <c:pt idx="10">
                  <c:v>48.18</c:v>
                </c:pt>
                <c:pt idx="11">
                  <c:v>43.21</c:v>
                </c:pt>
                <c:pt idx="12">
                  <c:v>46.16</c:v>
                </c:pt>
                <c:pt idx="13">
                  <c:v>41.6</c:v>
                </c:pt>
                <c:pt idx="14">
                  <c:v>0</c:v>
                </c:pt>
                <c:pt idx="15">
                  <c:v>-0.01</c:v>
                </c:pt>
                <c:pt idx="16">
                  <c:v>20.16</c:v>
                </c:pt>
                <c:pt idx="17">
                  <c:v>27.44</c:v>
                </c:pt>
                <c:pt idx="18">
                  <c:v>19.82</c:v>
                </c:pt>
                <c:pt idx="19">
                  <c:v>81.64</c:v>
                </c:pt>
                <c:pt idx="20">
                  <c:v>82.53</c:v>
                </c:pt>
                <c:pt idx="21">
                  <c:v>113.32</c:v>
                </c:pt>
                <c:pt idx="22">
                  <c:v>68.900000000000006</c:v>
                </c:pt>
                <c:pt idx="23">
                  <c:v>81.36</c:v>
                </c:pt>
              </c:numCache>
            </c:numRef>
          </c:yVal>
          <c:smooth val="0"/>
          <c:extLst>
            <c:ext xmlns:c16="http://schemas.microsoft.com/office/drawing/2014/chart" uri="{C3380CC4-5D6E-409C-BE32-E72D297353CC}">
              <c16:uniqueId val="{00000006-9C2E-433D-96F1-0A5BEE986A8B}"/>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1"/>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30229557245738453"/>
          <c:w val="0.88320436110107481"/>
          <c:h val="0.57992637437627947"/>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72.380000000000038</c:v>
                </c:pt>
                <c:pt idx="1">
                  <c:v>72.380000000000038</c:v>
                </c:pt>
                <c:pt idx="2">
                  <c:v>72.859999999999971</c:v>
                </c:pt>
                <c:pt idx="3">
                  <c:v>70.960000000000022</c:v>
                </c:pt>
                <c:pt idx="4">
                  <c:v>70.210000000000022</c:v>
                </c:pt>
                <c:pt idx="5">
                  <c:v>70.630000000000038</c:v>
                </c:pt>
                <c:pt idx="6">
                  <c:v>70.630000000000038</c:v>
                </c:pt>
                <c:pt idx="7">
                  <c:v>69.890000000000029</c:v>
                </c:pt>
                <c:pt idx="8">
                  <c:v>69.890000000000029</c:v>
                </c:pt>
                <c:pt idx="9">
                  <c:v>69.890000000000029</c:v>
                </c:pt>
              </c:numCache>
            </c:numRef>
          </c:val>
          <c:smooth val="0"/>
          <c:extLst>
            <c:ext xmlns:c16="http://schemas.microsoft.com/office/drawing/2014/chart" uri="{C3380CC4-5D6E-409C-BE32-E72D297353CC}">
              <c16:uniqueId val="{00000000-51A7-4B4A-B778-D01BDBA5ACC6}"/>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70.97</c:v>
                </c:pt>
                <c:pt idx="1">
                  <c:v>70.97</c:v>
                </c:pt>
                <c:pt idx="2">
                  <c:v>70.97</c:v>
                </c:pt>
                <c:pt idx="3">
                  <c:v>70.97</c:v>
                </c:pt>
                <c:pt idx="4">
                  <c:v>70.97</c:v>
                </c:pt>
                <c:pt idx="5">
                  <c:v>70.97</c:v>
                </c:pt>
                <c:pt idx="6">
                  <c:v>70.97</c:v>
                </c:pt>
                <c:pt idx="7">
                  <c:v>70.97</c:v>
                </c:pt>
                <c:pt idx="8">
                  <c:v>70.97</c:v>
                </c:pt>
                <c:pt idx="9">
                  <c:v>70.97</c:v>
                </c:pt>
                <c:pt idx="10">
                  <c:v>70.97</c:v>
                </c:pt>
                <c:pt idx="11">
                  <c:v>70.97</c:v>
                </c:pt>
                <c:pt idx="12">
                  <c:v>70.97</c:v>
                </c:pt>
                <c:pt idx="13">
                  <c:v>70.97</c:v>
                </c:pt>
                <c:pt idx="14">
                  <c:v>70.97</c:v>
                </c:pt>
                <c:pt idx="15">
                  <c:v>70.97</c:v>
                </c:pt>
                <c:pt idx="16">
                  <c:v>70.97</c:v>
                </c:pt>
                <c:pt idx="17">
                  <c:v>70.97</c:v>
                </c:pt>
                <c:pt idx="18">
                  <c:v>70.97</c:v>
                </c:pt>
                <c:pt idx="19">
                  <c:v>70.97</c:v>
                </c:pt>
                <c:pt idx="20">
                  <c:v>70.97</c:v>
                </c:pt>
                <c:pt idx="21">
                  <c:v>70.97</c:v>
                </c:pt>
                <c:pt idx="22">
                  <c:v>70.97</c:v>
                </c:pt>
                <c:pt idx="23">
                  <c:v>70.97</c:v>
                </c:pt>
                <c:pt idx="24">
                  <c:v>70.97</c:v>
                </c:pt>
                <c:pt idx="25">
                  <c:v>70.97</c:v>
                </c:pt>
                <c:pt idx="26">
                  <c:v>70.97</c:v>
                </c:pt>
                <c:pt idx="27">
                  <c:v>70.97</c:v>
                </c:pt>
                <c:pt idx="28">
                  <c:v>70.97</c:v>
                </c:pt>
                <c:pt idx="29">
                  <c:v>70.97</c:v>
                </c:pt>
                <c:pt idx="30">
                  <c:v>70.97</c:v>
                </c:pt>
              </c:numCache>
            </c:numRef>
          </c:val>
          <c:smooth val="0"/>
          <c:extLst>
            <c:ext xmlns:c16="http://schemas.microsoft.com/office/drawing/2014/chart" uri="{C3380CC4-5D6E-409C-BE32-E72D297353CC}">
              <c16:uniqueId val="{00000001-51A7-4B4A-B778-D01BDBA5ACC6}"/>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51A7-4B4A-B778-D01BDBA5ACC6}"/>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min val="5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majorUnit val="2"/>
      </c:valAx>
      <c:spPr>
        <a:noFill/>
        <a:ln>
          <a:noFill/>
        </a:ln>
        <a:effectLst/>
      </c:spPr>
    </c:plotArea>
    <c:legend>
      <c:legendPos val="t"/>
      <c:layout>
        <c:manualLayout>
          <c:xMode val="edge"/>
          <c:yMode val="edge"/>
          <c:x val="0.14737674847039858"/>
          <c:y val="3.6300182501311236E-2"/>
          <c:w val="0.76827680127688469"/>
          <c:h val="0.1255888801338802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093751531735877E-2"/>
          <c:y val="0.10141847936166613"/>
          <c:w val="0.93628401298743025"/>
          <c:h val="0.74201302251025614"/>
        </c:manualLayout>
      </c:layout>
      <c:barChart>
        <c:barDir val="col"/>
        <c:grouping val="clustered"/>
        <c:varyColors val="0"/>
        <c:dLbls>
          <c:showLegendKey val="0"/>
          <c:showVal val="0"/>
          <c:showCatName val="0"/>
          <c:showSerName val="0"/>
          <c:showPercent val="0"/>
          <c:showBubbleSize val="0"/>
        </c:dLbls>
        <c:gapWidth val="150"/>
        <c:axId val="796336896"/>
        <c:axId val="306093343"/>
        <c:extLst>
          <c:ext xmlns:c15="http://schemas.microsoft.com/office/drawing/2012/chart" uri="{02D57815-91ED-43cb-92C2-25804820EDAC}">
            <c15:filteredBarSeries>
              <c15:ser>
                <c:idx val="4"/>
                <c:order val="4"/>
                <c:tx>
                  <c:strRef>
                    <c:extLst>
                      <c:ext uri="{02D57815-91ED-43cb-92C2-25804820EDAC}">
                        <c15:formulaRef>
                          <c15:sqref>externo!$S$3</c15:sqref>
                        </c15:formulaRef>
                      </c:ext>
                    </c:extLst>
                    <c:strCache>
                      <c:ptCount val="1"/>
                      <c:pt idx="0">
                        <c:v>Media RE</c:v>
                      </c:pt>
                    </c:strCache>
                  </c:strRef>
                </c:tx>
                <c:spPr>
                  <a:solidFill>
                    <a:schemeClr val="accent5"/>
                  </a:solidFill>
                  <a:ln>
                    <a:noFill/>
                  </a:ln>
                  <a:effectLst/>
                </c:spPr>
                <c:invertIfNegative val="0"/>
                <c:val>
                  <c:numRef>
                    <c:extLst>
                      <c:ext uri="{02D57815-91ED-43cb-92C2-25804820EDAC}">
                        <c15:formulaRef>
                          <c15:sqref>externo!$S$4:$S$34</c15:sqref>
                        </c15:formulaRef>
                      </c:ext>
                    </c:extLst>
                    <c:numCache>
                      <c:formatCode>General</c:formatCode>
                      <c:ptCount val="31"/>
                      <c:pt idx="0">
                        <c:v>0.38800000000000001</c:v>
                      </c:pt>
                      <c:pt idx="1">
                        <c:v>0.38800000000000001</c:v>
                      </c:pt>
                      <c:pt idx="2">
                        <c:v>0.38800000000000001</c:v>
                      </c:pt>
                      <c:pt idx="3">
                        <c:v>0.38800000000000001</c:v>
                      </c:pt>
                      <c:pt idx="4">
                        <c:v>0.38800000000000001</c:v>
                      </c:pt>
                      <c:pt idx="5">
                        <c:v>0.38800000000000001</c:v>
                      </c:pt>
                      <c:pt idx="6">
                        <c:v>0.38800000000000001</c:v>
                      </c:pt>
                      <c:pt idx="7">
                        <c:v>0.38800000000000001</c:v>
                      </c:pt>
                      <c:pt idx="8">
                        <c:v>0.38800000000000001</c:v>
                      </c:pt>
                      <c:pt idx="9">
                        <c:v>0.38800000000000001</c:v>
                      </c:pt>
                      <c:pt idx="10">
                        <c:v>0.38800000000000001</c:v>
                      </c:pt>
                      <c:pt idx="11">
                        <c:v>0.38800000000000001</c:v>
                      </c:pt>
                      <c:pt idx="12">
                        <c:v>0.38800000000000001</c:v>
                      </c:pt>
                      <c:pt idx="13">
                        <c:v>0.38800000000000001</c:v>
                      </c:pt>
                      <c:pt idx="14">
                        <c:v>0.38800000000000001</c:v>
                      </c:pt>
                      <c:pt idx="15">
                        <c:v>0.38800000000000001</c:v>
                      </c:pt>
                      <c:pt idx="16">
                        <c:v>0.38800000000000001</c:v>
                      </c:pt>
                      <c:pt idx="17">
                        <c:v>0.38800000000000001</c:v>
                      </c:pt>
                      <c:pt idx="18">
                        <c:v>0.38800000000000001</c:v>
                      </c:pt>
                      <c:pt idx="19">
                        <c:v>0.38800000000000001</c:v>
                      </c:pt>
                      <c:pt idx="20">
                        <c:v>0.38800000000000001</c:v>
                      </c:pt>
                      <c:pt idx="21">
                        <c:v>0.38800000000000001</c:v>
                      </c:pt>
                      <c:pt idx="22">
                        <c:v>0.38800000000000001</c:v>
                      </c:pt>
                      <c:pt idx="23">
                        <c:v>0.38800000000000001</c:v>
                      </c:pt>
                      <c:pt idx="24">
                        <c:v>0.38800000000000001</c:v>
                      </c:pt>
                      <c:pt idx="25">
                        <c:v>0.38800000000000001</c:v>
                      </c:pt>
                      <c:pt idx="26">
                        <c:v>0.38800000000000001</c:v>
                      </c:pt>
                      <c:pt idx="27">
                        <c:v>0.38800000000000001</c:v>
                      </c:pt>
                      <c:pt idx="28">
                        <c:v>0.38800000000000001</c:v>
                      </c:pt>
                      <c:pt idx="29">
                        <c:v>0.38800000000000001</c:v>
                      </c:pt>
                      <c:pt idx="30">
                        <c:v>0.38800000000000001</c:v>
                      </c:pt>
                    </c:numCache>
                  </c:numRef>
                </c:val>
                <c:extLst>
                  <c:ext xmlns:c16="http://schemas.microsoft.com/office/drawing/2014/chart" uri="{C3380CC4-5D6E-409C-BE32-E72D297353CC}">
                    <c16:uniqueId val="{00000006-42E7-4F2E-837F-BD097074516F}"/>
                  </c:ext>
                </c:extLst>
              </c15:ser>
            </c15:filteredBarSeries>
          </c:ext>
        </c:extLst>
      </c:barChart>
      <c:barChart>
        <c:barDir val="col"/>
        <c:grouping val="clustered"/>
        <c:varyColors val="0"/>
        <c:ser>
          <c:idx val="3"/>
          <c:order val="3"/>
          <c:tx>
            <c:strRef>
              <c:f>externo!$R$3</c:f>
              <c:strCache>
                <c:ptCount val="1"/>
                <c:pt idx="0">
                  <c:v>% Horas RE</c:v>
                </c:pt>
              </c:strCache>
            </c:strRef>
          </c:tx>
          <c:spPr>
            <a:solidFill>
              <a:schemeClr val="accent6">
                <a:alpha val="52000"/>
              </a:schemeClr>
            </a:solidFill>
            <a:ln>
              <a:noFill/>
            </a:ln>
            <a:effectLst/>
          </c:spPr>
          <c:invertIfNegative val="0"/>
          <c:val>
            <c:numRef>
              <c:f>externo!$R$4:$R$34</c:f>
              <c:numCache>
                <c:formatCode>General</c:formatCode>
                <c:ptCount val="31"/>
                <c:pt idx="0">
                  <c:v>0.66666666666666663</c:v>
                </c:pt>
                <c:pt idx="1">
                  <c:v>0.70833333333333337</c:v>
                </c:pt>
                <c:pt idx="2">
                  <c:v>0.58333333333333337</c:v>
                </c:pt>
                <c:pt idx="3">
                  <c:v>8.3333333333333329E-2</c:v>
                </c:pt>
                <c:pt idx="4">
                  <c:v>0.16666666666666666</c:v>
                </c:pt>
                <c:pt idx="5">
                  <c:v>0.25</c:v>
                </c:pt>
                <c:pt idx="6">
                  <c:v>0.29166666666666669</c:v>
                </c:pt>
                <c:pt idx="7">
                  <c:v>0.20833333333333337</c:v>
                </c:pt>
                <c:pt idx="8">
                  <c:v>0.45833333333333326</c:v>
                </c:pt>
                <c:pt idx="9">
                  <c:v>0.45833333333333326</c:v>
                </c:pt>
              </c:numCache>
            </c:numRef>
          </c:val>
          <c:extLst>
            <c:ext xmlns:c16="http://schemas.microsoft.com/office/drawing/2014/chart" uri="{C3380CC4-5D6E-409C-BE32-E72D297353CC}">
              <c16:uniqueId val="{00000000-42E7-4F2E-837F-BD097074516F}"/>
            </c:ext>
          </c:extLst>
        </c:ser>
        <c:ser>
          <c:idx val="5"/>
          <c:order val="5"/>
          <c:tx>
            <c:strRef>
              <c:f>externo!$T$3</c:f>
              <c:strCache>
                <c:ptCount val="1"/>
                <c:pt idx="0">
                  <c:v>% Horas TCC</c:v>
                </c:pt>
              </c:strCache>
            </c:strRef>
          </c:tx>
          <c:spPr>
            <a:solidFill>
              <a:schemeClr val="accent2">
                <a:alpha val="44000"/>
              </a:schemeClr>
            </a:solidFill>
            <a:ln>
              <a:noFill/>
            </a:ln>
            <a:effectLst/>
          </c:spPr>
          <c:invertIfNegative val="0"/>
          <c:val>
            <c:numRef>
              <c:f>externo!$T$4:$T$34</c:f>
              <c:numCache>
                <c:formatCode>General</c:formatCode>
                <c:ptCount val="31"/>
                <c:pt idx="0">
                  <c:v>0</c:v>
                </c:pt>
                <c:pt idx="1">
                  <c:v>0</c:v>
                </c:pt>
                <c:pt idx="2">
                  <c:v>0</c:v>
                </c:pt>
                <c:pt idx="3">
                  <c:v>4.1666666666666664E-2</c:v>
                </c:pt>
                <c:pt idx="4">
                  <c:v>0.125</c:v>
                </c:pt>
                <c:pt idx="5">
                  <c:v>8.3333333333333329E-2</c:v>
                </c:pt>
                <c:pt idx="6">
                  <c:v>0</c:v>
                </c:pt>
                <c:pt idx="7">
                  <c:v>0</c:v>
                </c:pt>
                <c:pt idx="8">
                  <c:v>0</c:v>
                </c:pt>
                <c:pt idx="9">
                  <c:v>0</c:v>
                </c:pt>
              </c:numCache>
            </c:numRef>
          </c:val>
          <c:extLst>
            <c:ext xmlns:c16="http://schemas.microsoft.com/office/drawing/2014/chart" uri="{C3380CC4-5D6E-409C-BE32-E72D297353CC}">
              <c16:uniqueId val="{00000001-42E7-4F2E-837F-BD097074516F}"/>
            </c:ext>
          </c:extLst>
        </c:ser>
        <c:ser>
          <c:idx val="7"/>
          <c:order val="7"/>
          <c:tx>
            <c:strRef>
              <c:f>externo!$V$3</c:f>
              <c:strCache>
                <c:ptCount val="1"/>
                <c:pt idx="0">
                  <c:v>% Horas HI</c:v>
                </c:pt>
              </c:strCache>
            </c:strRef>
          </c:tx>
          <c:spPr>
            <a:solidFill>
              <a:schemeClr val="accent1">
                <a:alpha val="32000"/>
              </a:schemeClr>
            </a:solidFill>
            <a:ln>
              <a:noFill/>
            </a:ln>
            <a:effectLst/>
          </c:spPr>
          <c:invertIfNegative val="0"/>
          <c:val>
            <c:numRef>
              <c:f>externo!$V$4:$V$34</c:f>
              <c:numCache>
                <c:formatCode>General</c:formatCode>
                <c:ptCount val="31"/>
                <c:pt idx="0">
                  <c:v>0.20833333333333337</c:v>
                </c:pt>
                <c:pt idx="1">
                  <c:v>0.16666666666666666</c:v>
                </c:pt>
                <c:pt idx="2">
                  <c:v>0.20833333333333337</c:v>
                </c:pt>
                <c:pt idx="3">
                  <c:v>0.58333333333333337</c:v>
                </c:pt>
                <c:pt idx="4">
                  <c:v>0.5</c:v>
                </c:pt>
                <c:pt idx="5">
                  <c:v>0.5</c:v>
                </c:pt>
                <c:pt idx="6">
                  <c:v>0.54166666666666663</c:v>
                </c:pt>
                <c:pt idx="7">
                  <c:v>0.45833333333333326</c:v>
                </c:pt>
                <c:pt idx="8">
                  <c:v>0.45833333333333326</c:v>
                </c:pt>
                <c:pt idx="9">
                  <c:v>0.125</c:v>
                </c:pt>
              </c:numCache>
            </c:numRef>
          </c:val>
          <c:extLst>
            <c:ext xmlns:c16="http://schemas.microsoft.com/office/drawing/2014/chart" uri="{C3380CC4-5D6E-409C-BE32-E72D297353CC}">
              <c16:uniqueId val="{00000002-42E7-4F2E-837F-BD097074516F}"/>
            </c:ext>
          </c:extLst>
        </c:ser>
        <c:dLbls>
          <c:showLegendKey val="0"/>
          <c:showVal val="0"/>
          <c:showCatName val="0"/>
          <c:showSerName val="0"/>
          <c:showPercent val="0"/>
          <c:showBubbleSize val="0"/>
        </c:dLbls>
        <c:gapWidth val="180"/>
        <c:axId val="327395439"/>
        <c:axId val="306049199"/>
        <c:extLst>
          <c:ext xmlns:c15="http://schemas.microsoft.com/office/drawing/2012/chart" uri="{02D57815-91ED-43cb-92C2-25804820EDAC}">
            <c15:filteredBarSeries>
              <c15:ser>
                <c:idx val="0"/>
                <c:order val="0"/>
                <c:tx>
                  <c:strRef>
                    <c:extLst>
                      <c:ext uri="{02D57815-91ED-43cb-92C2-25804820EDAC}">
                        <c15:formulaRef>
                          <c15:sqref>externo!$O$3</c15:sqref>
                        </c15:formulaRef>
                      </c:ext>
                    </c:extLst>
                    <c:strCache>
                      <c:ptCount val="1"/>
                      <c:pt idx="0">
                        <c:v>Dia</c:v>
                      </c:pt>
                    </c:strCache>
                  </c:strRef>
                </c:tx>
                <c:spPr>
                  <a:solidFill>
                    <a:schemeClr val="accent1"/>
                  </a:solidFill>
                  <a:ln>
                    <a:noFill/>
                  </a:ln>
                  <a:effectLst/>
                </c:spPr>
                <c:invertIfNegative val="0"/>
                <c:val>
                  <c:numRef>
                    <c:extLst>
                      <c:ext uri="{02D57815-91ED-43cb-92C2-25804820EDAC}">
                        <c15:formulaRef>
                          <c15:sqref>externo!$O$4:$O$34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extLst>
                  <c:ext xmlns:c16="http://schemas.microsoft.com/office/drawing/2014/chart" uri="{C3380CC4-5D6E-409C-BE32-E72D297353CC}">
                    <c16:uniqueId val="{00000005-42E7-4F2E-837F-BD097074516F}"/>
                  </c:ext>
                </c:extLst>
              </c15:ser>
            </c15:filteredBarSeries>
          </c:ext>
        </c:extLst>
      </c:barChart>
      <c:lineChart>
        <c:grouping val="standard"/>
        <c:varyColors val="0"/>
        <c:ser>
          <c:idx val="1"/>
          <c:order val="1"/>
          <c:tx>
            <c:strRef>
              <c:f>externo!$P$3</c:f>
              <c:strCache>
                <c:ptCount val="1"/>
                <c:pt idx="0">
                  <c:v>Omie media mensual (€/MWh)</c:v>
                </c:pt>
              </c:strCache>
            </c:strRef>
          </c:tx>
          <c:spPr>
            <a:ln w="22225" cap="rnd">
              <a:solidFill>
                <a:schemeClr val="bg1">
                  <a:lumMod val="50000"/>
                </a:schemeClr>
              </a:solidFill>
              <a:prstDash val="sysDot"/>
              <a:round/>
            </a:ln>
            <a:effectLst/>
          </c:spPr>
          <c:marker>
            <c:symbol val="none"/>
          </c:marker>
          <c:val>
            <c:numRef>
              <c:f>externo!$P$4:$P$34</c:f>
              <c:numCache>
                <c:formatCode>General</c:formatCode>
                <c:ptCount val="31"/>
                <c:pt idx="0">
                  <c:v>52.048999999999999</c:v>
                </c:pt>
                <c:pt idx="1">
                  <c:v>52.048999999999999</c:v>
                </c:pt>
                <c:pt idx="2">
                  <c:v>52.048999999999999</c:v>
                </c:pt>
                <c:pt idx="3">
                  <c:v>52.048999999999999</c:v>
                </c:pt>
                <c:pt idx="4">
                  <c:v>52.048999999999999</c:v>
                </c:pt>
                <c:pt idx="5">
                  <c:v>52.048999999999999</c:v>
                </c:pt>
                <c:pt idx="6">
                  <c:v>52.048999999999999</c:v>
                </c:pt>
                <c:pt idx="7">
                  <c:v>52.048999999999999</c:v>
                </c:pt>
                <c:pt idx="8">
                  <c:v>52.048999999999999</c:v>
                </c:pt>
                <c:pt idx="9">
                  <c:v>52.048999999999999</c:v>
                </c:pt>
                <c:pt idx="10">
                  <c:v>52.048999999999999</c:v>
                </c:pt>
                <c:pt idx="11">
                  <c:v>52.048999999999999</c:v>
                </c:pt>
                <c:pt idx="12">
                  <c:v>52.048999999999999</c:v>
                </c:pt>
                <c:pt idx="13">
                  <c:v>52.048999999999999</c:v>
                </c:pt>
                <c:pt idx="14">
                  <c:v>52.048999999999999</c:v>
                </c:pt>
                <c:pt idx="15">
                  <c:v>52.048999999999999</c:v>
                </c:pt>
                <c:pt idx="16">
                  <c:v>52.048999999999999</c:v>
                </c:pt>
                <c:pt idx="17">
                  <c:v>52.048999999999999</c:v>
                </c:pt>
                <c:pt idx="18">
                  <c:v>52.048999999999999</c:v>
                </c:pt>
                <c:pt idx="19">
                  <c:v>52.048999999999999</c:v>
                </c:pt>
                <c:pt idx="20">
                  <c:v>52.048999999999999</c:v>
                </c:pt>
                <c:pt idx="21">
                  <c:v>52.048999999999999</c:v>
                </c:pt>
                <c:pt idx="22">
                  <c:v>52.048999999999999</c:v>
                </c:pt>
                <c:pt idx="23">
                  <c:v>52.048999999999999</c:v>
                </c:pt>
                <c:pt idx="24">
                  <c:v>52.048999999999999</c:v>
                </c:pt>
                <c:pt idx="25">
                  <c:v>52.048999999999999</c:v>
                </c:pt>
                <c:pt idx="26">
                  <c:v>52.048999999999999</c:v>
                </c:pt>
                <c:pt idx="27">
                  <c:v>52.048999999999999</c:v>
                </c:pt>
                <c:pt idx="28">
                  <c:v>52.048999999999999</c:v>
                </c:pt>
                <c:pt idx="29">
                  <c:v>52.048999999999999</c:v>
                </c:pt>
                <c:pt idx="30">
                  <c:v>52.048999999999999</c:v>
                </c:pt>
              </c:numCache>
            </c:numRef>
          </c:val>
          <c:smooth val="0"/>
          <c:extLst>
            <c:ext xmlns:c16="http://schemas.microsoft.com/office/drawing/2014/chart" uri="{C3380CC4-5D6E-409C-BE32-E72D297353CC}">
              <c16:uniqueId val="{00000003-42E7-4F2E-837F-BD097074516F}"/>
            </c:ext>
          </c:extLst>
        </c:ser>
        <c:ser>
          <c:idx val="2"/>
          <c:order val="2"/>
          <c:tx>
            <c:strRef>
              <c:f>externo!$Q$3</c:f>
              <c:strCache>
                <c:ptCount val="1"/>
                <c:pt idx="0">
                  <c:v>Omie media diaria</c:v>
                </c:pt>
              </c:strCache>
            </c:strRef>
          </c:tx>
          <c:spPr>
            <a:ln w="25400" cap="rnd">
              <a:solidFill>
                <a:schemeClr val="tx1"/>
              </a:solidFill>
              <a:round/>
            </a:ln>
            <a:effectLst/>
          </c:spPr>
          <c:marker>
            <c:symbol val="none"/>
          </c:marker>
          <c:val>
            <c:numRef>
              <c:f>externo!$Q$4:$Q$34</c:f>
              <c:numCache>
                <c:formatCode>General</c:formatCode>
                <c:ptCount val="31"/>
                <c:pt idx="0">
                  <c:v>1.7595833333333333</c:v>
                </c:pt>
                <c:pt idx="1">
                  <c:v>4.2612499999999986</c:v>
                </c:pt>
                <c:pt idx="2">
                  <c:v>28.55541666666667</c:v>
                </c:pt>
                <c:pt idx="3">
                  <c:v>87.639999999999986</c:v>
                </c:pt>
                <c:pt idx="4">
                  <c:v>93.260416666666671</c:v>
                </c:pt>
                <c:pt idx="5">
                  <c:v>93.423333333333332</c:v>
                </c:pt>
                <c:pt idx="6">
                  <c:v>79.132916666666674</c:v>
                </c:pt>
                <c:pt idx="7">
                  <c:v>71.420416666666668</c:v>
                </c:pt>
                <c:pt idx="8">
                  <c:v>16.427916666666665</c:v>
                </c:pt>
                <c:pt idx="9">
                  <c:v>44.605833333333329</c:v>
                </c:pt>
              </c:numCache>
            </c:numRef>
          </c:val>
          <c:smooth val="0"/>
          <c:extLst>
            <c:ext xmlns:c16="http://schemas.microsoft.com/office/drawing/2014/chart" uri="{C3380CC4-5D6E-409C-BE32-E72D297353CC}">
              <c16:uniqueId val="{00000004-42E7-4F2E-837F-BD097074516F}"/>
            </c:ext>
          </c:extLst>
        </c:ser>
        <c:dLbls>
          <c:showLegendKey val="0"/>
          <c:showVal val="0"/>
          <c:showCatName val="0"/>
          <c:showSerName val="0"/>
          <c:showPercent val="0"/>
          <c:showBubbleSize val="0"/>
        </c:dLbls>
        <c:marker val="1"/>
        <c:smooth val="0"/>
        <c:axId val="796336896"/>
        <c:axId val="306093343"/>
        <c:extLst>
          <c:ext xmlns:c15="http://schemas.microsoft.com/office/drawing/2012/chart" uri="{02D57815-91ED-43cb-92C2-25804820EDAC}">
            <c15:filteredLineSeries>
              <c15:ser>
                <c:idx val="6"/>
                <c:order val="6"/>
                <c:tx>
                  <c:strRef>
                    <c:extLst>
                      <c:ext uri="{02D57815-91ED-43cb-92C2-25804820EDAC}">
                        <c15:formulaRef>
                          <c15:sqref>externo!$U$3</c15:sqref>
                        </c15:formulaRef>
                      </c:ext>
                    </c:extLst>
                    <c:strCache>
                      <c:ptCount val="1"/>
                      <c:pt idx="0">
                        <c:v>Media TCC</c:v>
                      </c:pt>
                    </c:strCache>
                  </c:strRef>
                </c:tx>
                <c:spPr>
                  <a:ln w="28575" cap="rnd">
                    <a:solidFill>
                      <a:schemeClr val="accent1">
                        <a:lumMod val="60000"/>
                      </a:schemeClr>
                    </a:solidFill>
                    <a:round/>
                  </a:ln>
                  <a:effectLst/>
                </c:spPr>
                <c:marker>
                  <c:symbol val="none"/>
                </c:marker>
                <c:val>
                  <c:numRef>
                    <c:extLst>
                      <c:ext uri="{02D57815-91ED-43cb-92C2-25804820EDAC}">
                        <c15:formulaRef>
                          <c15:sqref>externo!$U$4:$U$34</c15:sqref>
                        </c15:formulaRef>
                      </c:ext>
                    </c:extLst>
                    <c:numCache>
                      <c:formatCode>General</c:formatCode>
                      <c:ptCount val="31"/>
                      <c:pt idx="0">
                        <c:v>2.5000000000000001E-2</c:v>
                      </c:pt>
                      <c:pt idx="1">
                        <c:v>2.8000000000000001E-2</c:v>
                      </c:pt>
                      <c:pt idx="2">
                        <c:v>3.1E-2</c:v>
                      </c:pt>
                      <c:pt idx="3">
                        <c:v>3.5999999999999997E-2</c:v>
                      </c:pt>
                      <c:pt idx="4">
                        <c:v>3.5000000000000003E-2</c:v>
                      </c:pt>
                      <c:pt idx="5">
                        <c:v>1.7000000000000001E-2</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7-42E7-4F2E-837F-BD097074516F}"/>
                  </c:ext>
                </c:extLst>
              </c15:ser>
            </c15:filteredLineSeries>
            <c15:filteredLineSeries>
              <c15:ser>
                <c:idx val="8"/>
                <c:order val="8"/>
                <c:tx>
                  <c:strRef>
                    <c:extLst>
                      <c:ext xmlns:c15="http://schemas.microsoft.com/office/drawing/2012/chart" uri="{02D57815-91ED-43cb-92C2-25804820EDAC}">
                        <c15:formulaRef>
                          <c15:sqref>externo!$W$3</c15:sqref>
                        </c15:formulaRef>
                      </c:ext>
                    </c:extLst>
                    <c:strCache>
                      <c:ptCount val="1"/>
                      <c:pt idx="0">
                        <c:v>Media HI</c:v>
                      </c:pt>
                    </c:strCache>
                  </c:strRef>
                </c:tx>
                <c:spPr>
                  <a:ln w="28575" cap="rnd">
                    <a:solidFill>
                      <a:schemeClr val="accent3">
                        <a:lumMod val="60000"/>
                      </a:schemeClr>
                    </a:solidFill>
                    <a:round/>
                  </a:ln>
                  <a:effectLst/>
                </c:spPr>
                <c:marker>
                  <c:symbol val="none"/>
                </c:marker>
                <c:val>
                  <c:numRef>
                    <c:extLst>
                      <c:ext xmlns:c15="http://schemas.microsoft.com/office/drawing/2012/chart" uri="{02D57815-91ED-43cb-92C2-25804820EDAC}">
                        <c15:formulaRef>
                          <c15:sqref>externo!$W$4:$W$34</c15:sqref>
                        </c15:formulaRef>
                      </c:ext>
                    </c:extLst>
                    <c:numCache>
                      <c:formatCode>General</c:formatCode>
                      <c:ptCount val="31"/>
                      <c:pt idx="0">
                        <c:v>0.375</c:v>
                      </c:pt>
                      <c:pt idx="1">
                        <c:v>0.39400000000000002</c:v>
                      </c:pt>
                      <c:pt idx="2">
                        <c:v>0.42199999999999999</c:v>
                      </c:pt>
                      <c:pt idx="3">
                        <c:v>0.45200000000000001</c:v>
                      </c:pt>
                      <c:pt idx="4">
                        <c:v>0.43099999999999999</c:v>
                      </c:pt>
                      <c:pt idx="5">
                        <c:v>0.41699999999999998</c:v>
                      </c:pt>
                      <c:pt idx="6">
                        <c:v>0.39600000000000002</c:v>
                      </c:pt>
                      <c:pt idx="7">
                        <c:v>0.34699999999999998</c:v>
                      </c:pt>
                      <c:pt idx="8">
                        <c:v>0.29199999999999998</c:v>
                      </c:pt>
                      <c:pt idx="9">
                        <c:v>0.125</c:v>
                      </c:pt>
                      <c:pt idx="10">
                        <c:v>0.125</c:v>
                      </c:pt>
                      <c:pt idx="11">
                        <c:v>0.125</c:v>
                      </c:pt>
                      <c:pt idx="12">
                        <c:v>0.125</c:v>
                      </c:pt>
                      <c:pt idx="13">
                        <c:v>0.125</c:v>
                      </c:pt>
                      <c:pt idx="14">
                        <c:v>0.125</c:v>
                      </c:pt>
                      <c:pt idx="15">
                        <c:v>0.125</c:v>
                      </c:pt>
                      <c:pt idx="16">
                        <c:v>0.125</c:v>
                      </c:pt>
                      <c:pt idx="17">
                        <c:v>0.125</c:v>
                      </c:pt>
                      <c:pt idx="18">
                        <c:v>0.125</c:v>
                      </c:pt>
                      <c:pt idx="19">
                        <c:v>0.125</c:v>
                      </c:pt>
                      <c:pt idx="20">
                        <c:v>0.125</c:v>
                      </c:pt>
                      <c:pt idx="21">
                        <c:v>0.125</c:v>
                      </c:pt>
                      <c:pt idx="22">
                        <c:v>0.125</c:v>
                      </c:pt>
                      <c:pt idx="23">
                        <c:v>0.125</c:v>
                      </c:pt>
                      <c:pt idx="24">
                        <c:v>0.125</c:v>
                      </c:pt>
                      <c:pt idx="25">
                        <c:v>0.125</c:v>
                      </c:pt>
                      <c:pt idx="26">
                        <c:v>0.125</c:v>
                      </c:pt>
                      <c:pt idx="27">
                        <c:v>0.125</c:v>
                      </c:pt>
                      <c:pt idx="28">
                        <c:v>0.125</c:v>
                      </c:pt>
                      <c:pt idx="29">
                        <c:v>0.125</c:v>
                      </c:pt>
                      <c:pt idx="30">
                        <c:v>0.125</c:v>
                      </c:pt>
                    </c:numCache>
                  </c:numRef>
                </c:val>
                <c:smooth val="0"/>
                <c:extLst xmlns:c15="http://schemas.microsoft.com/office/drawing/2012/chart">
                  <c:ext xmlns:c16="http://schemas.microsoft.com/office/drawing/2014/chart" uri="{C3380CC4-5D6E-409C-BE32-E72D297353CC}">
                    <c16:uniqueId val="{00000008-42E7-4F2E-837F-BD097074516F}"/>
                  </c:ext>
                </c:extLst>
              </c15:ser>
            </c15:filteredLineSeries>
            <c15:filteredLineSeries>
              <c15:ser>
                <c:idx val="9"/>
                <c:order val="9"/>
                <c:tx>
                  <c:strRef>
                    <c:extLst>
                      <c:ext xmlns:c15="http://schemas.microsoft.com/office/drawing/2012/chart" uri="{02D57815-91ED-43cb-92C2-25804820EDAC}">
                        <c15:formulaRef>
                          <c15:sqref>externo!$X$3</c15:sqref>
                        </c15:formulaRef>
                      </c:ext>
                    </c:extLst>
                    <c:strCache>
                      <c:ptCount val="1"/>
                      <c:pt idx="0">
                        <c:v>demanda GWh</c:v>
                      </c:pt>
                    </c:strCache>
                  </c:strRef>
                </c:tx>
                <c:spPr>
                  <a:ln w="28575" cap="rnd">
                    <a:solidFill>
                      <a:schemeClr val="accent4">
                        <a:lumMod val="60000"/>
                      </a:schemeClr>
                    </a:solidFill>
                    <a:round/>
                  </a:ln>
                  <a:effectLst/>
                </c:spPr>
                <c:marker>
                  <c:symbol val="none"/>
                </c:marker>
                <c:val>
                  <c:numRef>
                    <c:extLst>
                      <c:ext xmlns:c15="http://schemas.microsoft.com/office/drawing/2012/chart" uri="{02D57815-91ED-43cb-92C2-25804820EDAC}">
                        <c15:formulaRef>
                          <c15:sqref>externo!$X$4:$X$34</c15:sqref>
                        </c15:formulaRef>
                      </c:ext>
                    </c:extLst>
                    <c:numCache>
                      <c:formatCode>General</c:formatCode>
                      <c:ptCount val="31"/>
                      <c:pt idx="0">
                        <c:v>561</c:v>
                      </c:pt>
                      <c:pt idx="1">
                        <c:v>519</c:v>
                      </c:pt>
                      <c:pt idx="2">
                        <c:v>623</c:v>
                      </c:pt>
                      <c:pt idx="3">
                        <c:v>635</c:v>
                      </c:pt>
                      <c:pt idx="4">
                        <c:v>651</c:v>
                      </c:pt>
                      <c:pt idx="5">
                        <c:v>665</c:v>
                      </c:pt>
                      <c:pt idx="6">
                        <c:v>663</c:v>
                      </c:pt>
                      <c:pt idx="7">
                        <c:v>581</c:v>
                      </c:pt>
                      <c:pt idx="8">
                        <c:v>375</c:v>
                      </c:pt>
                      <c:pt idx="9">
                        <c:v>0</c:v>
                      </c:pt>
                    </c:numCache>
                  </c:numRef>
                </c:val>
                <c:smooth val="0"/>
                <c:extLst xmlns:c15="http://schemas.microsoft.com/office/drawing/2012/chart">
                  <c:ext xmlns:c16="http://schemas.microsoft.com/office/drawing/2014/chart" uri="{C3380CC4-5D6E-409C-BE32-E72D297353CC}">
                    <c16:uniqueId val="{00000009-42E7-4F2E-837F-BD097074516F}"/>
                  </c:ext>
                </c:extLst>
              </c15:ser>
            </c15:filteredLineSeries>
            <c15:filteredLineSeries>
              <c15:ser>
                <c:idx val="10"/>
                <c:order val="10"/>
                <c:tx>
                  <c:strRef>
                    <c:extLst>
                      <c:ext xmlns:c15="http://schemas.microsoft.com/office/drawing/2012/chart" uri="{02D57815-91ED-43cb-92C2-25804820EDAC}">
                        <c15:formulaRef>
                          <c15:sqref>externo!$Y$3</c15:sqref>
                        </c15:formulaRef>
                      </c:ext>
                    </c:extLst>
                    <c:strCache>
                      <c:ptCount val="1"/>
                      <c:pt idx="0">
                        <c:v>Precio RE</c:v>
                      </c:pt>
                    </c:strCache>
                  </c:strRef>
                </c:tx>
                <c:spPr>
                  <a:ln w="28575" cap="rnd">
                    <a:solidFill>
                      <a:schemeClr val="accent5">
                        <a:lumMod val="60000"/>
                      </a:schemeClr>
                    </a:solidFill>
                    <a:round/>
                  </a:ln>
                  <a:effectLst/>
                </c:spPr>
                <c:marker>
                  <c:symbol val="none"/>
                </c:marker>
                <c:val>
                  <c:numRef>
                    <c:extLst>
                      <c:ext xmlns:c15="http://schemas.microsoft.com/office/drawing/2012/chart" uri="{02D57815-91ED-43cb-92C2-25804820EDAC}">
                        <c15:formulaRef>
                          <c15:sqref>externo!$Y$4:$Y$34</c15:sqref>
                        </c15:formulaRef>
                      </c:ext>
                    </c:extLst>
                    <c:numCache>
                      <c:formatCode>General</c:formatCode>
                      <c:ptCount val="31"/>
                      <c:pt idx="0">
                        <c:v>1.8262499999999999</c:v>
                      </c:pt>
                      <c:pt idx="1">
                        <c:v>1.7988235294117645</c:v>
                      </c:pt>
                      <c:pt idx="2">
                        <c:v>9.2214285714285715</c:v>
                      </c:pt>
                      <c:pt idx="3">
                        <c:v>32.4</c:v>
                      </c:pt>
                      <c:pt idx="4">
                        <c:v>72.8125</c:v>
                      </c:pt>
                      <c:pt idx="5">
                        <c:v>67.066666666666677</c:v>
                      </c:pt>
                      <c:pt idx="6">
                        <c:v>43.955714285714286</c:v>
                      </c:pt>
                      <c:pt idx="7">
                        <c:v>53.665999999999997</c:v>
                      </c:pt>
                      <c:pt idx="8">
                        <c:v>18.348181818181818</c:v>
                      </c:pt>
                      <c:pt idx="9">
                        <c:v>38.312727272727273</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A-42E7-4F2E-837F-BD097074516F}"/>
                  </c:ext>
                </c:extLst>
              </c15:ser>
            </c15:filteredLineSeries>
            <c15:filteredLineSeries>
              <c15:ser>
                <c:idx val="11"/>
                <c:order val="11"/>
                <c:tx>
                  <c:strRef>
                    <c:extLst>
                      <c:ext xmlns:c15="http://schemas.microsoft.com/office/drawing/2012/chart" uri="{02D57815-91ED-43cb-92C2-25804820EDAC}">
                        <c15:formulaRef>
                          <c15:sqref>externo!$Z$3</c15:sqref>
                        </c15:formulaRef>
                      </c:ext>
                    </c:extLst>
                    <c:strCache>
                      <c:ptCount val="1"/>
                      <c:pt idx="0">
                        <c:v>Precio medio RE</c:v>
                      </c:pt>
                    </c:strCache>
                  </c:strRef>
                </c:tx>
                <c:spPr>
                  <a:ln w="28575" cap="rnd">
                    <a:solidFill>
                      <a:schemeClr val="accent6">
                        <a:lumMod val="60000"/>
                      </a:schemeClr>
                    </a:solidFill>
                    <a:round/>
                  </a:ln>
                  <a:effectLst/>
                </c:spPr>
                <c:marker>
                  <c:symbol val="none"/>
                </c:marker>
                <c:val>
                  <c:numRef>
                    <c:extLst>
                      <c:ext xmlns:c15="http://schemas.microsoft.com/office/drawing/2012/chart" uri="{02D57815-91ED-43cb-92C2-25804820EDAC}">
                        <c15:formulaRef>
                          <c15:sqref>externo!$Z$4:$Z$34</c15:sqref>
                        </c15:formulaRef>
                      </c:ext>
                    </c:extLst>
                    <c:numCache>
                      <c:formatCode>General</c:formatCode>
                      <c:ptCount val="31"/>
                      <c:pt idx="0">
                        <c:v>33.94</c:v>
                      </c:pt>
                      <c:pt idx="1">
                        <c:v>33.94</c:v>
                      </c:pt>
                      <c:pt idx="2">
                        <c:v>33.94</c:v>
                      </c:pt>
                      <c:pt idx="3">
                        <c:v>33.94</c:v>
                      </c:pt>
                      <c:pt idx="4">
                        <c:v>33.94</c:v>
                      </c:pt>
                      <c:pt idx="5">
                        <c:v>33.94</c:v>
                      </c:pt>
                      <c:pt idx="6">
                        <c:v>33.94</c:v>
                      </c:pt>
                      <c:pt idx="7">
                        <c:v>33.94</c:v>
                      </c:pt>
                      <c:pt idx="8">
                        <c:v>33.94</c:v>
                      </c:pt>
                      <c:pt idx="9">
                        <c:v>33.94</c:v>
                      </c:pt>
                      <c:pt idx="10">
                        <c:v>33.94</c:v>
                      </c:pt>
                      <c:pt idx="11">
                        <c:v>33.94</c:v>
                      </c:pt>
                      <c:pt idx="12">
                        <c:v>33.94</c:v>
                      </c:pt>
                      <c:pt idx="13">
                        <c:v>33.94</c:v>
                      </c:pt>
                      <c:pt idx="14">
                        <c:v>33.94</c:v>
                      </c:pt>
                      <c:pt idx="15">
                        <c:v>33.94</c:v>
                      </c:pt>
                      <c:pt idx="16">
                        <c:v>33.94</c:v>
                      </c:pt>
                      <c:pt idx="17">
                        <c:v>33.94</c:v>
                      </c:pt>
                      <c:pt idx="18">
                        <c:v>33.94</c:v>
                      </c:pt>
                      <c:pt idx="19">
                        <c:v>33.94</c:v>
                      </c:pt>
                      <c:pt idx="20">
                        <c:v>33.94</c:v>
                      </c:pt>
                      <c:pt idx="21">
                        <c:v>33.94</c:v>
                      </c:pt>
                      <c:pt idx="22">
                        <c:v>33.94</c:v>
                      </c:pt>
                      <c:pt idx="23">
                        <c:v>33.94</c:v>
                      </c:pt>
                      <c:pt idx="24">
                        <c:v>33.94</c:v>
                      </c:pt>
                      <c:pt idx="25">
                        <c:v>33.94</c:v>
                      </c:pt>
                      <c:pt idx="26">
                        <c:v>33.94</c:v>
                      </c:pt>
                      <c:pt idx="27">
                        <c:v>33.94</c:v>
                      </c:pt>
                      <c:pt idx="28">
                        <c:v>33.94</c:v>
                      </c:pt>
                      <c:pt idx="29">
                        <c:v>33.94</c:v>
                      </c:pt>
                      <c:pt idx="30">
                        <c:v>33.94</c:v>
                      </c:pt>
                    </c:numCache>
                  </c:numRef>
                </c:val>
                <c:smooth val="0"/>
                <c:extLst xmlns:c15="http://schemas.microsoft.com/office/drawing/2012/chart">
                  <c:ext xmlns:c16="http://schemas.microsoft.com/office/drawing/2014/chart" uri="{C3380CC4-5D6E-409C-BE32-E72D297353CC}">
                    <c16:uniqueId val="{0000000B-42E7-4F2E-837F-BD097074516F}"/>
                  </c:ext>
                </c:extLst>
              </c15:ser>
            </c15:filteredLineSeries>
            <c15:filteredLineSeries>
              <c15:ser>
                <c:idx val="12"/>
                <c:order val="12"/>
                <c:tx>
                  <c:strRef>
                    <c:extLst>
                      <c:ext xmlns:c15="http://schemas.microsoft.com/office/drawing/2012/chart" uri="{02D57815-91ED-43cb-92C2-25804820EDAC}">
                        <c15:formulaRef>
                          <c15:sqref>externo!$AA$3</c15:sqref>
                        </c15:formulaRef>
                      </c:ext>
                    </c:extLst>
                    <c:strCache>
                      <c:ptCount val="1"/>
                      <c:pt idx="0">
                        <c:v>Precio TCC</c:v>
                      </c:pt>
                    </c:strCache>
                  </c:strRef>
                </c:tx>
                <c:spPr>
                  <a:ln w="28575" cap="rnd">
                    <a:solidFill>
                      <a:schemeClr val="accent1">
                        <a:lumMod val="80000"/>
                        <a:lumOff val="20000"/>
                      </a:schemeClr>
                    </a:solidFill>
                    <a:round/>
                  </a:ln>
                  <a:effectLst/>
                </c:spPr>
                <c:marker>
                  <c:symbol val="none"/>
                </c:marker>
                <c:val>
                  <c:numRef>
                    <c:extLst>
                      <c:ext xmlns:c15="http://schemas.microsoft.com/office/drawing/2012/chart" uri="{02D57815-91ED-43cb-92C2-25804820EDAC}">
                        <c15:formulaRef>
                          <c15:sqref>externo!$AA$4:$AA$34</c15:sqref>
                        </c15:formulaRef>
                      </c:ext>
                    </c:extLst>
                    <c:numCache>
                      <c:formatCode>General</c:formatCode>
                      <c:ptCount val="31"/>
                      <c:pt idx="0">
                        <c:v>0</c:v>
                      </c:pt>
                      <c:pt idx="1">
                        <c:v>0</c:v>
                      </c:pt>
                      <c:pt idx="2">
                        <c:v>0</c:v>
                      </c:pt>
                      <c:pt idx="3">
                        <c:v>171.15</c:v>
                      </c:pt>
                      <c:pt idx="4">
                        <c:v>122.80333333333331</c:v>
                      </c:pt>
                      <c:pt idx="5">
                        <c:v>116.05</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C-42E7-4F2E-837F-BD097074516F}"/>
                  </c:ext>
                </c:extLst>
              </c15:ser>
            </c15:filteredLineSeries>
            <c15:filteredLineSeries>
              <c15:ser>
                <c:idx val="13"/>
                <c:order val="13"/>
                <c:tx>
                  <c:strRef>
                    <c:extLst>
                      <c:ext xmlns:c15="http://schemas.microsoft.com/office/drawing/2012/chart" uri="{02D57815-91ED-43cb-92C2-25804820EDAC}">
                        <c15:formulaRef>
                          <c15:sqref>externo!$AB$3</c15:sqref>
                        </c15:formulaRef>
                      </c:ext>
                    </c:extLst>
                    <c:strCache>
                      <c:ptCount val="1"/>
                      <c:pt idx="0">
                        <c:v>Precio medio TCC</c:v>
                      </c:pt>
                    </c:strCache>
                  </c:strRef>
                </c:tx>
                <c:spPr>
                  <a:ln w="28575" cap="rnd">
                    <a:solidFill>
                      <a:schemeClr val="accent2">
                        <a:lumMod val="80000"/>
                        <a:lumOff val="20000"/>
                      </a:schemeClr>
                    </a:solidFill>
                    <a:round/>
                  </a:ln>
                  <a:effectLst/>
                </c:spPr>
                <c:marker>
                  <c:symbol val="none"/>
                </c:marker>
                <c:val>
                  <c:numRef>
                    <c:extLst>
                      <c:ext xmlns:c15="http://schemas.microsoft.com/office/drawing/2012/chart" uri="{02D57815-91ED-43cb-92C2-25804820EDAC}">
                        <c15:formulaRef>
                          <c15:sqref>externo!$AB$4:$AB$34</c15:sqref>
                        </c15:formulaRef>
                      </c:ext>
                    </c:extLst>
                    <c:numCache>
                      <c:formatCode>General</c:formatCode>
                      <c:ptCount val="31"/>
                      <c:pt idx="0">
                        <c:v>41</c:v>
                      </c:pt>
                      <c:pt idx="1">
                        <c:v>41</c:v>
                      </c:pt>
                      <c:pt idx="2">
                        <c:v>41</c:v>
                      </c:pt>
                      <c:pt idx="3">
                        <c:v>41</c:v>
                      </c:pt>
                      <c:pt idx="4">
                        <c:v>41</c:v>
                      </c:pt>
                      <c:pt idx="5">
                        <c:v>41</c:v>
                      </c:pt>
                      <c:pt idx="6">
                        <c:v>41</c:v>
                      </c:pt>
                      <c:pt idx="7">
                        <c:v>41</c:v>
                      </c:pt>
                      <c:pt idx="8">
                        <c:v>41</c:v>
                      </c:pt>
                      <c:pt idx="9">
                        <c:v>41</c:v>
                      </c:pt>
                      <c:pt idx="10">
                        <c:v>41</c:v>
                      </c:pt>
                      <c:pt idx="11">
                        <c:v>41</c:v>
                      </c:pt>
                      <c:pt idx="12">
                        <c:v>41</c:v>
                      </c:pt>
                      <c:pt idx="13">
                        <c:v>41</c:v>
                      </c:pt>
                      <c:pt idx="14">
                        <c:v>41</c:v>
                      </c:pt>
                      <c:pt idx="15">
                        <c:v>41</c:v>
                      </c:pt>
                      <c:pt idx="16">
                        <c:v>41</c:v>
                      </c:pt>
                      <c:pt idx="17">
                        <c:v>41</c:v>
                      </c:pt>
                      <c:pt idx="18">
                        <c:v>41</c:v>
                      </c:pt>
                      <c:pt idx="19">
                        <c:v>41</c:v>
                      </c:pt>
                      <c:pt idx="20">
                        <c:v>41</c:v>
                      </c:pt>
                      <c:pt idx="21">
                        <c:v>41</c:v>
                      </c:pt>
                      <c:pt idx="22">
                        <c:v>41</c:v>
                      </c:pt>
                      <c:pt idx="23">
                        <c:v>41</c:v>
                      </c:pt>
                      <c:pt idx="24">
                        <c:v>41</c:v>
                      </c:pt>
                      <c:pt idx="25">
                        <c:v>41</c:v>
                      </c:pt>
                      <c:pt idx="26">
                        <c:v>41</c:v>
                      </c:pt>
                      <c:pt idx="27">
                        <c:v>41</c:v>
                      </c:pt>
                      <c:pt idx="28">
                        <c:v>41</c:v>
                      </c:pt>
                      <c:pt idx="29">
                        <c:v>41</c:v>
                      </c:pt>
                      <c:pt idx="30">
                        <c:v>41</c:v>
                      </c:pt>
                    </c:numCache>
                  </c:numRef>
                </c:val>
                <c:smooth val="0"/>
                <c:extLst xmlns:c15="http://schemas.microsoft.com/office/drawing/2012/chart">
                  <c:ext xmlns:c16="http://schemas.microsoft.com/office/drawing/2014/chart" uri="{C3380CC4-5D6E-409C-BE32-E72D297353CC}">
                    <c16:uniqueId val="{0000000D-42E7-4F2E-837F-BD097074516F}"/>
                  </c:ext>
                </c:extLst>
              </c15:ser>
            </c15:filteredLineSeries>
            <c15:filteredLineSeries>
              <c15:ser>
                <c:idx val="14"/>
                <c:order val="14"/>
                <c:tx>
                  <c:strRef>
                    <c:extLst>
                      <c:ext xmlns:c15="http://schemas.microsoft.com/office/drawing/2012/chart" uri="{02D57815-91ED-43cb-92C2-25804820EDAC}">
                        <c15:formulaRef>
                          <c15:sqref>externo!$AC$3</c15:sqref>
                        </c15:formulaRef>
                      </c:ext>
                    </c:extLst>
                    <c:strCache>
                      <c:ptCount val="1"/>
                      <c:pt idx="0">
                        <c:v>Precio HI</c:v>
                      </c:pt>
                    </c:strCache>
                  </c:strRef>
                </c:tx>
                <c:spPr>
                  <a:ln w="28575" cap="rnd">
                    <a:solidFill>
                      <a:schemeClr val="accent3">
                        <a:lumMod val="80000"/>
                        <a:lumOff val="20000"/>
                      </a:schemeClr>
                    </a:solidFill>
                    <a:round/>
                  </a:ln>
                  <a:effectLst/>
                </c:spPr>
                <c:marker>
                  <c:symbol val="none"/>
                </c:marker>
                <c:val>
                  <c:numRef>
                    <c:extLst>
                      <c:ext xmlns:c15="http://schemas.microsoft.com/office/drawing/2012/chart" uri="{02D57815-91ED-43cb-92C2-25804820EDAC}">
                        <c15:formulaRef>
                          <c15:sqref>externo!$AC$4:$AC$34</c15:sqref>
                        </c15:formulaRef>
                      </c:ext>
                    </c:extLst>
                    <c:numCache>
                      <c:formatCode>General</c:formatCode>
                      <c:ptCount val="31"/>
                      <c:pt idx="0">
                        <c:v>2.6019999999999999</c:v>
                      </c:pt>
                      <c:pt idx="1">
                        <c:v>8.3149999999999995</c:v>
                      </c:pt>
                      <c:pt idx="2">
                        <c:v>72.811999999999998</c:v>
                      </c:pt>
                      <c:pt idx="3">
                        <c:v>107.74214285714284</c:v>
                      </c:pt>
                      <c:pt idx="4">
                        <c:v>103.10666666666668</c:v>
                      </c:pt>
                      <c:pt idx="5">
                        <c:v>101.755</c:v>
                      </c:pt>
                      <c:pt idx="6">
                        <c:v>91.826153846153844</c:v>
                      </c:pt>
                      <c:pt idx="7">
                        <c:v>75.531818181818196</c:v>
                      </c:pt>
                      <c:pt idx="8">
                        <c:v>17.494545454545456</c:v>
                      </c:pt>
                      <c:pt idx="9">
                        <c:v>75.406666666666666</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E-42E7-4F2E-837F-BD097074516F}"/>
                  </c:ext>
                </c:extLst>
              </c15:ser>
            </c15:filteredLineSeries>
            <c15:filteredLineSeries>
              <c15:ser>
                <c:idx val="15"/>
                <c:order val="15"/>
                <c:tx>
                  <c:strRef>
                    <c:extLst>
                      <c:ext xmlns:c15="http://schemas.microsoft.com/office/drawing/2012/chart" uri="{02D57815-91ED-43cb-92C2-25804820EDAC}">
                        <c15:formulaRef>
                          <c15:sqref>externo!$AD$3</c15:sqref>
                        </c15:formulaRef>
                      </c:ext>
                    </c:extLst>
                    <c:strCache>
                      <c:ptCount val="1"/>
                      <c:pt idx="0">
                        <c:v>Precio medio HI</c:v>
                      </c:pt>
                    </c:strCache>
                  </c:strRef>
                </c:tx>
                <c:spPr>
                  <a:ln w="28575" cap="rnd">
                    <a:solidFill>
                      <a:schemeClr val="accent4">
                        <a:lumMod val="80000"/>
                        <a:lumOff val="20000"/>
                      </a:schemeClr>
                    </a:solidFill>
                    <a:round/>
                  </a:ln>
                  <a:effectLst/>
                </c:spPr>
                <c:marker>
                  <c:symbol val="none"/>
                </c:marker>
                <c:val>
                  <c:numRef>
                    <c:extLst>
                      <c:ext xmlns:c15="http://schemas.microsoft.com/office/drawing/2012/chart" uri="{02D57815-91ED-43cb-92C2-25804820EDAC}">
                        <c15:formulaRef>
                          <c15:sqref>externo!$AD$4:$AD$34</c15:sqref>
                        </c15:formulaRef>
                      </c:ext>
                    </c:extLst>
                    <c:numCache>
                      <c:formatCode>General</c:formatCode>
                      <c:ptCount val="31"/>
                      <c:pt idx="0">
                        <c:v>65.659000000000006</c:v>
                      </c:pt>
                      <c:pt idx="1">
                        <c:v>65.659000000000006</c:v>
                      </c:pt>
                      <c:pt idx="2">
                        <c:v>65.659000000000006</c:v>
                      </c:pt>
                      <c:pt idx="3">
                        <c:v>65.659000000000006</c:v>
                      </c:pt>
                      <c:pt idx="4">
                        <c:v>65.659000000000006</c:v>
                      </c:pt>
                      <c:pt idx="5">
                        <c:v>65.659000000000006</c:v>
                      </c:pt>
                      <c:pt idx="6">
                        <c:v>65.659000000000006</c:v>
                      </c:pt>
                      <c:pt idx="7">
                        <c:v>65.659000000000006</c:v>
                      </c:pt>
                      <c:pt idx="8">
                        <c:v>65.659000000000006</c:v>
                      </c:pt>
                      <c:pt idx="9">
                        <c:v>65.659000000000006</c:v>
                      </c:pt>
                      <c:pt idx="10">
                        <c:v>65.659000000000006</c:v>
                      </c:pt>
                      <c:pt idx="11">
                        <c:v>65.659000000000006</c:v>
                      </c:pt>
                      <c:pt idx="12">
                        <c:v>65.659000000000006</c:v>
                      </c:pt>
                      <c:pt idx="13">
                        <c:v>65.659000000000006</c:v>
                      </c:pt>
                      <c:pt idx="14">
                        <c:v>65.659000000000006</c:v>
                      </c:pt>
                      <c:pt idx="15">
                        <c:v>65.659000000000006</c:v>
                      </c:pt>
                      <c:pt idx="16">
                        <c:v>65.659000000000006</c:v>
                      </c:pt>
                      <c:pt idx="17">
                        <c:v>65.659000000000006</c:v>
                      </c:pt>
                      <c:pt idx="18">
                        <c:v>65.659000000000006</c:v>
                      </c:pt>
                      <c:pt idx="19">
                        <c:v>65.659000000000006</c:v>
                      </c:pt>
                      <c:pt idx="20">
                        <c:v>65.659000000000006</c:v>
                      </c:pt>
                      <c:pt idx="21">
                        <c:v>65.659000000000006</c:v>
                      </c:pt>
                      <c:pt idx="22">
                        <c:v>65.659000000000006</c:v>
                      </c:pt>
                      <c:pt idx="23">
                        <c:v>65.659000000000006</c:v>
                      </c:pt>
                      <c:pt idx="24">
                        <c:v>65.659000000000006</c:v>
                      </c:pt>
                      <c:pt idx="25">
                        <c:v>65.659000000000006</c:v>
                      </c:pt>
                      <c:pt idx="26">
                        <c:v>65.659000000000006</c:v>
                      </c:pt>
                      <c:pt idx="27">
                        <c:v>65.659000000000006</c:v>
                      </c:pt>
                      <c:pt idx="28">
                        <c:v>65.659000000000006</c:v>
                      </c:pt>
                      <c:pt idx="29">
                        <c:v>65.659000000000006</c:v>
                      </c:pt>
                      <c:pt idx="30">
                        <c:v>65.659000000000006</c:v>
                      </c:pt>
                    </c:numCache>
                  </c:numRef>
                </c:val>
                <c:smooth val="0"/>
                <c:extLst xmlns:c15="http://schemas.microsoft.com/office/drawing/2012/chart">
                  <c:ext xmlns:c16="http://schemas.microsoft.com/office/drawing/2014/chart" uri="{C3380CC4-5D6E-409C-BE32-E72D297353CC}">
                    <c16:uniqueId val="{0000000F-42E7-4F2E-837F-BD097074516F}"/>
                  </c:ext>
                </c:extLst>
              </c15:ser>
            </c15:filteredLineSeries>
            <c15:filteredLineSeries>
              <c15:ser>
                <c:idx val="16"/>
                <c:order val="16"/>
                <c:tx>
                  <c:strRef>
                    <c:extLst>
                      <c:ext xmlns:c15="http://schemas.microsoft.com/office/drawing/2012/chart" uri="{02D57815-91ED-43cb-92C2-25804820EDAC}">
                        <c15:formulaRef>
                          <c15:sqref>externo!$AE$3</c15:sqref>
                        </c15:formulaRef>
                      </c:ext>
                    </c:extLst>
                    <c:strCache>
                      <c:ptCount val="1"/>
                      <c:pt idx="0">
                        <c:v>demanda grafico</c:v>
                      </c:pt>
                    </c:strCache>
                  </c:strRef>
                </c:tx>
                <c:spPr>
                  <a:ln w="28575" cap="rnd">
                    <a:solidFill>
                      <a:schemeClr val="accent5">
                        <a:lumMod val="80000"/>
                        <a:lumOff val="20000"/>
                      </a:schemeClr>
                    </a:solidFill>
                    <a:round/>
                  </a:ln>
                  <a:effectLst/>
                </c:spPr>
                <c:marker>
                  <c:symbol val="none"/>
                </c:marker>
                <c:val>
                  <c:numRef>
                    <c:extLst>
                      <c:ext xmlns:c15="http://schemas.microsoft.com/office/drawing/2012/chart" uri="{02D57815-91ED-43cb-92C2-25804820EDAC}">
                        <c15:formulaRef>
                          <c15:sqref>externo!$AE$4:$AE$34</c15:sqref>
                        </c15:formulaRef>
                      </c:ext>
                    </c:extLst>
                    <c:numCache>
                      <c:formatCode>General</c:formatCode>
                      <c:ptCount val="31"/>
                      <c:pt idx="0">
                        <c:v>561</c:v>
                      </c:pt>
                      <c:pt idx="1">
                        <c:v>519</c:v>
                      </c:pt>
                      <c:pt idx="2">
                        <c:v>623</c:v>
                      </c:pt>
                      <c:pt idx="3">
                        <c:v>635</c:v>
                      </c:pt>
                      <c:pt idx="4">
                        <c:v>651</c:v>
                      </c:pt>
                      <c:pt idx="5">
                        <c:v>665</c:v>
                      </c:pt>
                      <c:pt idx="6">
                        <c:v>663</c:v>
                      </c:pt>
                      <c:pt idx="7">
                        <c:v>581</c:v>
                      </c:pt>
                      <c:pt idx="8">
                        <c:v>375</c:v>
                      </c:pt>
                      <c:pt idx="9">
                        <c:v>0</c:v>
                      </c:pt>
                      <c:pt idx="10">
                        <c:v>527.29999999999995</c:v>
                      </c:pt>
                      <c:pt idx="11">
                        <c:v>527.29999999999995</c:v>
                      </c:pt>
                      <c:pt idx="12">
                        <c:v>527.29999999999995</c:v>
                      </c:pt>
                      <c:pt idx="13">
                        <c:v>527.29999999999995</c:v>
                      </c:pt>
                      <c:pt idx="14">
                        <c:v>527.29999999999995</c:v>
                      </c:pt>
                      <c:pt idx="15">
                        <c:v>527.29999999999995</c:v>
                      </c:pt>
                      <c:pt idx="16">
                        <c:v>527.29999999999995</c:v>
                      </c:pt>
                      <c:pt idx="17">
                        <c:v>527.29999999999995</c:v>
                      </c:pt>
                      <c:pt idx="18">
                        <c:v>527.29999999999995</c:v>
                      </c:pt>
                      <c:pt idx="19">
                        <c:v>527.29999999999995</c:v>
                      </c:pt>
                      <c:pt idx="20">
                        <c:v>527.29999999999995</c:v>
                      </c:pt>
                      <c:pt idx="21">
                        <c:v>527.29999999999995</c:v>
                      </c:pt>
                      <c:pt idx="22">
                        <c:v>527.29999999999995</c:v>
                      </c:pt>
                      <c:pt idx="23">
                        <c:v>527.29999999999995</c:v>
                      </c:pt>
                      <c:pt idx="24">
                        <c:v>527.29999999999995</c:v>
                      </c:pt>
                      <c:pt idx="25">
                        <c:v>527.29999999999995</c:v>
                      </c:pt>
                      <c:pt idx="26">
                        <c:v>527.29999999999995</c:v>
                      </c:pt>
                      <c:pt idx="27">
                        <c:v>527.29999999999995</c:v>
                      </c:pt>
                      <c:pt idx="28">
                        <c:v>527.29999999999995</c:v>
                      </c:pt>
                      <c:pt idx="29">
                        <c:v>527.29999999999995</c:v>
                      </c:pt>
                      <c:pt idx="30">
                        <c:v>527.29999999999995</c:v>
                      </c:pt>
                    </c:numCache>
                  </c:numRef>
                </c:val>
                <c:smooth val="0"/>
                <c:extLst xmlns:c15="http://schemas.microsoft.com/office/drawing/2012/chart">
                  <c:ext xmlns:c16="http://schemas.microsoft.com/office/drawing/2014/chart" uri="{C3380CC4-5D6E-409C-BE32-E72D297353CC}">
                    <c16:uniqueId val="{00000010-42E7-4F2E-837F-BD097074516F}"/>
                  </c:ext>
                </c:extLst>
              </c15:ser>
            </c15:filteredLineSeries>
          </c:ext>
        </c:extLst>
      </c:lineChart>
      <c:catAx>
        <c:axId val="796336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306093343"/>
        <c:crosses val="autoZero"/>
        <c:auto val="1"/>
        <c:lblAlgn val="ctr"/>
        <c:lblOffset val="100"/>
        <c:noMultiLvlLbl val="0"/>
      </c:catAx>
      <c:valAx>
        <c:axId val="30609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796336896"/>
        <c:crosses val="autoZero"/>
        <c:crossBetween val="between"/>
      </c:valAx>
      <c:valAx>
        <c:axId val="306049199"/>
        <c:scaling>
          <c:orientation val="minMax"/>
          <c:max val="2"/>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400" b="0" i="0" u="none" strike="noStrike" kern="1200" baseline="0">
                <a:solidFill>
                  <a:schemeClr val="bg1"/>
                </a:solidFill>
                <a:latin typeface="Arial Narrow" panose="020B0606020202030204" pitchFamily="34" charset="0"/>
                <a:ea typeface="+mn-ea"/>
                <a:cs typeface="+mn-cs"/>
              </a:defRPr>
            </a:pPr>
            <a:endParaRPr lang="es-ES"/>
          </a:p>
        </c:txPr>
        <c:crossAx val="327395439"/>
        <c:crosses val="max"/>
        <c:crossBetween val="between"/>
      </c:valAx>
      <c:catAx>
        <c:axId val="327395439"/>
        <c:scaling>
          <c:orientation val="minMax"/>
        </c:scaling>
        <c:delete val="1"/>
        <c:axPos val="b"/>
        <c:majorTickMark val="out"/>
        <c:minorTickMark val="none"/>
        <c:tickLblPos val="nextTo"/>
        <c:crossAx val="30604919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userShapes r:id="rId3"/>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2062164987398E-2"/>
          <c:y val="0"/>
          <c:w val="0.90863576366323995"/>
          <c:h val="1"/>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0666-45C2-9337-F879581F8270}"/>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0666-45C2-9337-F879581F8270}"/>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0666-45C2-9337-F879581F8270}"/>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0666-45C2-9337-F879581F8270}"/>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0666-45C2-9337-F879581F8270}"/>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0666-45C2-9337-F879581F8270}"/>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0666-45C2-9337-F879581F8270}"/>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0666-45C2-9337-F879581F8270}"/>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0666-45C2-9337-F879581F8270}"/>
              </c:ext>
            </c:extLst>
          </c:dPt>
          <c:dPt>
            <c:idx val="9"/>
            <c:bubble3D val="0"/>
            <c:spPr>
              <a:noFill/>
              <a:ln w="19050">
                <a:noFill/>
              </a:ln>
              <a:effectLst/>
            </c:spPr>
            <c:extLst>
              <c:ext xmlns:c16="http://schemas.microsoft.com/office/drawing/2014/chart" uri="{C3380CC4-5D6E-409C-BE32-E72D297353CC}">
                <c16:uniqueId val="{00000013-0666-45C2-9337-F879581F8270}"/>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0666-45C2-9337-F879581F8270}"/>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0666-45C2-9337-F879581F8270}"/>
              </c:ext>
            </c:extLst>
          </c:dPt>
          <c:xVal>
            <c:numRef>
              <c:f>[1]omie_dinamic_dia!$X$11:$X$12</c:f>
              <c:numCache>
                <c:formatCode>General</c:formatCode>
                <c:ptCount val="2"/>
                <c:pt idx="0">
                  <c:v>0</c:v>
                </c:pt>
                <c:pt idx="1">
                  <c:v>0.762442511011448</c:v>
                </c:pt>
              </c:numCache>
            </c:numRef>
          </c:xVal>
          <c:yVal>
            <c:numRef>
              <c:f>[1]omie_dinamic_dia!$Y$11:$Y$12</c:f>
              <c:numCache>
                <c:formatCode>General</c:formatCode>
                <c:ptCount val="2"/>
                <c:pt idx="0">
                  <c:v>0</c:v>
                </c:pt>
                <c:pt idx="1">
                  <c:v>0.64705596156944423</c:v>
                </c:pt>
              </c:numCache>
            </c:numRef>
          </c:yVal>
          <c:smooth val="1"/>
          <c:extLst>
            <c:ext xmlns:c16="http://schemas.microsoft.com/office/drawing/2014/chart" uri="{C3380CC4-5D6E-409C-BE32-E72D297353CC}">
              <c16:uniqueId val="{00000017-0666-45C2-9337-F879581F8270}"/>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7851924982527E-2"/>
          <c:y val="6.8872807634068611E-2"/>
          <c:w val="0.8881918832655995"/>
          <c:h val="0.69281770511755181"/>
        </c:manualLayout>
      </c:layout>
      <c:doughnutChart>
        <c:varyColors val="1"/>
        <c:ser>
          <c:idx val="1"/>
          <c:order val="0"/>
          <c:tx>
            <c:v>a</c:v>
          </c:tx>
          <c:spPr>
            <a:solidFill>
              <a:schemeClr val="accent1">
                <a:lumMod val="50000"/>
              </a:schemeClr>
            </a:solidFill>
          </c:spPr>
          <c:explosion val="5"/>
          <c:dPt>
            <c:idx val="0"/>
            <c:bubble3D val="0"/>
            <c:spPr>
              <a:solidFill>
                <a:schemeClr val="accent2">
                  <a:lumMod val="20000"/>
                  <a:lumOff val="80000"/>
                </a:schemeClr>
              </a:solidFill>
            </c:spPr>
            <c:extLst>
              <c:ext xmlns:c16="http://schemas.microsoft.com/office/drawing/2014/chart" uri="{C3380CC4-5D6E-409C-BE32-E72D297353CC}">
                <c16:uniqueId val="{00000001-F223-452F-9D04-775D80A5926D}"/>
              </c:ext>
            </c:extLst>
          </c:dPt>
          <c:dPt>
            <c:idx val="1"/>
            <c:bubble3D val="0"/>
            <c:spPr>
              <a:solidFill>
                <a:schemeClr val="accent2">
                  <a:lumMod val="20000"/>
                  <a:lumOff val="80000"/>
                </a:schemeClr>
              </a:solidFill>
            </c:spPr>
            <c:extLst>
              <c:ext xmlns:c16="http://schemas.microsoft.com/office/drawing/2014/chart" uri="{C3380CC4-5D6E-409C-BE32-E72D297353CC}">
                <c16:uniqueId val="{00000003-F223-452F-9D04-775D80A5926D}"/>
              </c:ext>
            </c:extLst>
          </c:dPt>
          <c:dPt>
            <c:idx val="2"/>
            <c:bubble3D val="0"/>
            <c:spPr>
              <a:solidFill>
                <a:schemeClr val="accent2">
                  <a:lumMod val="40000"/>
                  <a:lumOff val="60000"/>
                </a:schemeClr>
              </a:solidFill>
            </c:spPr>
            <c:extLst>
              <c:ext xmlns:c16="http://schemas.microsoft.com/office/drawing/2014/chart" uri="{C3380CC4-5D6E-409C-BE32-E72D297353CC}">
                <c16:uniqueId val="{00000005-F223-452F-9D04-775D80A5926D}"/>
              </c:ext>
            </c:extLst>
          </c:dPt>
          <c:dPt>
            <c:idx val="3"/>
            <c:bubble3D val="0"/>
            <c:spPr>
              <a:solidFill>
                <a:schemeClr val="accent2">
                  <a:lumMod val="40000"/>
                  <a:lumOff val="60000"/>
                </a:schemeClr>
              </a:solidFill>
            </c:spPr>
            <c:extLst>
              <c:ext xmlns:c16="http://schemas.microsoft.com/office/drawing/2014/chart" uri="{C3380CC4-5D6E-409C-BE32-E72D297353CC}">
                <c16:uniqueId val="{00000007-F223-452F-9D04-775D80A5926D}"/>
              </c:ext>
            </c:extLst>
          </c:dPt>
          <c:dPt>
            <c:idx val="4"/>
            <c:bubble3D val="0"/>
            <c:spPr>
              <a:solidFill>
                <a:schemeClr val="accent2">
                  <a:lumMod val="60000"/>
                  <a:lumOff val="40000"/>
                </a:schemeClr>
              </a:solidFill>
            </c:spPr>
            <c:extLst>
              <c:ext xmlns:c16="http://schemas.microsoft.com/office/drawing/2014/chart" uri="{C3380CC4-5D6E-409C-BE32-E72D297353CC}">
                <c16:uniqueId val="{00000009-F223-452F-9D04-775D80A5926D}"/>
              </c:ext>
            </c:extLst>
          </c:dPt>
          <c:dPt>
            <c:idx val="5"/>
            <c:bubble3D val="0"/>
            <c:spPr>
              <a:solidFill>
                <a:schemeClr val="accent2">
                  <a:lumMod val="60000"/>
                  <a:lumOff val="40000"/>
                </a:schemeClr>
              </a:solidFill>
            </c:spPr>
            <c:extLst>
              <c:ext xmlns:c16="http://schemas.microsoft.com/office/drawing/2014/chart" uri="{C3380CC4-5D6E-409C-BE32-E72D297353CC}">
                <c16:uniqueId val="{0000000B-F223-452F-9D04-775D80A5926D}"/>
              </c:ext>
            </c:extLst>
          </c:dPt>
          <c:dPt>
            <c:idx val="6"/>
            <c:bubble3D val="0"/>
            <c:spPr>
              <a:solidFill>
                <a:schemeClr val="accent2">
                  <a:lumMod val="75000"/>
                </a:schemeClr>
              </a:solidFill>
            </c:spPr>
            <c:extLst>
              <c:ext xmlns:c16="http://schemas.microsoft.com/office/drawing/2014/chart" uri="{C3380CC4-5D6E-409C-BE32-E72D297353CC}">
                <c16:uniqueId val="{0000000D-F223-452F-9D04-775D80A5926D}"/>
              </c:ext>
            </c:extLst>
          </c:dPt>
          <c:dPt>
            <c:idx val="7"/>
            <c:bubble3D val="0"/>
            <c:spPr>
              <a:solidFill>
                <a:schemeClr val="accent2">
                  <a:lumMod val="75000"/>
                </a:schemeClr>
              </a:solidFill>
            </c:spPr>
            <c:extLst>
              <c:ext xmlns:c16="http://schemas.microsoft.com/office/drawing/2014/chart" uri="{C3380CC4-5D6E-409C-BE32-E72D297353CC}">
                <c16:uniqueId val="{0000000F-F223-452F-9D04-775D80A5926D}"/>
              </c:ext>
            </c:extLst>
          </c:dPt>
          <c:dPt>
            <c:idx val="8"/>
            <c:bubble3D val="0"/>
            <c:spPr>
              <a:solidFill>
                <a:schemeClr val="accent2">
                  <a:lumMod val="50000"/>
                </a:schemeClr>
              </a:solidFill>
            </c:spPr>
            <c:extLst>
              <c:ext xmlns:c16="http://schemas.microsoft.com/office/drawing/2014/chart" uri="{C3380CC4-5D6E-409C-BE32-E72D297353CC}">
                <c16:uniqueId val="{00000011-F223-452F-9D04-775D80A5926D}"/>
              </c:ext>
            </c:extLst>
          </c:dPt>
          <c:dPt>
            <c:idx val="9"/>
            <c:bubble3D val="0"/>
            <c:spPr>
              <a:noFill/>
            </c:spPr>
            <c:extLst>
              <c:ext xmlns:c16="http://schemas.microsoft.com/office/drawing/2014/chart" uri="{C3380CC4-5D6E-409C-BE32-E72D297353CC}">
                <c16:uniqueId val="{00000013-F223-452F-9D04-775D80A5926D}"/>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F223-452F-9D04-775D80A5926D}"/>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[1]omie_dinamic_dia!$AB$20:$AB$21</c:f>
              <c:numCache>
                <c:formatCode>General</c:formatCode>
                <c:ptCount val="2"/>
                <c:pt idx="0">
                  <c:v>0</c:v>
                </c:pt>
                <c:pt idx="1">
                  <c:v>-0.98768834059513777</c:v>
                </c:pt>
              </c:numCache>
            </c:numRef>
          </c:xVal>
          <c:yVal>
            <c:numRef>
              <c:f>[1]omie_dinamic_dia!$AC$20:$AC$21</c:f>
              <c:numCache>
                <c:formatCode>General</c:formatCode>
                <c:ptCount val="2"/>
                <c:pt idx="0">
                  <c:v>0</c:v>
                </c:pt>
                <c:pt idx="1">
                  <c:v>0.15643446504023087</c:v>
                </c:pt>
              </c:numCache>
            </c:numRef>
          </c:yVal>
          <c:smooth val="1"/>
          <c:extLst>
            <c:ext xmlns:c16="http://schemas.microsoft.com/office/drawing/2014/chart" uri="{C3380CC4-5D6E-409C-BE32-E72D297353CC}">
              <c16:uniqueId val="{00000015-F223-452F-9D04-775D80A5926D}"/>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962320497611979E-2"/>
          <c:y val="3.5181020279236579E-2"/>
          <c:w val="0.96337578488856979"/>
          <c:h val="0.8411346311549518"/>
        </c:manualLayout>
      </c:layout>
      <c:doughnutChart>
        <c:varyColors val="1"/>
        <c:ser>
          <c:idx val="1"/>
          <c:order val="0"/>
          <c:tx>
            <c:v>a</c:v>
          </c:tx>
          <c:explosion val="5"/>
          <c:dPt>
            <c:idx val="0"/>
            <c:bubble3D val="0"/>
            <c:spPr>
              <a:solidFill>
                <a:schemeClr val="accent1">
                  <a:lumMod val="20000"/>
                  <a:lumOff val="80000"/>
                </a:schemeClr>
              </a:solidFill>
            </c:spPr>
            <c:extLst>
              <c:ext xmlns:c16="http://schemas.microsoft.com/office/drawing/2014/chart" uri="{C3380CC4-5D6E-409C-BE32-E72D297353CC}">
                <c16:uniqueId val="{00000001-A6F2-40C2-B9A9-03EF6E2C9003}"/>
              </c:ext>
            </c:extLst>
          </c:dPt>
          <c:dPt>
            <c:idx val="1"/>
            <c:bubble3D val="0"/>
            <c:spPr>
              <a:solidFill>
                <a:schemeClr val="accent1">
                  <a:lumMod val="20000"/>
                  <a:lumOff val="80000"/>
                </a:schemeClr>
              </a:solidFill>
            </c:spPr>
            <c:extLst>
              <c:ext xmlns:c16="http://schemas.microsoft.com/office/drawing/2014/chart" uri="{C3380CC4-5D6E-409C-BE32-E72D297353CC}">
                <c16:uniqueId val="{00000003-A6F2-40C2-B9A9-03EF6E2C9003}"/>
              </c:ext>
            </c:extLst>
          </c:dPt>
          <c:dPt>
            <c:idx val="2"/>
            <c:bubble3D val="0"/>
            <c:spPr>
              <a:solidFill>
                <a:schemeClr val="accent1">
                  <a:lumMod val="40000"/>
                  <a:lumOff val="60000"/>
                </a:schemeClr>
              </a:solidFill>
            </c:spPr>
            <c:extLst>
              <c:ext xmlns:c16="http://schemas.microsoft.com/office/drawing/2014/chart" uri="{C3380CC4-5D6E-409C-BE32-E72D297353CC}">
                <c16:uniqueId val="{00000005-A6F2-40C2-B9A9-03EF6E2C9003}"/>
              </c:ext>
            </c:extLst>
          </c:dPt>
          <c:dPt>
            <c:idx val="3"/>
            <c:bubble3D val="0"/>
            <c:spPr>
              <a:solidFill>
                <a:schemeClr val="accent1">
                  <a:lumMod val="40000"/>
                  <a:lumOff val="60000"/>
                </a:schemeClr>
              </a:solidFill>
            </c:spPr>
            <c:extLst>
              <c:ext xmlns:c16="http://schemas.microsoft.com/office/drawing/2014/chart" uri="{C3380CC4-5D6E-409C-BE32-E72D297353CC}">
                <c16:uniqueId val="{00000007-A6F2-40C2-B9A9-03EF6E2C9003}"/>
              </c:ext>
            </c:extLst>
          </c:dPt>
          <c:dPt>
            <c:idx val="4"/>
            <c:bubble3D val="0"/>
            <c:spPr>
              <a:solidFill>
                <a:schemeClr val="accent1">
                  <a:lumMod val="60000"/>
                  <a:lumOff val="40000"/>
                </a:schemeClr>
              </a:solidFill>
            </c:spPr>
            <c:extLst>
              <c:ext xmlns:c16="http://schemas.microsoft.com/office/drawing/2014/chart" uri="{C3380CC4-5D6E-409C-BE32-E72D297353CC}">
                <c16:uniqueId val="{00000009-A6F2-40C2-B9A9-03EF6E2C9003}"/>
              </c:ext>
            </c:extLst>
          </c:dPt>
          <c:dPt>
            <c:idx val="5"/>
            <c:bubble3D val="0"/>
            <c:spPr>
              <a:solidFill>
                <a:schemeClr val="accent1">
                  <a:lumMod val="60000"/>
                  <a:lumOff val="40000"/>
                </a:schemeClr>
              </a:solidFill>
            </c:spPr>
            <c:extLst>
              <c:ext xmlns:c16="http://schemas.microsoft.com/office/drawing/2014/chart" uri="{C3380CC4-5D6E-409C-BE32-E72D297353CC}">
                <c16:uniqueId val="{0000000B-A6F2-40C2-B9A9-03EF6E2C9003}"/>
              </c:ext>
            </c:extLst>
          </c:dPt>
          <c:dPt>
            <c:idx val="6"/>
            <c:bubble3D val="0"/>
            <c:spPr>
              <a:solidFill>
                <a:schemeClr val="accent1">
                  <a:lumMod val="75000"/>
                </a:schemeClr>
              </a:solidFill>
            </c:spPr>
            <c:extLst>
              <c:ext xmlns:c16="http://schemas.microsoft.com/office/drawing/2014/chart" uri="{C3380CC4-5D6E-409C-BE32-E72D297353CC}">
                <c16:uniqueId val="{0000000D-A6F2-40C2-B9A9-03EF6E2C9003}"/>
              </c:ext>
            </c:extLst>
          </c:dPt>
          <c:dPt>
            <c:idx val="7"/>
            <c:bubble3D val="0"/>
            <c:spPr>
              <a:solidFill>
                <a:schemeClr val="accent1">
                  <a:lumMod val="75000"/>
                </a:schemeClr>
              </a:solidFill>
            </c:spPr>
            <c:extLst>
              <c:ext xmlns:c16="http://schemas.microsoft.com/office/drawing/2014/chart" uri="{C3380CC4-5D6E-409C-BE32-E72D297353CC}">
                <c16:uniqueId val="{0000000F-A6F2-40C2-B9A9-03EF6E2C9003}"/>
              </c:ext>
            </c:extLst>
          </c:dPt>
          <c:dPt>
            <c:idx val="8"/>
            <c:bubble3D val="0"/>
            <c:spPr>
              <a:solidFill>
                <a:schemeClr val="accent1">
                  <a:lumMod val="50000"/>
                </a:schemeClr>
              </a:solidFill>
            </c:spPr>
            <c:extLst>
              <c:ext xmlns:c16="http://schemas.microsoft.com/office/drawing/2014/chart" uri="{C3380CC4-5D6E-409C-BE32-E72D297353CC}">
                <c16:uniqueId val="{00000011-A6F2-40C2-B9A9-03EF6E2C9003}"/>
              </c:ext>
            </c:extLst>
          </c:dPt>
          <c:dPt>
            <c:idx val="9"/>
            <c:bubble3D val="0"/>
            <c:spPr>
              <a:noFill/>
            </c:spPr>
            <c:extLst>
              <c:ext xmlns:c16="http://schemas.microsoft.com/office/drawing/2014/chart" uri="{C3380CC4-5D6E-409C-BE32-E72D297353CC}">
                <c16:uniqueId val="{00000013-A6F2-40C2-B9A9-03EF6E2C9003}"/>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A6F2-40C2-B9A9-03EF6E2C9003}"/>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[1]omie_dinamic_dia!$X$37:$X$38</c:f>
              <c:numCache>
                <c:formatCode>General</c:formatCode>
                <c:ptCount val="2"/>
                <c:pt idx="0">
                  <c:v>0</c:v>
                </c:pt>
                <c:pt idx="1">
                  <c:v>0.70710678118654746</c:v>
                </c:pt>
              </c:numCache>
            </c:numRef>
          </c:xVal>
          <c:yVal>
            <c:numRef>
              <c:f>[1]omie_dinamic_dia!$Y$37:$Y$38</c:f>
              <c:numCache>
                <c:formatCode>General</c:formatCode>
                <c:ptCount val="2"/>
                <c:pt idx="0">
                  <c:v>0</c:v>
                </c:pt>
                <c:pt idx="1">
                  <c:v>0.70710678118654757</c:v>
                </c:pt>
              </c:numCache>
            </c:numRef>
          </c:yVal>
          <c:smooth val="1"/>
          <c:extLst>
            <c:ext xmlns:c16="http://schemas.microsoft.com/office/drawing/2014/chart" uri="{C3380CC4-5D6E-409C-BE32-E72D297353CC}">
              <c16:uniqueId val="{00000015-A6F2-40C2-B9A9-03EF6E2C9003}"/>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ndard"/>
        <c:varyColors val="0"/>
        <c:ser>
          <c:idx val="0"/>
          <c:order val="0"/>
          <c:tx>
            <c:v>demanda</c:v>
          </c:tx>
          <c:spPr>
            <a:solidFill>
              <a:schemeClr val="accent1">
                <a:lumMod val="20000"/>
                <a:lumOff val="80000"/>
              </a:schemeClr>
            </a:solidFill>
            <a:ln>
              <a:noFill/>
            </a:ln>
            <a:effectLst/>
          </c:spPr>
          <c:cat>
            <c:numRef>
              <c:f>externo!$O$4:$O$34</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externo!$X$4:$X$34</c:f>
              <c:numCache>
                <c:formatCode>General</c:formatCode>
                <c:ptCount val="31"/>
                <c:pt idx="0">
                  <c:v>561</c:v>
                </c:pt>
                <c:pt idx="1">
                  <c:v>519</c:v>
                </c:pt>
                <c:pt idx="2">
                  <c:v>623</c:v>
                </c:pt>
                <c:pt idx="3">
                  <c:v>635</c:v>
                </c:pt>
                <c:pt idx="4">
                  <c:v>651</c:v>
                </c:pt>
                <c:pt idx="5">
                  <c:v>665</c:v>
                </c:pt>
                <c:pt idx="6">
                  <c:v>663</c:v>
                </c:pt>
                <c:pt idx="7">
                  <c:v>581</c:v>
                </c:pt>
                <c:pt idx="8">
                  <c:v>375</c:v>
                </c:pt>
                <c:pt idx="9">
                  <c:v>0</c:v>
                </c:pt>
              </c:numCache>
            </c:numRef>
          </c:val>
          <c:extLst>
            <c:ext xmlns:c16="http://schemas.microsoft.com/office/drawing/2014/chart" uri="{C3380CC4-5D6E-409C-BE32-E72D297353CC}">
              <c16:uniqueId val="{00000001-6C71-4906-A6B0-C356FB62D508}"/>
            </c:ext>
          </c:extLst>
        </c:ser>
        <c:dLbls>
          <c:showLegendKey val="0"/>
          <c:showVal val="0"/>
          <c:showCatName val="0"/>
          <c:showSerName val="0"/>
          <c:showPercent val="0"/>
          <c:showBubbleSize val="0"/>
        </c:dLbls>
        <c:axId val="2080834575"/>
        <c:axId val="2080836015"/>
      </c:areaChart>
      <c:catAx>
        <c:axId val="2080834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2080836015"/>
        <c:crosses val="autoZero"/>
        <c:auto val="1"/>
        <c:lblAlgn val="ctr"/>
        <c:lblOffset val="100"/>
        <c:noMultiLvlLbl val="0"/>
      </c:catAx>
      <c:valAx>
        <c:axId val="20808360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208083457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34.5</c:v>
                </c:pt>
                <c:pt idx="1">
                  <c:v>33.850000000000016</c:v>
                </c:pt>
                <c:pt idx="2">
                  <c:v>34.850000000000016</c:v>
                </c:pt>
                <c:pt idx="3">
                  <c:v>36.47000000000002</c:v>
                </c:pt>
                <c:pt idx="4">
                  <c:v>34.79999999999999</c:v>
                </c:pt>
                <c:pt idx="5">
                  <c:v>34.039999999999992</c:v>
                </c:pt>
                <c:pt idx="6">
                  <c:v>33.960000000000008</c:v>
                </c:pt>
                <c:pt idx="7">
                  <c:v>33.399999999999984</c:v>
                </c:pt>
                <c:pt idx="8">
                  <c:v>33.77999999999998</c:v>
                </c:pt>
                <c:pt idx="9">
                  <c:v>33.860000000000007</c:v>
                </c:pt>
              </c:numCache>
            </c:numRef>
          </c:val>
          <c:smooth val="0"/>
          <c:extLst>
            <c:ext xmlns:c16="http://schemas.microsoft.com/office/drawing/2014/chart" uri="{C3380CC4-5D6E-409C-BE32-E72D297353CC}">
              <c16:uniqueId val="{00000000-1BBD-4E04-9863-D5B91EBD8982}"/>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34.35</c:v>
                </c:pt>
                <c:pt idx="1">
                  <c:v>34.35</c:v>
                </c:pt>
                <c:pt idx="2">
                  <c:v>34.35</c:v>
                </c:pt>
                <c:pt idx="3">
                  <c:v>34.35</c:v>
                </c:pt>
                <c:pt idx="4">
                  <c:v>34.35</c:v>
                </c:pt>
                <c:pt idx="5">
                  <c:v>34.35</c:v>
                </c:pt>
                <c:pt idx="6">
                  <c:v>34.35</c:v>
                </c:pt>
                <c:pt idx="7">
                  <c:v>34.35</c:v>
                </c:pt>
                <c:pt idx="8">
                  <c:v>34.35</c:v>
                </c:pt>
                <c:pt idx="9">
                  <c:v>34.35</c:v>
                </c:pt>
                <c:pt idx="10">
                  <c:v>34.35</c:v>
                </c:pt>
                <c:pt idx="11">
                  <c:v>34.35</c:v>
                </c:pt>
                <c:pt idx="12">
                  <c:v>34.35</c:v>
                </c:pt>
                <c:pt idx="13">
                  <c:v>34.35</c:v>
                </c:pt>
                <c:pt idx="14">
                  <c:v>34.35</c:v>
                </c:pt>
                <c:pt idx="15">
                  <c:v>34.35</c:v>
                </c:pt>
                <c:pt idx="16">
                  <c:v>34.35</c:v>
                </c:pt>
                <c:pt idx="17">
                  <c:v>34.35</c:v>
                </c:pt>
                <c:pt idx="18">
                  <c:v>34.35</c:v>
                </c:pt>
                <c:pt idx="19">
                  <c:v>34.35</c:v>
                </c:pt>
                <c:pt idx="20">
                  <c:v>34.35</c:v>
                </c:pt>
                <c:pt idx="21">
                  <c:v>34.35</c:v>
                </c:pt>
                <c:pt idx="22">
                  <c:v>34.35</c:v>
                </c:pt>
                <c:pt idx="23">
                  <c:v>34.35</c:v>
                </c:pt>
                <c:pt idx="24">
                  <c:v>34.35</c:v>
                </c:pt>
                <c:pt idx="25">
                  <c:v>34.35</c:v>
                </c:pt>
                <c:pt idx="26">
                  <c:v>34.35</c:v>
                </c:pt>
                <c:pt idx="27">
                  <c:v>34.35</c:v>
                </c:pt>
                <c:pt idx="28">
                  <c:v>34.35</c:v>
                </c:pt>
                <c:pt idx="29">
                  <c:v>34.35</c:v>
                </c:pt>
              </c:numCache>
            </c:numRef>
          </c:val>
          <c:smooth val="0"/>
          <c:extLst>
            <c:ext xmlns:c16="http://schemas.microsoft.com/office/drawing/2014/chart" uri="{C3380CC4-5D6E-409C-BE32-E72D297353CC}">
              <c16:uniqueId val="{00000001-1BBD-4E04-9863-D5B91EBD8982}"/>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1BBD-4E04-9863-D5B91EBD8982}"/>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1.9475517464052912E-2"/>
          <c:y val="8.128324638235003E-2"/>
          <c:w val="0.93198015508685794"/>
          <c:h val="0.1622855624646281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014720349947366E-2"/>
          <c:y val="6.8055977613780405E-2"/>
          <c:w val="0.9104172631515498"/>
          <c:h val="0.81720258216688169"/>
        </c:manualLayout>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63.39</c:v>
                </c:pt>
                <c:pt idx="1">
                  <c:v>60.61</c:v>
                </c:pt>
                <c:pt idx="2">
                  <c:v>58.94</c:v>
                </c:pt>
                <c:pt idx="3">
                  <c:v>57.06</c:v>
                </c:pt>
                <c:pt idx="4">
                  <c:v>57.77</c:v>
                </c:pt>
                <c:pt idx="5">
                  <c:v>59.8</c:v>
                </c:pt>
                <c:pt idx="6">
                  <c:v>69.209999999999994</c:v>
                </c:pt>
                <c:pt idx="7">
                  <c:v>73.760000000000005</c:v>
                </c:pt>
                <c:pt idx="8">
                  <c:v>64.87</c:v>
                </c:pt>
                <c:pt idx="9">
                  <c:v>55.95</c:v>
                </c:pt>
                <c:pt idx="10">
                  <c:v>44.11</c:v>
                </c:pt>
                <c:pt idx="11">
                  <c:v>29.82</c:v>
                </c:pt>
                <c:pt idx="12">
                  <c:v>26.9</c:v>
                </c:pt>
                <c:pt idx="13">
                  <c:v>25.7</c:v>
                </c:pt>
                <c:pt idx="14">
                  <c:v>22.4</c:v>
                </c:pt>
                <c:pt idx="15">
                  <c:v>21.15</c:v>
                </c:pt>
                <c:pt idx="16">
                  <c:v>21.81</c:v>
                </c:pt>
                <c:pt idx="17">
                  <c:v>27.27</c:v>
                </c:pt>
                <c:pt idx="18">
                  <c:v>39.770000000000003</c:v>
                </c:pt>
                <c:pt idx="19">
                  <c:v>54.57</c:v>
                </c:pt>
                <c:pt idx="20">
                  <c:v>74.069999999999993</c:v>
                </c:pt>
                <c:pt idx="21">
                  <c:v>95.31</c:v>
                </c:pt>
                <c:pt idx="22">
                  <c:v>87.43</c:v>
                </c:pt>
                <c:pt idx="23">
                  <c:v>77.349999999999994</c:v>
                </c:pt>
              </c:numCache>
            </c:numRef>
          </c:val>
          <c:smooth val="0"/>
          <c:extLst>
            <c:ext xmlns:c16="http://schemas.microsoft.com/office/drawing/2014/chart" uri="{C3380CC4-5D6E-409C-BE32-E72D297353CC}">
              <c16:uniqueId val="{00000000-F8EA-40A1-83F4-61286343A045}"/>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14.12</c:v>
                </c:pt>
                <c:pt idx="1">
                  <c:v>26.95</c:v>
                </c:pt>
                <c:pt idx="2">
                  <c:v>8.6199999999999992</c:v>
                </c:pt>
                <c:pt idx="3">
                  <c:v>6.45</c:v>
                </c:pt>
                <c:pt idx="4">
                  <c:v>34.22</c:v>
                </c:pt>
                <c:pt idx="5">
                  <c:v>10.35</c:v>
                </c:pt>
                <c:pt idx="6">
                  <c:v>41.08</c:v>
                </c:pt>
                <c:pt idx="7">
                  <c:v>3.83</c:v>
                </c:pt>
                <c:pt idx="8">
                  <c:v>3.25</c:v>
                </c:pt>
                <c:pt idx="10">
                  <c:v>28.68</c:v>
                </c:pt>
                <c:pt idx="11">
                  <c:v>19.100000000000001</c:v>
                </c:pt>
                <c:pt idx="12">
                  <c:v>22.96</c:v>
                </c:pt>
                <c:pt idx="13">
                  <c:v>25.79</c:v>
                </c:pt>
                <c:pt idx="14">
                  <c:v>21.94</c:v>
                </c:pt>
                <c:pt idx="15">
                  <c:v>20.059999999999999</c:v>
                </c:pt>
                <c:pt idx="16">
                  <c:v>20.170000000000002</c:v>
                </c:pt>
                <c:pt idx="17">
                  <c:v>15.11</c:v>
                </c:pt>
                <c:pt idx="18">
                  <c:v>46.15</c:v>
                </c:pt>
                <c:pt idx="19">
                  <c:v>24.07</c:v>
                </c:pt>
                <c:pt idx="20">
                  <c:v>7.3</c:v>
                </c:pt>
                <c:pt idx="21">
                  <c:v>7.2</c:v>
                </c:pt>
                <c:pt idx="22">
                  <c:v>69.64</c:v>
                </c:pt>
              </c:numCache>
            </c:numRef>
          </c:yVal>
          <c:smooth val="0"/>
          <c:extLst>
            <c:ext xmlns:c16="http://schemas.microsoft.com/office/drawing/2014/chart" uri="{C3380CC4-5D6E-409C-BE32-E72D297353CC}">
              <c16:uniqueId val="{00000002-F8EA-40A1-83F4-61286343A045}"/>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8">
                  <c:v>120.22</c:v>
                </c:pt>
                <c:pt idx="20">
                  <c:v>119.68</c:v>
                </c:pt>
                <c:pt idx="21">
                  <c:v>171.15</c:v>
                </c:pt>
                <c:pt idx="22">
                  <c:v>120.47</c:v>
                </c:pt>
              </c:numCache>
            </c:numRef>
          </c:yVal>
          <c:smooth val="0"/>
          <c:extLst>
            <c:ext xmlns:c16="http://schemas.microsoft.com/office/drawing/2014/chart" uri="{C3380CC4-5D6E-409C-BE32-E72D297353CC}">
              <c16:uniqueId val="{00000004-F8EA-40A1-83F4-61286343A045}"/>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102.57</c:v>
                </c:pt>
                <c:pt idx="1">
                  <c:v>102.69</c:v>
                </c:pt>
                <c:pt idx="2">
                  <c:v>102.54</c:v>
                </c:pt>
                <c:pt idx="3">
                  <c:v>100.54</c:v>
                </c:pt>
                <c:pt idx="4">
                  <c:v>74.36</c:v>
                </c:pt>
                <c:pt idx="5">
                  <c:v>104.3</c:v>
                </c:pt>
                <c:pt idx="6">
                  <c:v>87.94</c:v>
                </c:pt>
                <c:pt idx="7">
                  <c:v>130.49</c:v>
                </c:pt>
                <c:pt idx="8">
                  <c:v>92.08</c:v>
                </c:pt>
                <c:pt idx="9">
                  <c:v>64.45</c:v>
                </c:pt>
                <c:pt idx="10">
                  <c:v>48.18</c:v>
                </c:pt>
                <c:pt idx="11">
                  <c:v>43.21</c:v>
                </c:pt>
                <c:pt idx="12">
                  <c:v>46.16</c:v>
                </c:pt>
                <c:pt idx="13">
                  <c:v>41.6</c:v>
                </c:pt>
                <c:pt idx="14">
                  <c:v>0</c:v>
                </c:pt>
                <c:pt idx="15">
                  <c:v>-0.01</c:v>
                </c:pt>
                <c:pt idx="16">
                  <c:v>20.16</c:v>
                </c:pt>
                <c:pt idx="17">
                  <c:v>27.44</c:v>
                </c:pt>
                <c:pt idx="18">
                  <c:v>19.82</c:v>
                </c:pt>
                <c:pt idx="19">
                  <c:v>81.64</c:v>
                </c:pt>
                <c:pt idx="20">
                  <c:v>82.53</c:v>
                </c:pt>
                <c:pt idx="21">
                  <c:v>113.32</c:v>
                </c:pt>
                <c:pt idx="22">
                  <c:v>68.900000000000006</c:v>
                </c:pt>
                <c:pt idx="23">
                  <c:v>81.36</c:v>
                </c:pt>
              </c:numCache>
            </c:numRef>
          </c:yVal>
          <c:smooth val="0"/>
          <c:extLst>
            <c:ext xmlns:c16="http://schemas.microsoft.com/office/drawing/2014/chart" uri="{C3380CC4-5D6E-409C-BE32-E72D297353CC}">
              <c16:uniqueId val="{00000006-F8EA-40A1-83F4-61286343A045}"/>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dk1">
                    <a:lumMod val="65000"/>
                    <a:lumOff val="35000"/>
                  </a:schemeClr>
                </a:solidFill>
                <a:latin typeface="Arial Narrow" panose="020B0606020202030204" pitchFamily="34" charset="0"/>
                <a:ea typeface="+mn-ea"/>
                <a:cs typeface="+mn-cs"/>
              </a:defRPr>
            </a:pPr>
            <a:endParaRPr lang="es-ES"/>
          </a:p>
        </c:txPr>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30229557245738453"/>
          <c:w val="0.88320436110107481"/>
          <c:h val="0.57992637437627947"/>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72.380000000000038</c:v>
                </c:pt>
                <c:pt idx="1">
                  <c:v>72.380000000000038</c:v>
                </c:pt>
                <c:pt idx="2">
                  <c:v>72.859999999999971</c:v>
                </c:pt>
                <c:pt idx="3">
                  <c:v>70.960000000000022</c:v>
                </c:pt>
                <c:pt idx="4">
                  <c:v>70.210000000000022</c:v>
                </c:pt>
                <c:pt idx="5">
                  <c:v>70.630000000000038</c:v>
                </c:pt>
                <c:pt idx="6">
                  <c:v>70.630000000000038</c:v>
                </c:pt>
                <c:pt idx="7">
                  <c:v>69.890000000000029</c:v>
                </c:pt>
                <c:pt idx="8">
                  <c:v>69.890000000000029</c:v>
                </c:pt>
                <c:pt idx="9">
                  <c:v>69.890000000000029</c:v>
                </c:pt>
              </c:numCache>
            </c:numRef>
          </c:val>
          <c:smooth val="0"/>
          <c:extLst>
            <c:ext xmlns:c16="http://schemas.microsoft.com/office/drawing/2014/chart" uri="{C3380CC4-5D6E-409C-BE32-E72D297353CC}">
              <c16:uniqueId val="{00000000-7D9E-4602-BCB2-5E5EC4452284}"/>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70.97</c:v>
                </c:pt>
                <c:pt idx="1">
                  <c:v>70.97</c:v>
                </c:pt>
                <c:pt idx="2">
                  <c:v>70.97</c:v>
                </c:pt>
                <c:pt idx="3">
                  <c:v>70.97</c:v>
                </c:pt>
                <c:pt idx="4">
                  <c:v>70.97</c:v>
                </c:pt>
                <c:pt idx="5">
                  <c:v>70.97</c:v>
                </c:pt>
                <c:pt idx="6">
                  <c:v>70.97</c:v>
                </c:pt>
                <c:pt idx="7">
                  <c:v>70.97</c:v>
                </c:pt>
                <c:pt idx="8">
                  <c:v>70.97</c:v>
                </c:pt>
                <c:pt idx="9">
                  <c:v>70.97</c:v>
                </c:pt>
                <c:pt idx="10">
                  <c:v>70.97</c:v>
                </c:pt>
                <c:pt idx="11">
                  <c:v>70.97</c:v>
                </c:pt>
                <c:pt idx="12">
                  <c:v>70.97</c:v>
                </c:pt>
                <c:pt idx="13">
                  <c:v>70.97</c:v>
                </c:pt>
                <c:pt idx="14">
                  <c:v>70.97</c:v>
                </c:pt>
                <c:pt idx="15">
                  <c:v>70.97</c:v>
                </c:pt>
                <c:pt idx="16">
                  <c:v>70.97</c:v>
                </c:pt>
                <c:pt idx="17">
                  <c:v>70.97</c:v>
                </c:pt>
                <c:pt idx="18">
                  <c:v>70.97</c:v>
                </c:pt>
                <c:pt idx="19">
                  <c:v>70.97</c:v>
                </c:pt>
                <c:pt idx="20">
                  <c:v>70.97</c:v>
                </c:pt>
                <c:pt idx="21">
                  <c:v>70.97</c:v>
                </c:pt>
                <c:pt idx="22">
                  <c:v>70.97</c:v>
                </c:pt>
                <c:pt idx="23">
                  <c:v>70.97</c:v>
                </c:pt>
                <c:pt idx="24">
                  <c:v>70.97</c:v>
                </c:pt>
                <c:pt idx="25">
                  <c:v>70.97</c:v>
                </c:pt>
                <c:pt idx="26">
                  <c:v>70.97</c:v>
                </c:pt>
                <c:pt idx="27">
                  <c:v>70.97</c:v>
                </c:pt>
                <c:pt idx="28">
                  <c:v>70.97</c:v>
                </c:pt>
                <c:pt idx="29">
                  <c:v>70.97</c:v>
                </c:pt>
                <c:pt idx="30">
                  <c:v>70.97</c:v>
                </c:pt>
              </c:numCache>
            </c:numRef>
          </c:val>
          <c:smooth val="0"/>
          <c:extLst>
            <c:ext xmlns:c16="http://schemas.microsoft.com/office/drawing/2014/chart" uri="{C3380CC4-5D6E-409C-BE32-E72D297353CC}">
              <c16:uniqueId val="{00000001-7D9E-4602-BCB2-5E5EC4452284}"/>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7D9E-4602-BCB2-5E5EC4452284}"/>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valAx>
      <c:spPr>
        <a:noFill/>
        <a:ln>
          <a:noFill/>
        </a:ln>
        <a:effectLst/>
      </c:spPr>
    </c:plotArea>
    <c:legend>
      <c:legendPos val="t"/>
      <c:layout>
        <c:manualLayout>
          <c:xMode val="edge"/>
          <c:yMode val="edge"/>
          <c:x val="0.14737674847039858"/>
          <c:y val="3.6300182501311236E-2"/>
          <c:w val="0.76827680127688469"/>
          <c:h val="0.1255888801338802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093751531735877E-2"/>
          <c:y val="0.14386751460646116"/>
          <c:w val="0.93628401298743025"/>
          <c:h val="0.75721465592926507"/>
        </c:manualLayout>
      </c:layout>
      <c:barChart>
        <c:barDir val="col"/>
        <c:grouping val="clustered"/>
        <c:varyColors val="0"/>
        <c:dLbls>
          <c:showLegendKey val="0"/>
          <c:showVal val="0"/>
          <c:showCatName val="0"/>
          <c:showSerName val="0"/>
          <c:showPercent val="0"/>
          <c:showBubbleSize val="0"/>
        </c:dLbls>
        <c:gapWidth val="150"/>
        <c:axId val="796336896"/>
        <c:axId val="306093343"/>
        <c:extLst>
          <c:ext xmlns:c15="http://schemas.microsoft.com/office/drawing/2012/chart" uri="{02D57815-91ED-43cb-92C2-25804820EDAC}">
            <c15:filteredBarSeries>
              <c15:ser>
                <c:idx val="4"/>
                <c:order val="4"/>
                <c:tx>
                  <c:strRef>
                    <c:extLst>
                      <c:ext uri="{02D57815-91ED-43cb-92C2-25804820EDAC}">
                        <c15:formulaRef>
                          <c15:sqref>externo!$S$3</c15:sqref>
                        </c15:formulaRef>
                      </c:ext>
                    </c:extLst>
                    <c:strCache>
                      <c:ptCount val="1"/>
                      <c:pt idx="0">
                        <c:v>Media RE</c:v>
                      </c:pt>
                    </c:strCache>
                  </c:strRef>
                </c:tx>
                <c:spPr>
                  <a:solidFill>
                    <a:schemeClr val="accent5"/>
                  </a:solidFill>
                  <a:ln>
                    <a:noFill/>
                  </a:ln>
                  <a:effectLst/>
                </c:spPr>
                <c:invertIfNegative val="0"/>
                <c:val>
                  <c:numRef>
                    <c:extLst>
                      <c:ext uri="{02D57815-91ED-43cb-92C2-25804820EDAC}">
                        <c15:formulaRef>
                          <c15:sqref>externo!$S$4:$S$34</c15:sqref>
                        </c15:formulaRef>
                      </c:ext>
                    </c:extLst>
                    <c:numCache>
                      <c:formatCode>General</c:formatCode>
                      <c:ptCount val="31"/>
                      <c:pt idx="0">
                        <c:v>0.38800000000000001</c:v>
                      </c:pt>
                      <c:pt idx="1">
                        <c:v>0.38800000000000001</c:v>
                      </c:pt>
                      <c:pt idx="2">
                        <c:v>0.38800000000000001</c:v>
                      </c:pt>
                      <c:pt idx="3">
                        <c:v>0.38800000000000001</c:v>
                      </c:pt>
                      <c:pt idx="4">
                        <c:v>0.38800000000000001</c:v>
                      </c:pt>
                      <c:pt idx="5">
                        <c:v>0.38800000000000001</c:v>
                      </c:pt>
                      <c:pt idx="6">
                        <c:v>0.38800000000000001</c:v>
                      </c:pt>
                      <c:pt idx="7">
                        <c:v>0.38800000000000001</c:v>
                      </c:pt>
                      <c:pt idx="8">
                        <c:v>0.38800000000000001</c:v>
                      </c:pt>
                      <c:pt idx="9">
                        <c:v>0.38800000000000001</c:v>
                      </c:pt>
                      <c:pt idx="10">
                        <c:v>0.38800000000000001</c:v>
                      </c:pt>
                      <c:pt idx="11">
                        <c:v>0.38800000000000001</c:v>
                      </c:pt>
                      <c:pt idx="12">
                        <c:v>0.38800000000000001</c:v>
                      </c:pt>
                      <c:pt idx="13">
                        <c:v>0.38800000000000001</c:v>
                      </c:pt>
                      <c:pt idx="14">
                        <c:v>0.38800000000000001</c:v>
                      </c:pt>
                      <c:pt idx="15">
                        <c:v>0.38800000000000001</c:v>
                      </c:pt>
                      <c:pt idx="16">
                        <c:v>0.38800000000000001</c:v>
                      </c:pt>
                      <c:pt idx="17">
                        <c:v>0.38800000000000001</c:v>
                      </c:pt>
                      <c:pt idx="18">
                        <c:v>0.38800000000000001</c:v>
                      </c:pt>
                      <c:pt idx="19">
                        <c:v>0.38800000000000001</c:v>
                      </c:pt>
                      <c:pt idx="20">
                        <c:v>0.38800000000000001</c:v>
                      </c:pt>
                      <c:pt idx="21">
                        <c:v>0.38800000000000001</c:v>
                      </c:pt>
                      <c:pt idx="22">
                        <c:v>0.38800000000000001</c:v>
                      </c:pt>
                      <c:pt idx="23">
                        <c:v>0.38800000000000001</c:v>
                      </c:pt>
                      <c:pt idx="24">
                        <c:v>0.38800000000000001</c:v>
                      </c:pt>
                      <c:pt idx="25">
                        <c:v>0.38800000000000001</c:v>
                      </c:pt>
                      <c:pt idx="26">
                        <c:v>0.38800000000000001</c:v>
                      </c:pt>
                      <c:pt idx="27">
                        <c:v>0.38800000000000001</c:v>
                      </c:pt>
                      <c:pt idx="28">
                        <c:v>0.38800000000000001</c:v>
                      </c:pt>
                      <c:pt idx="29">
                        <c:v>0.38800000000000001</c:v>
                      </c:pt>
                      <c:pt idx="30">
                        <c:v>0.38800000000000001</c:v>
                      </c:pt>
                    </c:numCache>
                  </c:numRef>
                </c:val>
                <c:extLst>
                  <c:ext xmlns:c16="http://schemas.microsoft.com/office/drawing/2014/chart" uri="{C3380CC4-5D6E-409C-BE32-E72D297353CC}">
                    <c16:uniqueId val="{00000006-C272-40E0-A585-361F91321FA7}"/>
                  </c:ext>
                </c:extLst>
              </c15:ser>
            </c15:filteredBarSeries>
          </c:ext>
        </c:extLst>
      </c:barChart>
      <c:barChart>
        <c:barDir val="col"/>
        <c:grouping val="clustered"/>
        <c:varyColors val="0"/>
        <c:ser>
          <c:idx val="3"/>
          <c:order val="3"/>
          <c:tx>
            <c:strRef>
              <c:f>externo!$R$3</c:f>
              <c:strCache>
                <c:ptCount val="1"/>
                <c:pt idx="0">
                  <c:v>% Horas RE</c:v>
                </c:pt>
              </c:strCache>
            </c:strRef>
          </c:tx>
          <c:spPr>
            <a:solidFill>
              <a:schemeClr val="accent6">
                <a:alpha val="52000"/>
              </a:schemeClr>
            </a:solidFill>
            <a:ln>
              <a:noFill/>
            </a:ln>
            <a:effectLst/>
          </c:spPr>
          <c:invertIfNegative val="0"/>
          <c:val>
            <c:numRef>
              <c:f>externo!$R$4:$R$34</c:f>
              <c:numCache>
                <c:formatCode>General</c:formatCode>
                <c:ptCount val="31"/>
                <c:pt idx="0">
                  <c:v>0.66666666666666663</c:v>
                </c:pt>
                <c:pt idx="1">
                  <c:v>0.70833333333333337</c:v>
                </c:pt>
                <c:pt idx="2">
                  <c:v>0.58333333333333337</c:v>
                </c:pt>
                <c:pt idx="3">
                  <c:v>8.3333333333333329E-2</c:v>
                </c:pt>
                <c:pt idx="4">
                  <c:v>0.16666666666666666</c:v>
                </c:pt>
                <c:pt idx="5">
                  <c:v>0.25</c:v>
                </c:pt>
                <c:pt idx="6">
                  <c:v>0.29166666666666669</c:v>
                </c:pt>
                <c:pt idx="7">
                  <c:v>0.20833333333333337</c:v>
                </c:pt>
                <c:pt idx="8">
                  <c:v>0.45833333333333326</c:v>
                </c:pt>
                <c:pt idx="9">
                  <c:v>0.45833333333333326</c:v>
                </c:pt>
              </c:numCache>
            </c:numRef>
          </c:val>
          <c:extLst>
            <c:ext xmlns:c16="http://schemas.microsoft.com/office/drawing/2014/chart" uri="{C3380CC4-5D6E-409C-BE32-E72D297353CC}">
              <c16:uniqueId val="{00000000-C272-40E0-A585-361F91321FA7}"/>
            </c:ext>
          </c:extLst>
        </c:ser>
        <c:ser>
          <c:idx val="5"/>
          <c:order val="5"/>
          <c:tx>
            <c:strRef>
              <c:f>externo!$T$3</c:f>
              <c:strCache>
                <c:ptCount val="1"/>
                <c:pt idx="0">
                  <c:v>% Horas TCC</c:v>
                </c:pt>
              </c:strCache>
            </c:strRef>
          </c:tx>
          <c:spPr>
            <a:solidFill>
              <a:schemeClr val="accent2">
                <a:alpha val="44000"/>
              </a:schemeClr>
            </a:solidFill>
            <a:ln>
              <a:noFill/>
            </a:ln>
            <a:effectLst/>
          </c:spPr>
          <c:invertIfNegative val="0"/>
          <c:val>
            <c:numRef>
              <c:f>externo!$T$4:$T$34</c:f>
              <c:numCache>
                <c:formatCode>General</c:formatCode>
                <c:ptCount val="31"/>
                <c:pt idx="0">
                  <c:v>0</c:v>
                </c:pt>
                <c:pt idx="1">
                  <c:v>0</c:v>
                </c:pt>
                <c:pt idx="2">
                  <c:v>0</c:v>
                </c:pt>
                <c:pt idx="3">
                  <c:v>4.1666666666666664E-2</c:v>
                </c:pt>
                <c:pt idx="4">
                  <c:v>0.125</c:v>
                </c:pt>
                <c:pt idx="5">
                  <c:v>8.3333333333333329E-2</c:v>
                </c:pt>
                <c:pt idx="6">
                  <c:v>0</c:v>
                </c:pt>
                <c:pt idx="7">
                  <c:v>0</c:v>
                </c:pt>
                <c:pt idx="8">
                  <c:v>0</c:v>
                </c:pt>
                <c:pt idx="9">
                  <c:v>0</c:v>
                </c:pt>
              </c:numCache>
            </c:numRef>
          </c:val>
          <c:extLst>
            <c:ext xmlns:c16="http://schemas.microsoft.com/office/drawing/2014/chart" uri="{C3380CC4-5D6E-409C-BE32-E72D297353CC}">
              <c16:uniqueId val="{00000001-C272-40E0-A585-361F91321FA7}"/>
            </c:ext>
          </c:extLst>
        </c:ser>
        <c:ser>
          <c:idx val="7"/>
          <c:order val="7"/>
          <c:tx>
            <c:strRef>
              <c:f>externo!$V$3</c:f>
              <c:strCache>
                <c:ptCount val="1"/>
                <c:pt idx="0">
                  <c:v>% Horas HI</c:v>
                </c:pt>
              </c:strCache>
            </c:strRef>
          </c:tx>
          <c:spPr>
            <a:solidFill>
              <a:schemeClr val="accent1">
                <a:alpha val="32000"/>
              </a:schemeClr>
            </a:solidFill>
            <a:ln>
              <a:noFill/>
            </a:ln>
            <a:effectLst/>
          </c:spPr>
          <c:invertIfNegative val="0"/>
          <c:val>
            <c:numRef>
              <c:f>externo!$V$4:$V$34</c:f>
              <c:numCache>
                <c:formatCode>General</c:formatCode>
                <c:ptCount val="31"/>
                <c:pt idx="0">
                  <c:v>0.20833333333333337</c:v>
                </c:pt>
                <c:pt idx="1">
                  <c:v>0.16666666666666666</c:v>
                </c:pt>
                <c:pt idx="2">
                  <c:v>0.20833333333333337</c:v>
                </c:pt>
                <c:pt idx="3">
                  <c:v>0.58333333333333337</c:v>
                </c:pt>
                <c:pt idx="4">
                  <c:v>0.5</c:v>
                </c:pt>
                <c:pt idx="5">
                  <c:v>0.5</c:v>
                </c:pt>
                <c:pt idx="6">
                  <c:v>0.54166666666666663</c:v>
                </c:pt>
                <c:pt idx="7">
                  <c:v>0.45833333333333326</c:v>
                </c:pt>
                <c:pt idx="8">
                  <c:v>0.45833333333333326</c:v>
                </c:pt>
                <c:pt idx="9">
                  <c:v>0.125</c:v>
                </c:pt>
              </c:numCache>
            </c:numRef>
          </c:val>
          <c:extLst>
            <c:ext xmlns:c16="http://schemas.microsoft.com/office/drawing/2014/chart" uri="{C3380CC4-5D6E-409C-BE32-E72D297353CC}">
              <c16:uniqueId val="{00000002-C272-40E0-A585-361F91321FA7}"/>
            </c:ext>
          </c:extLst>
        </c:ser>
        <c:dLbls>
          <c:showLegendKey val="0"/>
          <c:showVal val="0"/>
          <c:showCatName val="0"/>
          <c:showSerName val="0"/>
          <c:showPercent val="0"/>
          <c:showBubbleSize val="0"/>
        </c:dLbls>
        <c:gapWidth val="180"/>
        <c:axId val="327395439"/>
        <c:axId val="306049199"/>
        <c:extLst>
          <c:ext xmlns:c15="http://schemas.microsoft.com/office/drawing/2012/chart" uri="{02D57815-91ED-43cb-92C2-25804820EDAC}">
            <c15:filteredBarSeries>
              <c15:ser>
                <c:idx val="0"/>
                <c:order val="0"/>
                <c:tx>
                  <c:strRef>
                    <c:extLst>
                      <c:ext uri="{02D57815-91ED-43cb-92C2-25804820EDAC}">
                        <c15:formulaRef>
                          <c15:sqref>externo!$O$3</c15:sqref>
                        </c15:formulaRef>
                      </c:ext>
                    </c:extLst>
                    <c:strCache>
                      <c:ptCount val="1"/>
                      <c:pt idx="0">
                        <c:v>Dia</c:v>
                      </c:pt>
                    </c:strCache>
                  </c:strRef>
                </c:tx>
                <c:spPr>
                  <a:solidFill>
                    <a:schemeClr val="accent1"/>
                  </a:solidFill>
                  <a:ln>
                    <a:noFill/>
                  </a:ln>
                  <a:effectLst/>
                </c:spPr>
                <c:invertIfNegative val="0"/>
                <c:val>
                  <c:numRef>
                    <c:extLst>
                      <c:ext uri="{02D57815-91ED-43cb-92C2-25804820EDAC}">
                        <c15:formulaRef>
                          <c15:sqref>externo!$O$4:$O$34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extLst>
                  <c:ext xmlns:c16="http://schemas.microsoft.com/office/drawing/2014/chart" uri="{C3380CC4-5D6E-409C-BE32-E72D297353CC}">
                    <c16:uniqueId val="{00000005-C272-40E0-A585-361F91321FA7}"/>
                  </c:ext>
                </c:extLst>
              </c15:ser>
            </c15:filteredBarSeries>
          </c:ext>
        </c:extLst>
      </c:barChart>
      <c:lineChart>
        <c:grouping val="standard"/>
        <c:varyColors val="0"/>
        <c:ser>
          <c:idx val="1"/>
          <c:order val="1"/>
          <c:tx>
            <c:strRef>
              <c:f>externo!$P$3</c:f>
              <c:strCache>
                <c:ptCount val="1"/>
                <c:pt idx="0">
                  <c:v>Omie media mensual (€/MWh)</c:v>
                </c:pt>
              </c:strCache>
            </c:strRef>
          </c:tx>
          <c:spPr>
            <a:ln w="22225" cap="rnd">
              <a:solidFill>
                <a:schemeClr val="bg1">
                  <a:lumMod val="50000"/>
                </a:schemeClr>
              </a:solidFill>
              <a:prstDash val="sysDot"/>
              <a:round/>
            </a:ln>
            <a:effectLst/>
          </c:spPr>
          <c:marker>
            <c:symbol val="none"/>
          </c:marker>
          <c:val>
            <c:numRef>
              <c:f>externo!$P$4:$P$34</c:f>
              <c:numCache>
                <c:formatCode>General</c:formatCode>
                <c:ptCount val="31"/>
                <c:pt idx="0">
                  <c:v>52.048999999999999</c:v>
                </c:pt>
                <c:pt idx="1">
                  <c:v>52.048999999999999</c:v>
                </c:pt>
                <c:pt idx="2">
                  <c:v>52.048999999999999</c:v>
                </c:pt>
                <c:pt idx="3">
                  <c:v>52.048999999999999</c:v>
                </c:pt>
                <c:pt idx="4">
                  <c:v>52.048999999999999</c:v>
                </c:pt>
                <c:pt idx="5">
                  <c:v>52.048999999999999</c:v>
                </c:pt>
                <c:pt idx="6">
                  <c:v>52.048999999999999</c:v>
                </c:pt>
                <c:pt idx="7">
                  <c:v>52.048999999999999</c:v>
                </c:pt>
                <c:pt idx="8">
                  <c:v>52.048999999999999</c:v>
                </c:pt>
                <c:pt idx="9">
                  <c:v>52.048999999999999</c:v>
                </c:pt>
                <c:pt idx="10">
                  <c:v>52.048999999999999</c:v>
                </c:pt>
                <c:pt idx="11">
                  <c:v>52.048999999999999</c:v>
                </c:pt>
                <c:pt idx="12">
                  <c:v>52.048999999999999</c:v>
                </c:pt>
                <c:pt idx="13">
                  <c:v>52.048999999999999</c:v>
                </c:pt>
                <c:pt idx="14">
                  <c:v>52.048999999999999</c:v>
                </c:pt>
                <c:pt idx="15">
                  <c:v>52.048999999999999</c:v>
                </c:pt>
                <c:pt idx="16">
                  <c:v>52.048999999999999</c:v>
                </c:pt>
                <c:pt idx="17">
                  <c:v>52.048999999999999</c:v>
                </c:pt>
                <c:pt idx="18">
                  <c:v>52.048999999999999</c:v>
                </c:pt>
                <c:pt idx="19">
                  <c:v>52.048999999999999</c:v>
                </c:pt>
                <c:pt idx="20">
                  <c:v>52.048999999999999</c:v>
                </c:pt>
                <c:pt idx="21">
                  <c:v>52.048999999999999</c:v>
                </c:pt>
                <c:pt idx="22">
                  <c:v>52.048999999999999</c:v>
                </c:pt>
                <c:pt idx="23">
                  <c:v>52.048999999999999</c:v>
                </c:pt>
                <c:pt idx="24">
                  <c:v>52.048999999999999</c:v>
                </c:pt>
                <c:pt idx="25">
                  <c:v>52.048999999999999</c:v>
                </c:pt>
                <c:pt idx="26">
                  <c:v>52.048999999999999</c:v>
                </c:pt>
                <c:pt idx="27">
                  <c:v>52.048999999999999</c:v>
                </c:pt>
                <c:pt idx="28">
                  <c:v>52.048999999999999</c:v>
                </c:pt>
                <c:pt idx="29">
                  <c:v>52.048999999999999</c:v>
                </c:pt>
                <c:pt idx="30">
                  <c:v>52.048999999999999</c:v>
                </c:pt>
              </c:numCache>
            </c:numRef>
          </c:val>
          <c:smooth val="0"/>
          <c:extLst>
            <c:ext xmlns:c16="http://schemas.microsoft.com/office/drawing/2014/chart" uri="{C3380CC4-5D6E-409C-BE32-E72D297353CC}">
              <c16:uniqueId val="{00000003-C272-40E0-A585-361F91321FA7}"/>
            </c:ext>
          </c:extLst>
        </c:ser>
        <c:ser>
          <c:idx val="2"/>
          <c:order val="2"/>
          <c:tx>
            <c:strRef>
              <c:f>externo!$Q$3</c:f>
              <c:strCache>
                <c:ptCount val="1"/>
                <c:pt idx="0">
                  <c:v>Omie media diaria</c:v>
                </c:pt>
              </c:strCache>
            </c:strRef>
          </c:tx>
          <c:spPr>
            <a:ln w="25400" cap="rnd">
              <a:solidFill>
                <a:schemeClr val="tx1"/>
              </a:solidFill>
              <a:round/>
            </a:ln>
            <a:effectLst/>
          </c:spPr>
          <c:marker>
            <c:symbol val="none"/>
          </c:marker>
          <c:val>
            <c:numRef>
              <c:f>externo!$Q$4:$Q$34</c:f>
              <c:numCache>
                <c:formatCode>General</c:formatCode>
                <c:ptCount val="31"/>
                <c:pt idx="0">
                  <c:v>1.7595833333333333</c:v>
                </c:pt>
                <c:pt idx="1">
                  <c:v>4.2612499999999986</c:v>
                </c:pt>
                <c:pt idx="2">
                  <c:v>28.55541666666667</c:v>
                </c:pt>
                <c:pt idx="3">
                  <c:v>87.639999999999986</c:v>
                </c:pt>
                <c:pt idx="4">
                  <c:v>93.260416666666671</c:v>
                </c:pt>
                <c:pt idx="5">
                  <c:v>93.423333333333332</c:v>
                </c:pt>
                <c:pt idx="6">
                  <c:v>79.132916666666674</c:v>
                </c:pt>
                <c:pt idx="7">
                  <c:v>71.420416666666668</c:v>
                </c:pt>
                <c:pt idx="8">
                  <c:v>16.427916666666665</c:v>
                </c:pt>
                <c:pt idx="9">
                  <c:v>44.605833333333329</c:v>
                </c:pt>
              </c:numCache>
            </c:numRef>
          </c:val>
          <c:smooth val="0"/>
          <c:extLst>
            <c:ext xmlns:c16="http://schemas.microsoft.com/office/drawing/2014/chart" uri="{C3380CC4-5D6E-409C-BE32-E72D297353CC}">
              <c16:uniqueId val="{00000004-C272-40E0-A585-361F91321FA7}"/>
            </c:ext>
          </c:extLst>
        </c:ser>
        <c:dLbls>
          <c:showLegendKey val="0"/>
          <c:showVal val="0"/>
          <c:showCatName val="0"/>
          <c:showSerName val="0"/>
          <c:showPercent val="0"/>
          <c:showBubbleSize val="0"/>
        </c:dLbls>
        <c:marker val="1"/>
        <c:smooth val="0"/>
        <c:axId val="796336896"/>
        <c:axId val="306093343"/>
        <c:extLst>
          <c:ext xmlns:c15="http://schemas.microsoft.com/office/drawing/2012/chart" uri="{02D57815-91ED-43cb-92C2-25804820EDAC}">
            <c15:filteredLineSeries>
              <c15:ser>
                <c:idx val="6"/>
                <c:order val="6"/>
                <c:tx>
                  <c:strRef>
                    <c:extLst>
                      <c:ext uri="{02D57815-91ED-43cb-92C2-25804820EDAC}">
                        <c15:formulaRef>
                          <c15:sqref>externo!$U$3</c15:sqref>
                        </c15:formulaRef>
                      </c:ext>
                    </c:extLst>
                    <c:strCache>
                      <c:ptCount val="1"/>
                      <c:pt idx="0">
                        <c:v>Media TCC</c:v>
                      </c:pt>
                    </c:strCache>
                  </c:strRef>
                </c:tx>
                <c:spPr>
                  <a:ln w="28575" cap="rnd">
                    <a:solidFill>
                      <a:schemeClr val="accent1">
                        <a:lumMod val="60000"/>
                      </a:schemeClr>
                    </a:solidFill>
                    <a:round/>
                  </a:ln>
                  <a:effectLst/>
                </c:spPr>
                <c:marker>
                  <c:symbol val="none"/>
                </c:marker>
                <c:val>
                  <c:numRef>
                    <c:extLst>
                      <c:ext uri="{02D57815-91ED-43cb-92C2-25804820EDAC}">
                        <c15:formulaRef>
                          <c15:sqref>externo!$U$4:$U$34</c15:sqref>
                        </c15:formulaRef>
                      </c:ext>
                    </c:extLst>
                    <c:numCache>
                      <c:formatCode>General</c:formatCode>
                      <c:ptCount val="31"/>
                      <c:pt idx="0">
                        <c:v>2.5000000000000001E-2</c:v>
                      </c:pt>
                      <c:pt idx="1">
                        <c:v>2.8000000000000001E-2</c:v>
                      </c:pt>
                      <c:pt idx="2">
                        <c:v>3.1E-2</c:v>
                      </c:pt>
                      <c:pt idx="3">
                        <c:v>3.5999999999999997E-2</c:v>
                      </c:pt>
                      <c:pt idx="4">
                        <c:v>3.5000000000000003E-2</c:v>
                      </c:pt>
                      <c:pt idx="5">
                        <c:v>1.7000000000000001E-2</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7-C272-40E0-A585-361F91321FA7}"/>
                  </c:ext>
                </c:extLst>
              </c15:ser>
            </c15:filteredLineSeries>
            <c15:filteredLineSeries>
              <c15:ser>
                <c:idx val="8"/>
                <c:order val="8"/>
                <c:tx>
                  <c:strRef>
                    <c:extLst>
                      <c:ext xmlns:c15="http://schemas.microsoft.com/office/drawing/2012/chart" uri="{02D57815-91ED-43cb-92C2-25804820EDAC}">
                        <c15:formulaRef>
                          <c15:sqref>externo!$W$3</c15:sqref>
                        </c15:formulaRef>
                      </c:ext>
                    </c:extLst>
                    <c:strCache>
                      <c:ptCount val="1"/>
                      <c:pt idx="0">
                        <c:v>Media HI</c:v>
                      </c:pt>
                    </c:strCache>
                  </c:strRef>
                </c:tx>
                <c:spPr>
                  <a:ln w="28575" cap="rnd">
                    <a:solidFill>
                      <a:schemeClr val="accent3">
                        <a:lumMod val="60000"/>
                      </a:schemeClr>
                    </a:solidFill>
                    <a:round/>
                  </a:ln>
                  <a:effectLst/>
                </c:spPr>
                <c:marker>
                  <c:symbol val="none"/>
                </c:marker>
                <c:val>
                  <c:numRef>
                    <c:extLst>
                      <c:ext xmlns:c15="http://schemas.microsoft.com/office/drawing/2012/chart" uri="{02D57815-91ED-43cb-92C2-25804820EDAC}">
                        <c15:formulaRef>
                          <c15:sqref>externo!$W$4:$W$34</c15:sqref>
                        </c15:formulaRef>
                      </c:ext>
                    </c:extLst>
                    <c:numCache>
                      <c:formatCode>General</c:formatCode>
                      <c:ptCount val="31"/>
                      <c:pt idx="0">
                        <c:v>0.375</c:v>
                      </c:pt>
                      <c:pt idx="1">
                        <c:v>0.39400000000000002</c:v>
                      </c:pt>
                      <c:pt idx="2">
                        <c:v>0.42199999999999999</c:v>
                      </c:pt>
                      <c:pt idx="3">
                        <c:v>0.45200000000000001</c:v>
                      </c:pt>
                      <c:pt idx="4">
                        <c:v>0.43099999999999999</c:v>
                      </c:pt>
                      <c:pt idx="5">
                        <c:v>0.41699999999999998</c:v>
                      </c:pt>
                      <c:pt idx="6">
                        <c:v>0.39600000000000002</c:v>
                      </c:pt>
                      <c:pt idx="7">
                        <c:v>0.34699999999999998</c:v>
                      </c:pt>
                      <c:pt idx="8">
                        <c:v>0.29199999999999998</c:v>
                      </c:pt>
                      <c:pt idx="9">
                        <c:v>0.125</c:v>
                      </c:pt>
                      <c:pt idx="10">
                        <c:v>0.125</c:v>
                      </c:pt>
                      <c:pt idx="11">
                        <c:v>0.125</c:v>
                      </c:pt>
                      <c:pt idx="12">
                        <c:v>0.125</c:v>
                      </c:pt>
                      <c:pt idx="13">
                        <c:v>0.125</c:v>
                      </c:pt>
                      <c:pt idx="14">
                        <c:v>0.125</c:v>
                      </c:pt>
                      <c:pt idx="15">
                        <c:v>0.125</c:v>
                      </c:pt>
                      <c:pt idx="16">
                        <c:v>0.125</c:v>
                      </c:pt>
                      <c:pt idx="17">
                        <c:v>0.125</c:v>
                      </c:pt>
                      <c:pt idx="18">
                        <c:v>0.125</c:v>
                      </c:pt>
                      <c:pt idx="19">
                        <c:v>0.125</c:v>
                      </c:pt>
                      <c:pt idx="20">
                        <c:v>0.125</c:v>
                      </c:pt>
                      <c:pt idx="21">
                        <c:v>0.125</c:v>
                      </c:pt>
                      <c:pt idx="22">
                        <c:v>0.125</c:v>
                      </c:pt>
                      <c:pt idx="23">
                        <c:v>0.125</c:v>
                      </c:pt>
                      <c:pt idx="24">
                        <c:v>0.125</c:v>
                      </c:pt>
                      <c:pt idx="25">
                        <c:v>0.125</c:v>
                      </c:pt>
                      <c:pt idx="26">
                        <c:v>0.125</c:v>
                      </c:pt>
                      <c:pt idx="27">
                        <c:v>0.125</c:v>
                      </c:pt>
                      <c:pt idx="28">
                        <c:v>0.125</c:v>
                      </c:pt>
                      <c:pt idx="29">
                        <c:v>0.125</c:v>
                      </c:pt>
                      <c:pt idx="30">
                        <c:v>0.125</c:v>
                      </c:pt>
                    </c:numCache>
                  </c:numRef>
                </c:val>
                <c:smooth val="0"/>
                <c:extLst xmlns:c15="http://schemas.microsoft.com/office/drawing/2012/chart">
                  <c:ext xmlns:c16="http://schemas.microsoft.com/office/drawing/2014/chart" uri="{C3380CC4-5D6E-409C-BE32-E72D297353CC}">
                    <c16:uniqueId val="{00000008-C272-40E0-A585-361F91321FA7}"/>
                  </c:ext>
                </c:extLst>
              </c15:ser>
            </c15:filteredLineSeries>
            <c15:filteredLineSeries>
              <c15:ser>
                <c:idx val="9"/>
                <c:order val="9"/>
                <c:tx>
                  <c:strRef>
                    <c:extLst>
                      <c:ext xmlns:c15="http://schemas.microsoft.com/office/drawing/2012/chart" uri="{02D57815-91ED-43cb-92C2-25804820EDAC}">
                        <c15:formulaRef>
                          <c15:sqref>externo!$X$3</c15:sqref>
                        </c15:formulaRef>
                      </c:ext>
                    </c:extLst>
                    <c:strCache>
                      <c:ptCount val="1"/>
                      <c:pt idx="0">
                        <c:v>demanda GWh</c:v>
                      </c:pt>
                    </c:strCache>
                  </c:strRef>
                </c:tx>
                <c:spPr>
                  <a:ln w="28575" cap="rnd">
                    <a:solidFill>
                      <a:schemeClr val="accent4">
                        <a:lumMod val="60000"/>
                      </a:schemeClr>
                    </a:solidFill>
                    <a:round/>
                  </a:ln>
                  <a:effectLst/>
                </c:spPr>
                <c:marker>
                  <c:symbol val="none"/>
                </c:marker>
                <c:val>
                  <c:numRef>
                    <c:extLst>
                      <c:ext xmlns:c15="http://schemas.microsoft.com/office/drawing/2012/chart" uri="{02D57815-91ED-43cb-92C2-25804820EDAC}">
                        <c15:formulaRef>
                          <c15:sqref>externo!$X$4:$X$34</c15:sqref>
                        </c15:formulaRef>
                      </c:ext>
                    </c:extLst>
                    <c:numCache>
                      <c:formatCode>General</c:formatCode>
                      <c:ptCount val="31"/>
                      <c:pt idx="0">
                        <c:v>561</c:v>
                      </c:pt>
                      <c:pt idx="1">
                        <c:v>519</c:v>
                      </c:pt>
                      <c:pt idx="2">
                        <c:v>623</c:v>
                      </c:pt>
                      <c:pt idx="3">
                        <c:v>635</c:v>
                      </c:pt>
                      <c:pt idx="4">
                        <c:v>651</c:v>
                      </c:pt>
                      <c:pt idx="5">
                        <c:v>665</c:v>
                      </c:pt>
                      <c:pt idx="6">
                        <c:v>663</c:v>
                      </c:pt>
                      <c:pt idx="7">
                        <c:v>581</c:v>
                      </c:pt>
                      <c:pt idx="8">
                        <c:v>375</c:v>
                      </c:pt>
                      <c:pt idx="9">
                        <c:v>0</c:v>
                      </c:pt>
                    </c:numCache>
                  </c:numRef>
                </c:val>
                <c:smooth val="0"/>
                <c:extLst xmlns:c15="http://schemas.microsoft.com/office/drawing/2012/chart">
                  <c:ext xmlns:c16="http://schemas.microsoft.com/office/drawing/2014/chart" uri="{C3380CC4-5D6E-409C-BE32-E72D297353CC}">
                    <c16:uniqueId val="{00000009-C272-40E0-A585-361F91321FA7}"/>
                  </c:ext>
                </c:extLst>
              </c15:ser>
            </c15:filteredLineSeries>
            <c15:filteredLineSeries>
              <c15:ser>
                <c:idx val="10"/>
                <c:order val="10"/>
                <c:tx>
                  <c:strRef>
                    <c:extLst>
                      <c:ext xmlns:c15="http://schemas.microsoft.com/office/drawing/2012/chart" uri="{02D57815-91ED-43cb-92C2-25804820EDAC}">
                        <c15:formulaRef>
                          <c15:sqref>externo!$Y$3</c15:sqref>
                        </c15:formulaRef>
                      </c:ext>
                    </c:extLst>
                    <c:strCache>
                      <c:ptCount val="1"/>
                      <c:pt idx="0">
                        <c:v>Precio RE</c:v>
                      </c:pt>
                    </c:strCache>
                  </c:strRef>
                </c:tx>
                <c:spPr>
                  <a:ln w="28575" cap="rnd">
                    <a:solidFill>
                      <a:schemeClr val="accent5">
                        <a:lumMod val="60000"/>
                      </a:schemeClr>
                    </a:solidFill>
                    <a:round/>
                  </a:ln>
                  <a:effectLst/>
                </c:spPr>
                <c:marker>
                  <c:symbol val="none"/>
                </c:marker>
                <c:val>
                  <c:numRef>
                    <c:extLst>
                      <c:ext xmlns:c15="http://schemas.microsoft.com/office/drawing/2012/chart" uri="{02D57815-91ED-43cb-92C2-25804820EDAC}">
                        <c15:formulaRef>
                          <c15:sqref>externo!$Y$4:$Y$34</c15:sqref>
                        </c15:formulaRef>
                      </c:ext>
                    </c:extLst>
                    <c:numCache>
                      <c:formatCode>General</c:formatCode>
                      <c:ptCount val="31"/>
                      <c:pt idx="0">
                        <c:v>1.8262499999999999</c:v>
                      </c:pt>
                      <c:pt idx="1">
                        <c:v>1.7988235294117645</c:v>
                      </c:pt>
                      <c:pt idx="2">
                        <c:v>9.2214285714285715</c:v>
                      </c:pt>
                      <c:pt idx="3">
                        <c:v>32.4</c:v>
                      </c:pt>
                      <c:pt idx="4">
                        <c:v>72.8125</c:v>
                      </c:pt>
                      <c:pt idx="5">
                        <c:v>67.066666666666677</c:v>
                      </c:pt>
                      <c:pt idx="6">
                        <c:v>43.955714285714286</c:v>
                      </c:pt>
                      <c:pt idx="7">
                        <c:v>53.665999999999997</c:v>
                      </c:pt>
                      <c:pt idx="8">
                        <c:v>18.348181818181818</c:v>
                      </c:pt>
                      <c:pt idx="9">
                        <c:v>38.312727272727273</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A-C272-40E0-A585-361F91321FA7}"/>
                  </c:ext>
                </c:extLst>
              </c15:ser>
            </c15:filteredLineSeries>
            <c15:filteredLineSeries>
              <c15:ser>
                <c:idx val="11"/>
                <c:order val="11"/>
                <c:tx>
                  <c:strRef>
                    <c:extLst>
                      <c:ext xmlns:c15="http://schemas.microsoft.com/office/drawing/2012/chart" uri="{02D57815-91ED-43cb-92C2-25804820EDAC}">
                        <c15:formulaRef>
                          <c15:sqref>externo!$Z$3</c15:sqref>
                        </c15:formulaRef>
                      </c:ext>
                    </c:extLst>
                    <c:strCache>
                      <c:ptCount val="1"/>
                      <c:pt idx="0">
                        <c:v>Precio medio RE</c:v>
                      </c:pt>
                    </c:strCache>
                  </c:strRef>
                </c:tx>
                <c:spPr>
                  <a:ln w="28575" cap="rnd">
                    <a:solidFill>
                      <a:schemeClr val="accent6">
                        <a:lumMod val="60000"/>
                      </a:schemeClr>
                    </a:solidFill>
                    <a:round/>
                  </a:ln>
                  <a:effectLst/>
                </c:spPr>
                <c:marker>
                  <c:symbol val="none"/>
                </c:marker>
                <c:val>
                  <c:numRef>
                    <c:extLst>
                      <c:ext xmlns:c15="http://schemas.microsoft.com/office/drawing/2012/chart" uri="{02D57815-91ED-43cb-92C2-25804820EDAC}">
                        <c15:formulaRef>
                          <c15:sqref>externo!$Z$4:$Z$34</c15:sqref>
                        </c15:formulaRef>
                      </c:ext>
                    </c:extLst>
                    <c:numCache>
                      <c:formatCode>General</c:formatCode>
                      <c:ptCount val="31"/>
                      <c:pt idx="0">
                        <c:v>33.94</c:v>
                      </c:pt>
                      <c:pt idx="1">
                        <c:v>33.94</c:v>
                      </c:pt>
                      <c:pt idx="2">
                        <c:v>33.94</c:v>
                      </c:pt>
                      <c:pt idx="3">
                        <c:v>33.94</c:v>
                      </c:pt>
                      <c:pt idx="4">
                        <c:v>33.94</c:v>
                      </c:pt>
                      <c:pt idx="5">
                        <c:v>33.94</c:v>
                      </c:pt>
                      <c:pt idx="6">
                        <c:v>33.94</c:v>
                      </c:pt>
                      <c:pt idx="7">
                        <c:v>33.94</c:v>
                      </c:pt>
                      <c:pt idx="8">
                        <c:v>33.94</c:v>
                      </c:pt>
                      <c:pt idx="9">
                        <c:v>33.94</c:v>
                      </c:pt>
                      <c:pt idx="10">
                        <c:v>33.94</c:v>
                      </c:pt>
                      <c:pt idx="11">
                        <c:v>33.94</c:v>
                      </c:pt>
                      <c:pt idx="12">
                        <c:v>33.94</c:v>
                      </c:pt>
                      <c:pt idx="13">
                        <c:v>33.94</c:v>
                      </c:pt>
                      <c:pt idx="14">
                        <c:v>33.94</c:v>
                      </c:pt>
                      <c:pt idx="15">
                        <c:v>33.94</c:v>
                      </c:pt>
                      <c:pt idx="16">
                        <c:v>33.94</c:v>
                      </c:pt>
                      <c:pt idx="17">
                        <c:v>33.94</c:v>
                      </c:pt>
                      <c:pt idx="18">
                        <c:v>33.94</c:v>
                      </c:pt>
                      <c:pt idx="19">
                        <c:v>33.94</c:v>
                      </c:pt>
                      <c:pt idx="20">
                        <c:v>33.94</c:v>
                      </c:pt>
                      <c:pt idx="21">
                        <c:v>33.94</c:v>
                      </c:pt>
                      <c:pt idx="22">
                        <c:v>33.94</c:v>
                      </c:pt>
                      <c:pt idx="23">
                        <c:v>33.94</c:v>
                      </c:pt>
                      <c:pt idx="24">
                        <c:v>33.94</c:v>
                      </c:pt>
                      <c:pt idx="25">
                        <c:v>33.94</c:v>
                      </c:pt>
                      <c:pt idx="26">
                        <c:v>33.94</c:v>
                      </c:pt>
                      <c:pt idx="27">
                        <c:v>33.94</c:v>
                      </c:pt>
                      <c:pt idx="28">
                        <c:v>33.94</c:v>
                      </c:pt>
                      <c:pt idx="29">
                        <c:v>33.94</c:v>
                      </c:pt>
                      <c:pt idx="30">
                        <c:v>33.94</c:v>
                      </c:pt>
                    </c:numCache>
                  </c:numRef>
                </c:val>
                <c:smooth val="0"/>
                <c:extLst xmlns:c15="http://schemas.microsoft.com/office/drawing/2012/chart">
                  <c:ext xmlns:c16="http://schemas.microsoft.com/office/drawing/2014/chart" uri="{C3380CC4-5D6E-409C-BE32-E72D297353CC}">
                    <c16:uniqueId val="{0000000B-C272-40E0-A585-361F91321FA7}"/>
                  </c:ext>
                </c:extLst>
              </c15:ser>
            </c15:filteredLineSeries>
            <c15:filteredLineSeries>
              <c15:ser>
                <c:idx val="12"/>
                <c:order val="12"/>
                <c:tx>
                  <c:strRef>
                    <c:extLst>
                      <c:ext xmlns:c15="http://schemas.microsoft.com/office/drawing/2012/chart" uri="{02D57815-91ED-43cb-92C2-25804820EDAC}">
                        <c15:formulaRef>
                          <c15:sqref>externo!$AA$3</c15:sqref>
                        </c15:formulaRef>
                      </c:ext>
                    </c:extLst>
                    <c:strCache>
                      <c:ptCount val="1"/>
                      <c:pt idx="0">
                        <c:v>Precio TCC</c:v>
                      </c:pt>
                    </c:strCache>
                  </c:strRef>
                </c:tx>
                <c:spPr>
                  <a:ln w="28575" cap="rnd">
                    <a:solidFill>
                      <a:schemeClr val="accent1">
                        <a:lumMod val="80000"/>
                        <a:lumOff val="20000"/>
                      </a:schemeClr>
                    </a:solidFill>
                    <a:round/>
                  </a:ln>
                  <a:effectLst/>
                </c:spPr>
                <c:marker>
                  <c:symbol val="none"/>
                </c:marker>
                <c:val>
                  <c:numRef>
                    <c:extLst>
                      <c:ext xmlns:c15="http://schemas.microsoft.com/office/drawing/2012/chart" uri="{02D57815-91ED-43cb-92C2-25804820EDAC}">
                        <c15:formulaRef>
                          <c15:sqref>externo!$AA$4:$AA$34</c15:sqref>
                        </c15:formulaRef>
                      </c:ext>
                    </c:extLst>
                    <c:numCache>
                      <c:formatCode>General</c:formatCode>
                      <c:ptCount val="31"/>
                      <c:pt idx="0">
                        <c:v>0</c:v>
                      </c:pt>
                      <c:pt idx="1">
                        <c:v>0</c:v>
                      </c:pt>
                      <c:pt idx="2">
                        <c:v>0</c:v>
                      </c:pt>
                      <c:pt idx="3">
                        <c:v>171.15</c:v>
                      </c:pt>
                      <c:pt idx="4">
                        <c:v>122.80333333333331</c:v>
                      </c:pt>
                      <c:pt idx="5">
                        <c:v>116.05</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C-C272-40E0-A585-361F91321FA7}"/>
                  </c:ext>
                </c:extLst>
              </c15:ser>
            </c15:filteredLineSeries>
            <c15:filteredLineSeries>
              <c15:ser>
                <c:idx val="13"/>
                <c:order val="13"/>
                <c:tx>
                  <c:strRef>
                    <c:extLst>
                      <c:ext xmlns:c15="http://schemas.microsoft.com/office/drawing/2012/chart" uri="{02D57815-91ED-43cb-92C2-25804820EDAC}">
                        <c15:formulaRef>
                          <c15:sqref>externo!$AB$3</c15:sqref>
                        </c15:formulaRef>
                      </c:ext>
                    </c:extLst>
                    <c:strCache>
                      <c:ptCount val="1"/>
                      <c:pt idx="0">
                        <c:v>Precio medio TCC</c:v>
                      </c:pt>
                    </c:strCache>
                  </c:strRef>
                </c:tx>
                <c:spPr>
                  <a:ln w="28575" cap="rnd">
                    <a:solidFill>
                      <a:schemeClr val="accent2">
                        <a:lumMod val="80000"/>
                        <a:lumOff val="20000"/>
                      </a:schemeClr>
                    </a:solidFill>
                    <a:round/>
                  </a:ln>
                  <a:effectLst/>
                </c:spPr>
                <c:marker>
                  <c:symbol val="none"/>
                </c:marker>
                <c:val>
                  <c:numRef>
                    <c:extLst>
                      <c:ext xmlns:c15="http://schemas.microsoft.com/office/drawing/2012/chart" uri="{02D57815-91ED-43cb-92C2-25804820EDAC}">
                        <c15:formulaRef>
                          <c15:sqref>externo!$AB$4:$AB$34</c15:sqref>
                        </c15:formulaRef>
                      </c:ext>
                    </c:extLst>
                    <c:numCache>
                      <c:formatCode>General</c:formatCode>
                      <c:ptCount val="31"/>
                      <c:pt idx="0">
                        <c:v>41</c:v>
                      </c:pt>
                      <c:pt idx="1">
                        <c:v>41</c:v>
                      </c:pt>
                      <c:pt idx="2">
                        <c:v>41</c:v>
                      </c:pt>
                      <c:pt idx="3">
                        <c:v>41</c:v>
                      </c:pt>
                      <c:pt idx="4">
                        <c:v>41</c:v>
                      </c:pt>
                      <c:pt idx="5">
                        <c:v>41</c:v>
                      </c:pt>
                      <c:pt idx="6">
                        <c:v>41</c:v>
                      </c:pt>
                      <c:pt idx="7">
                        <c:v>41</c:v>
                      </c:pt>
                      <c:pt idx="8">
                        <c:v>41</c:v>
                      </c:pt>
                      <c:pt idx="9">
                        <c:v>41</c:v>
                      </c:pt>
                      <c:pt idx="10">
                        <c:v>41</c:v>
                      </c:pt>
                      <c:pt idx="11">
                        <c:v>41</c:v>
                      </c:pt>
                      <c:pt idx="12">
                        <c:v>41</c:v>
                      </c:pt>
                      <c:pt idx="13">
                        <c:v>41</c:v>
                      </c:pt>
                      <c:pt idx="14">
                        <c:v>41</c:v>
                      </c:pt>
                      <c:pt idx="15">
                        <c:v>41</c:v>
                      </c:pt>
                      <c:pt idx="16">
                        <c:v>41</c:v>
                      </c:pt>
                      <c:pt idx="17">
                        <c:v>41</c:v>
                      </c:pt>
                      <c:pt idx="18">
                        <c:v>41</c:v>
                      </c:pt>
                      <c:pt idx="19">
                        <c:v>41</c:v>
                      </c:pt>
                      <c:pt idx="20">
                        <c:v>41</c:v>
                      </c:pt>
                      <c:pt idx="21">
                        <c:v>41</c:v>
                      </c:pt>
                      <c:pt idx="22">
                        <c:v>41</c:v>
                      </c:pt>
                      <c:pt idx="23">
                        <c:v>41</c:v>
                      </c:pt>
                      <c:pt idx="24">
                        <c:v>41</c:v>
                      </c:pt>
                      <c:pt idx="25">
                        <c:v>41</c:v>
                      </c:pt>
                      <c:pt idx="26">
                        <c:v>41</c:v>
                      </c:pt>
                      <c:pt idx="27">
                        <c:v>41</c:v>
                      </c:pt>
                      <c:pt idx="28">
                        <c:v>41</c:v>
                      </c:pt>
                      <c:pt idx="29">
                        <c:v>41</c:v>
                      </c:pt>
                      <c:pt idx="30">
                        <c:v>41</c:v>
                      </c:pt>
                    </c:numCache>
                  </c:numRef>
                </c:val>
                <c:smooth val="0"/>
                <c:extLst xmlns:c15="http://schemas.microsoft.com/office/drawing/2012/chart">
                  <c:ext xmlns:c16="http://schemas.microsoft.com/office/drawing/2014/chart" uri="{C3380CC4-5D6E-409C-BE32-E72D297353CC}">
                    <c16:uniqueId val="{0000000D-C272-40E0-A585-361F91321FA7}"/>
                  </c:ext>
                </c:extLst>
              </c15:ser>
            </c15:filteredLineSeries>
            <c15:filteredLineSeries>
              <c15:ser>
                <c:idx val="14"/>
                <c:order val="14"/>
                <c:tx>
                  <c:strRef>
                    <c:extLst>
                      <c:ext xmlns:c15="http://schemas.microsoft.com/office/drawing/2012/chart" uri="{02D57815-91ED-43cb-92C2-25804820EDAC}">
                        <c15:formulaRef>
                          <c15:sqref>externo!$AC$3</c15:sqref>
                        </c15:formulaRef>
                      </c:ext>
                    </c:extLst>
                    <c:strCache>
                      <c:ptCount val="1"/>
                      <c:pt idx="0">
                        <c:v>Precio HI</c:v>
                      </c:pt>
                    </c:strCache>
                  </c:strRef>
                </c:tx>
                <c:spPr>
                  <a:ln w="28575" cap="rnd">
                    <a:solidFill>
                      <a:schemeClr val="accent3">
                        <a:lumMod val="80000"/>
                        <a:lumOff val="20000"/>
                      </a:schemeClr>
                    </a:solidFill>
                    <a:round/>
                  </a:ln>
                  <a:effectLst/>
                </c:spPr>
                <c:marker>
                  <c:symbol val="none"/>
                </c:marker>
                <c:val>
                  <c:numRef>
                    <c:extLst>
                      <c:ext xmlns:c15="http://schemas.microsoft.com/office/drawing/2012/chart" uri="{02D57815-91ED-43cb-92C2-25804820EDAC}">
                        <c15:formulaRef>
                          <c15:sqref>externo!$AC$4:$AC$34</c15:sqref>
                        </c15:formulaRef>
                      </c:ext>
                    </c:extLst>
                    <c:numCache>
                      <c:formatCode>General</c:formatCode>
                      <c:ptCount val="31"/>
                      <c:pt idx="0">
                        <c:v>2.6019999999999999</c:v>
                      </c:pt>
                      <c:pt idx="1">
                        <c:v>8.3149999999999995</c:v>
                      </c:pt>
                      <c:pt idx="2">
                        <c:v>72.811999999999998</c:v>
                      </c:pt>
                      <c:pt idx="3">
                        <c:v>107.74214285714284</c:v>
                      </c:pt>
                      <c:pt idx="4">
                        <c:v>103.10666666666668</c:v>
                      </c:pt>
                      <c:pt idx="5">
                        <c:v>101.755</c:v>
                      </c:pt>
                      <c:pt idx="6">
                        <c:v>91.826153846153844</c:v>
                      </c:pt>
                      <c:pt idx="7">
                        <c:v>75.531818181818196</c:v>
                      </c:pt>
                      <c:pt idx="8">
                        <c:v>17.494545454545456</c:v>
                      </c:pt>
                      <c:pt idx="9">
                        <c:v>75.406666666666666</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E-C272-40E0-A585-361F91321FA7}"/>
                  </c:ext>
                </c:extLst>
              </c15:ser>
            </c15:filteredLineSeries>
            <c15:filteredLineSeries>
              <c15:ser>
                <c:idx val="15"/>
                <c:order val="15"/>
                <c:tx>
                  <c:strRef>
                    <c:extLst>
                      <c:ext xmlns:c15="http://schemas.microsoft.com/office/drawing/2012/chart" uri="{02D57815-91ED-43cb-92C2-25804820EDAC}">
                        <c15:formulaRef>
                          <c15:sqref>externo!$AD$3</c15:sqref>
                        </c15:formulaRef>
                      </c:ext>
                    </c:extLst>
                    <c:strCache>
                      <c:ptCount val="1"/>
                      <c:pt idx="0">
                        <c:v>Precio medio HI</c:v>
                      </c:pt>
                    </c:strCache>
                  </c:strRef>
                </c:tx>
                <c:spPr>
                  <a:ln w="28575" cap="rnd">
                    <a:solidFill>
                      <a:schemeClr val="accent4">
                        <a:lumMod val="80000"/>
                        <a:lumOff val="20000"/>
                      </a:schemeClr>
                    </a:solidFill>
                    <a:round/>
                  </a:ln>
                  <a:effectLst/>
                </c:spPr>
                <c:marker>
                  <c:symbol val="none"/>
                </c:marker>
                <c:val>
                  <c:numRef>
                    <c:extLst>
                      <c:ext xmlns:c15="http://schemas.microsoft.com/office/drawing/2012/chart" uri="{02D57815-91ED-43cb-92C2-25804820EDAC}">
                        <c15:formulaRef>
                          <c15:sqref>externo!$AD$4:$AD$34</c15:sqref>
                        </c15:formulaRef>
                      </c:ext>
                    </c:extLst>
                    <c:numCache>
                      <c:formatCode>General</c:formatCode>
                      <c:ptCount val="31"/>
                      <c:pt idx="0">
                        <c:v>65.659000000000006</c:v>
                      </c:pt>
                      <c:pt idx="1">
                        <c:v>65.659000000000006</c:v>
                      </c:pt>
                      <c:pt idx="2">
                        <c:v>65.659000000000006</c:v>
                      </c:pt>
                      <c:pt idx="3">
                        <c:v>65.659000000000006</c:v>
                      </c:pt>
                      <c:pt idx="4">
                        <c:v>65.659000000000006</c:v>
                      </c:pt>
                      <c:pt idx="5">
                        <c:v>65.659000000000006</c:v>
                      </c:pt>
                      <c:pt idx="6">
                        <c:v>65.659000000000006</c:v>
                      </c:pt>
                      <c:pt idx="7">
                        <c:v>65.659000000000006</c:v>
                      </c:pt>
                      <c:pt idx="8">
                        <c:v>65.659000000000006</c:v>
                      </c:pt>
                      <c:pt idx="9">
                        <c:v>65.659000000000006</c:v>
                      </c:pt>
                      <c:pt idx="10">
                        <c:v>65.659000000000006</c:v>
                      </c:pt>
                      <c:pt idx="11">
                        <c:v>65.659000000000006</c:v>
                      </c:pt>
                      <c:pt idx="12">
                        <c:v>65.659000000000006</c:v>
                      </c:pt>
                      <c:pt idx="13">
                        <c:v>65.659000000000006</c:v>
                      </c:pt>
                      <c:pt idx="14">
                        <c:v>65.659000000000006</c:v>
                      </c:pt>
                      <c:pt idx="15">
                        <c:v>65.659000000000006</c:v>
                      </c:pt>
                      <c:pt idx="16">
                        <c:v>65.659000000000006</c:v>
                      </c:pt>
                      <c:pt idx="17">
                        <c:v>65.659000000000006</c:v>
                      </c:pt>
                      <c:pt idx="18">
                        <c:v>65.659000000000006</c:v>
                      </c:pt>
                      <c:pt idx="19">
                        <c:v>65.659000000000006</c:v>
                      </c:pt>
                      <c:pt idx="20">
                        <c:v>65.659000000000006</c:v>
                      </c:pt>
                      <c:pt idx="21">
                        <c:v>65.659000000000006</c:v>
                      </c:pt>
                      <c:pt idx="22">
                        <c:v>65.659000000000006</c:v>
                      </c:pt>
                      <c:pt idx="23">
                        <c:v>65.659000000000006</c:v>
                      </c:pt>
                      <c:pt idx="24">
                        <c:v>65.659000000000006</c:v>
                      </c:pt>
                      <c:pt idx="25">
                        <c:v>65.659000000000006</c:v>
                      </c:pt>
                      <c:pt idx="26">
                        <c:v>65.659000000000006</c:v>
                      </c:pt>
                      <c:pt idx="27">
                        <c:v>65.659000000000006</c:v>
                      </c:pt>
                      <c:pt idx="28">
                        <c:v>65.659000000000006</c:v>
                      </c:pt>
                      <c:pt idx="29">
                        <c:v>65.659000000000006</c:v>
                      </c:pt>
                      <c:pt idx="30">
                        <c:v>65.659000000000006</c:v>
                      </c:pt>
                    </c:numCache>
                  </c:numRef>
                </c:val>
                <c:smooth val="0"/>
                <c:extLst xmlns:c15="http://schemas.microsoft.com/office/drawing/2012/chart">
                  <c:ext xmlns:c16="http://schemas.microsoft.com/office/drawing/2014/chart" uri="{C3380CC4-5D6E-409C-BE32-E72D297353CC}">
                    <c16:uniqueId val="{0000000F-C272-40E0-A585-361F91321FA7}"/>
                  </c:ext>
                </c:extLst>
              </c15:ser>
            </c15:filteredLineSeries>
            <c15:filteredLineSeries>
              <c15:ser>
                <c:idx val="16"/>
                <c:order val="16"/>
                <c:tx>
                  <c:strRef>
                    <c:extLst>
                      <c:ext xmlns:c15="http://schemas.microsoft.com/office/drawing/2012/chart" uri="{02D57815-91ED-43cb-92C2-25804820EDAC}">
                        <c15:formulaRef>
                          <c15:sqref>externo!$AE$3</c15:sqref>
                        </c15:formulaRef>
                      </c:ext>
                    </c:extLst>
                    <c:strCache>
                      <c:ptCount val="1"/>
                      <c:pt idx="0">
                        <c:v>demanda grafico</c:v>
                      </c:pt>
                    </c:strCache>
                  </c:strRef>
                </c:tx>
                <c:spPr>
                  <a:ln w="28575" cap="rnd">
                    <a:solidFill>
                      <a:schemeClr val="accent5">
                        <a:lumMod val="80000"/>
                        <a:lumOff val="20000"/>
                      </a:schemeClr>
                    </a:solidFill>
                    <a:round/>
                  </a:ln>
                  <a:effectLst/>
                </c:spPr>
                <c:marker>
                  <c:symbol val="none"/>
                </c:marker>
                <c:val>
                  <c:numRef>
                    <c:extLst>
                      <c:ext xmlns:c15="http://schemas.microsoft.com/office/drawing/2012/chart" uri="{02D57815-91ED-43cb-92C2-25804820EDAC}">
                        <c15:formulaRef>
                          <c15:sqref>externo!$AE$4:$AE$34</c15:sqref>
                        </c15:formulaRef>
                      </c:ext>
                    </c:extLst>
                    <c:numCache>
                      <c:formatCode>General</c:formatCode>
                      <c:ptCount val="31"/>
                      <c:pt idx="0">
                        <c:v>561</c:v>
                      </c:pt>
                      <c:pt idx="1">
                        <c:v>519</c:v>
                      </c:pt>
                      <c:pt idx="2">
                        <c:v>623</c:v>
                      </c:pt>
                      <c:pt idx="3">
                        <c:v>635</c:v>
                      </c:pt>
                      <c:pt idx="4">
                        <c:v>651</c:v>
                      </c:pt>
                      <c:pt idx="5">
                        <c:v>665</c:v>
                      </c:pt>
                      <c:pt idx="6">
                        <c:v>663</c:v>
                      </c:pt>
                      <c:pt idx="7">
                        <c:v>581</c:v>
                      </c:pt>
                      <c:pt idx="8">
                        <c:v>375</c:v>
                      </c:pt>
                      <c:pt idx="9">
                        <c:v>0</c:v>
                      </c:pt>
                      <c:pt idx="10">
                        <c:v>527.29999999999995</c:v>
                      </c:pt>
                      <c:pt idx="11">
                        <c:v>527.29999999999995</c:v>
                      </c:pt>
                      <c:pt idx="12">
                        <c:v>527.29999999999995</c:v>
                      </c:pt>
                      <c:pt idx="13">
                        <c:v>527.29999999999995</c:v>
                      </c:pt>
                      <c:pt idx="14">
                        <c:v>527.29999999999995</c:v>
                      </c:pt>
                      <c:pt idx="15">
                        <c:v>527.29999999999995</c:v>
                      </c:pt>
                      <c:pt idx="16">
                        <c:v>527.29999999999995</c:v>
                      </c:pt>
                      <c:pt idx="17">
                        <c:v>527.29999999999995</c:v>
                      </c:pt>
                      <c:pt idx="18">
                        <c:v>527.29999999999995</c:v>
                      </c:pt>
                      <c:pt idx="19">
                        <c:v>527.29999999999995</c:v>
                      </c:pt>
                      <c:pt idx="20">
                        <c:v>527.29999999999995</c:v>
                      </c:pt>
                      <c:pt idx="21">
                        <c:v>527.29999999999995</c:v>
                      </c:pt>
                      <c:pt idx="22">
                        <c:v>527.29999999999995</c:v>
                      </c:pt>
                      <c:pt idx="23">
                        <c:v>527.29999999999995</c:v>
                      </c:pt>
                      <c:pt idx="24">
                        <c:v>527.29999999999995</c:v>
                      </c:pt>
                      <c:pt idx="25">
                        <c:v>527.29999999999995</c:v>
                      </c:pt>
                      <c:pt idx="26">
                        <c:v>527.29999999999995</c:v>
                      </c:pt>
                      <c:pt idx="27">
                        <c:v>527.29999999999995</c:v>
                      </c:pt>
                      <c:pt idx="28">
                        <c:v>527.29999999999995</c:v>
                      </c:pt>
                      <c:pt idx="29">
                        <c:v>527.29999999999995</c:v>
                      </c:pt>
                      <c:pt idx="30">
                        <c:v>527.29999999999995</c:v>
                      </c:pt>
                    </c:numCache>
                  </c:numRef>
                </c:val>
                <c:smooth val="0"/>
                <c:extLst xmlns:c15="http://schemas.microsoft.com/office/drawing/2012/chart">
                  <c:ext xmlns:c16="http://schemas.microsoft.com/office/drawing/2014/chart" uri="{C3380CC4-5D6E-409C-BE32-E72D297353CC}">
                    <c16:uniqueId val="{00000010-C272-40E0-A585-361F91321FA7}"/>
                  </c:ext>
                </c:extLst>
              </c15:ser>
            </c15:filteredLineSeries>
          </c:ext>
        </c:extLst>
      </c:lineChart>
      <c:catAx>
        <c:axId val="796336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306093343"/>
        <c:crosses val="autoZero"/>
        <c:auto val="1"/>
        <c:lblAlgn val="ctr"/>
        <c:lblOffset val="100"/>
        <c:noMultiLvlLbl val="0"/>
      </c:catAx>
      <c:valAx>
        <c:axId val="30609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796336896"/>
        <c:crosses val="autoZero"/>
        <c:crossBetween val="between"/>
      </c:valAx>
      <c:valAx>
        <c:axId val="306049199"/>
        <c:scaling>
          <c:orientation val="minMax"/>
          <c:max val="2"/>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400" b="0" i="0" u="none" strike="noStrike" kern="1200" baseline="0">
                <a:solidFill>
                  <a:schemeClr val="bg1"/>
                </a:solidFill>
                <a:latin typeface="Arial Narrow" panose="020B0606020202030204" pitchFamily="34" charset="0"/>
                <a:ea typeface="+mn-ea"/>
                <a:cs typeface="+mn-cs"/>
              </a:defRPr>
            </a:pPr>
            <a:endParaRPr lang="es-ES"/>
          </a:p>
        </c:txPr>
        <c:crossAx val="327395439"/>
        <c:crosses val="max"/>
        <c:crossBetween val="between"/>
      </c:valAx>
      <c:catAx>
        <c:axId val="327395439"/>
        <c:scaling>
          <c:orientation val="minMax"/>
        </c:scaling>
        <c:delete val="1"/>
        <c:axPos val="b"/>
        <c:majorTickMark val="out"/>
        <c:minorTickMark val="none"/>
        <c:tickLblPos val="nextTo"/>
        <c:crossAx val="30604919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userShapes r:id="rId3"/>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2062164987398E-2"/>
          <c:y val="0"/>
          <c:w val="0.90863576366323995"/>
          <c:h val="1"/>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E534-4513-B4AD-312A567A7824}"/>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E534-4513-B4AD-312A567A7824}"/>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E534-4513-B4AD-312A567A7824}"/>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E534-4513-B4AD-312A567A7824}"/>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E534-4513-B4AD-312A567A7824}"/>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E534-4513-B4AD-312A567A7824}"/>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E534-4513-B4AD-312A567A7824}"/>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E534-4513-B4AD-312A567A7824}"/>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E534-4513-B4AD-312A567A7824}"/>
              </c:ext>
            </c:extLst>
          </c:dPt>
          <c:dPt>
            <c:idx val="9"/>
            <c:bubble3D val="0"/>
            <c:spPr>
              <a:noFill/>
              <a:ln w="19050">
                <a:noFill/>
              </a:ln>
              <a:effectLst/>
            </c:spPr>
            <c:extLst>
              <c:ext xmlns:c16="http://schemas.microsoft.com/office/drawing/2014/chart" uri="{C3380CC4-5D6E-409C-BE32-E72D297353CC}">
                <c16:uniqueId val="{00000013-E534-4513-B4AD-312A567A7824}"/>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E534-4513-B4AD-312A567A7824}"/>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E534-4513-B4AD-312A567A7824}"/>
              </c:ext>
            </c:extLst>
          </c:dPt>
          <c:xVal>
            <c:numRef>
              <c:f>[1]omie_dinamic_dia!$X$11:$X$12</c:f>
              <c:numCache>
                <c:formatCode>General</c:formatCode>
                <c:ptCount val="2"/>
                <c:pt idx="0">
                  <c:v>0</c:v>
                </c:pt>
                <c:pt idx="1">
                  <c:v>0.762442511011448</c:v>
                </c:pt>
              </c:numCache>
            </c:numRef>
          </c:xVal>
          <c:yVal>
            <c:numRef>
              <c:f>[1]omie_dinamic_dia!$Y$11:$Y$12</c:f>
              <c:numCache>
                <c:formatCode>General</c:formatCode>
                <c:ptCount val="2"/>
                <c:pt idx="0">
                  <c:v>0</c:v>
                </c:pt>
                <c:pt idx="1">
                  <c:v>0.64705596156944423</c:v>
                </c:pt>
              </c:numCache>
            </c:numRef>
          </c:yVal>
          <c:smooth val="1"/>
          <c:extLst>
            <c:ext xmlns:c16="http://schemas.microsoft.com/office/drawing/2014/chart" uri="{C3380CC4-5D6E-409C-BE32-E72D297353CC}">
              <c16:uniqueId val="{00000017-E534-4513-B4AD-312A567A7824}"/>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7851924982527E-2"/>
          <c:y val="6.8872807634068611E-2"/>
          <c:w val="0.8881918832655995"/>
          <c:h val="0.69281770511755181"/>
        </c:manualLayout>
      </c:layout>
      <c:doughnutChart>
        <c:varyColors val="1"/>
        <c:ser>
          <c:idx val="1"/>
          <c:order val="0"/>
          <c:tx>
            <c:v>a</c:v>
          </c:tx>
          <c:spPr>
            <a:solidFill>
              <a:schemeClr val="accent1">
                <a:lumMod val="50000"/>
              </a:schemeClr>
            </a:solidFill>
          </c:spPr>
          <c:explosion val="5"/>
          <c:dPt>
            <c:idx val="0"/>
            <c:bubble3D val="0"/>
            <c:spPr>
              <a:solidFill>
                <a:schemeClr val="accent2">
                  <a:lumMod val="20000"/>
                  <a:lumOff val="80000"/>
                </a:schemeClr>
              </a:solidFill>
            </c:spPr>
            <c:extLst>
              <c:ext xmlns:c16="http://schemas.microsoft.com/office/drawing/2014/chart" uri="{C3380CC4-5D6E-409C-BE32-E72D297353CC}">
                <c16:uniqueId val="{00000001-75D5-40C3-81E8-E877B15A0EC0}"/>
              </c:ext>
            </c:extLst>
          </c:dPt>
          <c:dPt>
            <c:idx val="1"/>
            <c:bubble3D val="0"/>
            <c:spPr>
              <a:solidFill>
                <a:schemeClr val="accent2">
                  <a:lumMod val="20000"/>
                  <a:lumOff val="80000"/>
                </a:schemeClr>
              </a:solidFill>
            </c:spPr>
            <c:extLst>
              <c:ext xmlns:c16="http://schemas.microsoft.com/office/drawing/2014/chart" uri="{C3380CC4-5D6E-409C-BE32-E72D297353CC}">
                <c16:uniqueId val="{00000003-75D5-40C3-81E8-E877B15A0EC0}"/>
              </c:ext>
            </c:extLst>
          </c:dPt>
          <c:dPt>
            <c:idx val="2"/>
            <c:bubble3D val="0"/>
            <c:spPr>
              <a:solidFill>
                <a:schemeClr val="accent2">
                  <a:lumMod val="40000"/>
                  <a:lumOff val="60000"/>
                </a:schemeClr>
              </a:solidFill>
            </c:spPr>
            <c:extLst>
              <c:ext xmlns:c16="http://schemas.microsoft.com/office/drawing/2014/chart" uri="{C3380CC4-5D6E-409C-BE32-E72D297353CC}">
                <c16:uniqueId val="{00000005-75D5-40C3-81E8-E877B15A0EC0}"/>
              </c:ext>
            </c:extLst>
          </c:dPt>
          <c:dPt>
            <c:idx val="3"/>
            <c:bubble3D val="0"/>
            <c:spPr>
              <a:solidFill>
                <a:schemeClr val="accent2">
                  <a:lumMod val="40000"/>
                  <a:lumOff val="60000"/>
                </a:schemeClr>
              </a:solidFill>
            </c:spPr>
            <c:extLst>
              <c:ext xmlns:c16="http://schemas.microsoft.com/office/drawing/2014/chart" uri="{C3380CC4-5D6E-409C-BE32-E72D297353CC}">
                <c16:uniqueId val="{00000007-75D5-40C3-81E8-E877B15A0EC0}"/>
              </c:ext>
            </c:extLst>
          </c:dPt>
          <c:dPt>
            <c:idx val="4"/>
            <c:bubble3D val="0"/>
            <c:spPr>
              <a:solidFill>
                <a:schemeClr val="accent2">
                  <a:lumMod val="60000"/>
                  <a:lumOff val="40000"/>
                </a:schemeClr>
              </a:solidFill>
            </c:spPr>
            <c:extLst>
              <c:ext xmlns:c16="http://schemas.microsoft.com/office/drawing/2014/chart" uri="{C3380CC4-5D6E-409C-BE32-E72D297353CC}">
                <c16:uniqueId val="{00000009-75D5-40C3-81E8-E877B15A0EC0}"/>
              </c:ext>
            </c:extLst>
          </c:dPt>
          <c:dPt>
            <c:idx val="5"/>
            <c:bubble3D val="0"/>
            <c:spPr>
              <a:solidFill>
                <a:schemeClr val="accent2">
                  <a:lumMod val="60000"/>
                  <a:lumOff val="40000"/>
                </a:schemeClr>
              </a:solidFill>
            </c:spPr>
            <c:extLst>
              <c:ext xmlns:c16="http://schemas.microsoft.com/office/drawing/2014/chart" uri="{C3380CC4-5D6E-409C-BE32-E72D297353CC}">
                <c16:uniqueId val="{0000000B-75D5-40C3-81E8-E877B15A0EC0}"/>
              </c:ext>
            </c:extLst>
          </c:dPt>
          <c:dPt>
            <c:idx val="6"/>
            <c:bubble3D val="0"/>
            <c:spPr>
              <a:solidFill>
                <a:schemeClr val="accent2">
                  <a:lumMod val="75000"/>
                </a:schemeClr>
              </a:solidFill>
            </c:spPr>
            <c:extLst>
              <c:ext xmlns:c16="http://schemas.microsoft.com/office/drawing/2014/chart" uri="{C3380CC4-5D6E-409C-BE32-E72D297353CC}">
                <c16:uniqueId val="{0000000D-75D5-40C3-81E8-E877B15A0EC0}"/>
              </c:ext>
            </c:extLst>
          </c:dPt>
          <c:dPt>
            <c:idx val="7"/>
            <c:bubble3D val="0"/>
            <c:spPr>
              <a:solidFill>
                <a:schemeClr val="accent2">
                  <a:lumMod val="75000"/>
                </a:schemeClr>
              </a:solidFill>
            </c:spPr>
            <c:extLst>
              <c:ext xmlns:c16="http://schemas.microsoft.com/office/drawing/2014/chart" uri="{C3380CC4-5D6E-409C-BE32-E72D297353CC}">
                <c16:uniqueId val="{0000000F-75D5-40C3-81E8-E877B15A0EC0}"/>
              </c:ext>
            </c:extLst>
          </c:dPt>
          <c:dPt>
            <c:idx val="8"/>
            <c:bubble3D val="0"/>
            <c:spPr>
              <a:solidFill>
                <a:schemeClr val="accent2">
                  <a:lumMod val="50000"/>
                </a:schemeClr>
              </a:solidFill>
            </c:spPr>
            <c:extLst>
              <c:ext xmlns:c16="http://schemas.microsoft.com/office/drawing/2014/chart" uri="{C3380CC4-5D6E-409C-BE32-E72D297353CC}">
                <c16:uniqueId val="{00000011-75D5-40C3-81E8-E877B15A0EC0}"/>
              </c:ext>
            </c:extLst>
          </c:dPt>
          <c:dPt>
            <c:idx val="9"/>
            <c:bubble3D val="0"/>
            <c:spPr>
              <a:noFill/>
            </c:spPr>
            <c:extLst>
              <c:ext xmlns:c16="http://schemas.microsoft.com/office/drawing/2014/chart" uri="{C3380CC4-5D6E-409C-BE32-E72D297353CC}">
                <c16:uniqueId val="{00000013-75D5-40C3-81E8-E877B15A0EC0}"/>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75D5-40C3-81E8-E877B15A0EC0}"/>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[1]omie_dinamic_dia!$AB$20:$AB$21</c:f>
              <c:numCache>
                <c:formatCode>General</c:formatCode>
                <c:ptCount val="2"/>
                <c:pt idx="0">
                  <c:v>0</c:v>
                </c:pt>
                <c:pt idx="1">
                  <c:v>-0.98768834059513777</c:v>
                </c:pt>
              </c:numCache>
            </c:numRef>
          </c:xVal>
          <c:yVal>
            <c:numRef>
              <c:f>[1]omie_dinamic_dia!$AC$20:$AC$21</c:f>
              <c:numCache>
                <c:formatCode>General</c:formatCode>
                <c:ptCount val="2"/>
                <c:pt idx="0">
                  <c:v>0</c:v>
                </c:pt>
                <c:pt idx="1">
                  <c:v>0.15643446504023087</c:v>
                </c:pt>
              </c:numCache>
            </c:numRef>
          </c:yVal>
          <c:smooth val="1"/>
          <c:extLst>
            <c:ext xmlns:c16="http://schemas.microsoft.com/office/drawing/2014/chart" uri="{C3380CC4-5D6E-409C-BE32-E72D297353CC}">
              <c16:uniqueId val="{00000015-75D5-40C3-81E8-E877B15A0EC0}"/>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962320497611979E-2"/>
          <c:y val="3.5181020279236579E-2"/>
          <c:w val="0.96337578488856979"/>
          <c:h val="0.8411346311549518"/>
        </c:manualLayout>
      </c:layout>
      <c:doughnutChart>
        <c:varyColors val="1"/>
        <c:ser>
          <c:idx val="1"/>
          <c:order val="0"/>
          <c:tx>
            <c:v>a</c:v>
          </c:tx>
          <c:explosion val="5"/>
          <c:dPt>
            <c:idx val="0"/>
            <c:bubble3D val="0"/>
            <c:spPr>
              <a:solidFill>
                <a:schemeClr val="accent1">
                  <a:lumMod val="20000"/>
                  <a:lumOff val="80000"/>
                </a:schemeClr>
              </a:solidFill>
            </c:spPr>
            <c:extLst>
              <c:ext xmlns:c16="http://schemas.microsoft.com/office/drawing/2014/chart" uri="{C3380CC4-5D6E-409C-BE32-E72D297353CC}">
                <c16:uniqueId val="{00000001-B6A7-4F4F-BCD3-E4F1D7BE7DEC}"/>
              </c:ext>
            </c:extLst>
          </c:dPt>
          <c:dPt>
            <c:idx val="1"/>
            <c:bubble3D val="0"/>
            <c:spPr>
              <a:solidFill>
                <a:schemeClr val="accent1">
                  <a:lumMod val="20000"/>
                  <a:lumOff val="80000"/>
                </a:schemeClr>
              </a:solidFill>
            </c:spPr>
            <c:extLst>
              <c:ext xmlns:c16="http://schemas.microsoft.com/office/drawing/2014/chart" uri="{C3380CC4-5D6E-409C-BE32-E72D297353CC}">
                <c16:uniqueId val="{00000003-B6A7-4F4F-BCD3-E4F1D7BE7DEC}"/>
              </c:ext>
            </c:extLst>
          </c:dPt>
          <c:dPt>
            <c:idx val="2"/>
            <c:bubble3D val="0"/>
            <c:spPr>
              <a:solidFill>
                <a:schemeClr val="accent1">
                  <a:lumMod val="40000"/>
                  <a:lumOff val="60000"/>
                </a:schemeClr>
              </a:solidFill>
            </c:spPr>
            <c:extLst>
              <c:ext xmlns:c16="http://schemas.microsoft.com/office/drawing/2014/chart" uri="{C3380CC4-5D6E-409C-BE32-E72D297353CC}">
                <c16:uniqueId val="{00000005-B6A7-4F4F-BCD3-E4F1D7BE7DEC}"/>
              </c:ext>
            </c:extLst>
          </c:dPt>
          <c:dPt>
            <c:idx val="3"/>
            <c:bubble3D val="0"/>
            <c:spPr>
              <a:solidFill>
                <a:schemeClr val="accent1">
                  <a:lumMod val="40000"/>
                  <a:lumOff val="60000"/>
                </a:schemeClr>
              </a:solidFill>
            </c:spPr>
            <c:extLst>
              <c:ext xmlns:c16="http://schemas.microsoft.com/office/drawing/2014/chart" uri="{C3380CC4-5D6E-409C-BE32-E72D297353CC}">
                <c16:uniqueId val="{00000007-B6A7-4F4F-BCD3-E4F1D7BE7DEC}"/>
              </c:ext>
            </c:extLst>
          </c:dPt>
          <c:dPt>
            <c:idx val="4"/>
            <c:bubble3D val="0"/>
            <c:spPr>
              <a:solidFill>
                <a:schemeClr val="accent1">
                  <a:lumMod val="60000"/>
                  <a:lumOff val="40000"/>
                </a:schemeClr>
              </a:solidFill>
            </c:spPr>
            <c:extLst>
              <c:ext xmlns:c16="http://schemas.microsoft.com/office/drawing/2014/chart" uri="{C3380CC4-5D6E-409C-BE32-E72D297353CC}">
                <c16:uniqueId val="{00000009-B6A7-4F4F-BCD3-E4F1D7BE7DEC}"/>
              </c:ext>
            </c:extLst>
          </c:dPt>
          <c:dPt>
            <c:idx val="5"/>
            <c:bubble3D val="0"/>
            <c:spPr>
              <a:solidFill>
                <a:schemeClr val="accent1">
                  <a:lumMod val="60000"/>
                  <a:lumOff val="40000"/>
                </a:schemeClr>
              </a:solidFill>
            </c:spPr>
            <c:extLst>
              <c:ext xmlns:c16="http://schemas.microsoft.com/office/drawing/2014/chart" uri="{C3380CC4-5D6E-409C-BE32-E72D297353CC}">
                <c16:uniqueId val="{0000000B-B6A7-4F4F-BCD3-E4F1D7BE7DEC}"/>
              </c:ext>
            </c:extLst>
          </c:dPt>
          <c:dPt>
            <c:idx val="6"/>
            <c:bubble3D val="0"/>
            <c:spPr>
              <a:solidFill>
                <a:schemeClr val="accent1">
                  <a:lumMod val="75000"/>
                </a:schemeClr>
              </a:solidFill>
            </c:spPr>
            <c:extLst>
              <c:ext xmlns:c16="http://schemas.microsoft.com/office/drawing/2014/chart" uri="{C3380CC4-5D6E-409C-BE32-E72D297353CC}">
                <c16:uniqueId val="{0000000D-B6A7-4F4F-BCD3-E4F1D7BE7DEC}"/>
              </c:ext>
            </c:extLst>
          </c:dPt>
          <c:dPt>
            <c:idx val="7"/>
            <c:bubble3D val="0"/>
            <c:spPr>
              <a:solidFill>
                <a:schemeClr val="accent1">
                  <a:lumMod val="75000"/>
                </a:schemeClr>
              </a:solidFill>
            </c:spPr>
            <c:extLst>
              <c:ext xmlns:c16="http://schemas.microsoft.com/office/drawing/2014/chart" uri="{C3380CC4-5D6E-409C-BE32-E72D297353CC}">
                <c16:uniqueId val="{0000000F-B6A7-4F4F-BCD3-E4F1D7BE7DEC}"/>
              </c:ext>
            </c:extLst>
          </c:dPt>
          <c:dPt>
            <c:idx val="8"/>
            <c:bubble3D val="0"/>
            <c:spPr>
              <a:solidFill>
                <a:schemeClr val="accent1">
                  <a:lumMod val="50000"/>
                </a:schemeClr>
              </a:solidFill>
            </c:spPr>
            <c:extLst>
              <c:ext xmlns:c16="http://schemas.microsoft.com/office/drawing/2014/chart" uri="{C3380CC4-5D6E-409C-BE32-E72D297353CC}">
                <c16:uniqueId val="{00000011-B6A7-4F4F-BCD3-E4F1D7BE7DEC}"/>
              </c:ext>
            </c:extLst>
          </c:dPt>
          <c:dPt>
            <c:idx val="9"/>
            <c:bubble3D val="0"/>
            <c:spPr>
              <a:noFill/>
            </c:spPr>
            <c:extLst>
              <c:ext xmlns:c16="http://schemas.microsoft.com/office/drawing/2014/chart" uri="{C3380CC4-5D6E-409C-BE32-E72D297353CC}">
                <c16:uniqueId val="{00000013-B6A7-4F4F-BCD3-E4F1D7BE7DEC}"/>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B6A7-4F4F-BCD3-E4F1D7BE7DEC}"/>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[1]omie_dinamic_dia!$X$37:$X$38</c:f>
              <c:numCache>
                <c:formatCode>General</c:formatCode>
                <c:ptCount val="2"/>
                <c:pt idx="0">
                  <c:v>0</c:v>
                </c:pt>
                <c:pt idx="1">
                  <c:v>0.70710678118654746</c:v>
                </c:pt>
              </c:numCache>
            </c:numRef>
          </c:xVal>
          <c:yVal>
            <c:numRef>
              <c:f>[1]omie_dinamic_dia!$Y$37:$Y$38</c:f>
              <c:numCache>
                <c:formatCode>General</c:formatCode>
                <c:ptCount val="2"/>
                <c:pt idx="0">
                  <c:v>0</c:v>
                </c:pt>
                <c:pt idx="1">
                  <c:v>0.70710678118654757</c:v>
                </c:pt>
              </c:numCache>
            </c:numRef>
          </c:yVal>
          <c:smooth val="1"/>
          <c:extLst>
            <c:ext xmlns:c16="http://schemas.microsoft.com/office/drawing/2014/chart" uri="{C3380CC4-5D6E-409C-BE32-E72D297353CC}">
              <c16:uniqueId val="{00000015-B6A7-4F4F-BCD3-E4F1D7BE7DEC}"/>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ndard"/>
        <c:varyColors val="0"/>
        <c:ser>
          <c:idx val="0"/>
          <c:order val="0"/>
          <c:tx>
            <c:v>demanda</c:v>
          </c:tx>
          <c:spPr>
            <a:solidFill>
              <a:schemeClr val="accent1">
                <a:lumMod val="20000"/>
                <a:lumOff val="80000"/>
              </a:schemeClr>
            </a:solidFill>
            <a:ln>
              <a:noFill/>
            </a:ln>
            <a:effectLst/>
          </c:spPr>
          <c:cat>
            <c:numRef>
              <c:f>externo!$O$4:$O$34</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externo!$X$4:$X$34</c:f>
              <c:numCache>
                <c:formatCode>General</c:formatCode>
                <c:ptCount val="31"/>
                <c:pt idx="0">
                  <c:v>561</c:v>
                </c:pt>
                <c:pt idx="1">
                  <c:v>519</c:v>
                </c:pt>
                <c:pt idx="2">
                  <c:v>623</c:v>
                </c:pt>
                <c:pt idx="3">
                  <c:v>635</c:v>
                </c:pt>
                <c:pt idx="4">
                  <c:v>651</c:v>
                </c:pt>
                <c:pt idx="5">
                  <c:v>665</c:v>
                </c:pt>
                <c:pt idx="6">
                  <c:v>663</c:v>
                </c:pt>
                <c:pt idx="7">
                  <c:v>581</c:v>
                </c:pt>
                <c:pt idx="8">
                  <c:v>375</c:v>
                </c:pt>
                <c:pt idx="9">
                  <c:v>0</c:v>
                </c:pt>
              </c:numCache>
            </c:numRef>
          </c:val>
          <c:extLst>
            <c:ext xmlns:c16="http://schemas.microsoft.com/office/drawing/2014/chart" uri="{C3380CC4-5D6E-409C-BE32-E72D297353CC}">
              <c16:uniqueId val="{00000000-1508-4D6F-AE0C-B15025EFBF7B}"/>
            </c:ext>
          </c:extLst>
        </c:ser>
        <c:dLbls>
          <c:showLegendKey val="0"/>
          <c:showVal val="0"/>
          <c:showCatName val="0"/>
          <c:showSerName val="0"/>
          <c:showPercent val="0"/>
          <c:showBubbleSize val="0"/>
        </c:dLbls>
        <c:axId val="2080834575"/>
        <c:axId val="2080836015"/>
      </c:areaChart>
      <c:catAx>
        <c:axId val="2080834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2080836015"/>
        <c:crosses val="autoZero"/>
        <c:auto val="1"/>
        <c:lblAlgn val="ctr"/>
        <c:lblOffset val="100"/>
        <c:noMultiLvlLbl val="0"/>
      </c:catAx>
      <c:valAx>
        <c:axId val="20808360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208083457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34.5</c:v>
                </c:pt>
                <c:pt idx="1">
                  <c:v>33.850000000000016</c:v>
                </c:pt>
                <c:pt idx="2">
                  <c:v>34.850000000000016</c:v>
                </c:pt>
                <c:pt idx="3">
                  <c:v>36.47000000000002</c:v>
                </c:pt>
                <c:pt idx="4">
                  <c:v>34.79999999999999</c:v>
                </c:pt>
                <c:pt idx="5">
                  <c:v>34.039999999999992</c:v>
                </c:pt>
                <c:pt idx="6">
                  <c:v>33.960000000000008</c:v>
                </c:pt>
                <c:pt idx="7">
                  <c:v>33.399999999999984</c:v>
                </c:pt>
                <c:pt idx="8">
                  <c:v>33.77999999999998</c:v>
                </c:pt>
                <c:pt idx="9">
                  <c:v>33.860000000000007</c:v>
                </c:pt>
              </c:numCache>
            </c:numRef>
          </c:val>
          <c:smooth val="0"/>
          <c:extLst>
            <c:ext xmlns:c16="http://schemas.microsoft.com/office/drawing/2014/chart" uri="{C3380CC4-5D6E-409C-BE32-E72D297353CC}">
              <c16:uniqueId val="{00000000-787B-4250-B53A-9B1A3179A193}"/>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34.35</c:v>
                </c:pt>
                <c:pt idx="1">
                  <c:v>34.35</c:v>
                </c:pt>
                <c:pt idx="2">
                  <c:v>34.35</c:v>
                </c:pt>
                <c:pt idx="3">
                  <c:v>34.35</c:v>
                </c:pt>
                <c:pt idx="4">
                  <c:v>34.35</c:v>
                </c:pt>
                <c:pt idx="5">
                  <c:v>34.35</c:v>
                </c:pt>
                <c:pt idx="6">
                  <c:v>34.35</c:v>
                </c:pt>
                <c:pt idx="7">
                  <c:v>34.35</c:v>
                </c:pt>
                <c:pt idx="8">
                  <c:v>34.35</c:v>
                </c:pt>
                <c:pt idx="9">
                  <c:v>34.35</c:v>
                </c:pt>
                <c:pt idx="10">
                  <c:v>34.35</c:v>
                </c:pt>
                <c:pt idx="11">
                  <c:v>34.35</c:v>
                </c:pt>
                <c:pt idx="12">
                  <c:v>34.35</c:v>
                </c:pt>
                <c:pt idx="13">
                  <c:v>34.35</c:v>
                </c:pt>
                <c:pt idx="14">
                  <c:v>34.35</c:v>
                </c:pt>
                <c:pt idx="15">
                  <c:v>34.35</c:v>
                </c:pt>
                <c:pt idx="16">
                  <c:v>34.35</c:v>
                </c:pt>
                <c:pt idx="17">
                  <c:v>34.35</c:v>
                </c:pt>
                <c:pt idx="18">
                  <c:v>34.35</c:v>
                </c:pt>
                <c:pt idx="19">
                  <c:v>34.35</c:v>
                </c:pt>
                <c:pt idx="20">
                  <c:v>34.35</c:v>
                </c:pt>
                <c:pt idx="21">
                  <c:v>34.35</c:v>
                </c:pt>
                <c:pt idx="22">
                  <c:v>34.35</c:v>
                </c:pt>
                <c:pt idx="23">
                  <c:v>34.35</c:v>
                </c:pt>
                <c:pt idx="24">
                  <c:v>34.35</c:v>
                </c:pt>
                <c:pt idx="25">
                  <c:v>34.35</c:v>
                </c:pt>
                <c:pt idx="26">
                  <c:v>34.35</c:v>
                </c:pt>
                <c:pt idx="27">
                  <c:v>34.35</c:v>
                </c:pt>
                <c:pt idx="28">
                  <c:v>34.35</c:v>
                </c:pt>
                <c:pt idx="29">
                  <c:v>34.35</c:v>
                </c:pt>
              </c:numCache>
            </c:numRef>
          </c:val>
          <c:smooth val="0"/>
          <c:extLst>
            <c:ext xmlns:c16="http://schemas.microsoft.com/office/drawing/2014/chart" uri="{C3380CC4-5D6E-409C-BE32-E72D297353CC}">
              <c16:uniqueId val="{00000001-787B-4250-B53A-9B1A3179A193}"/>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787B-4250-B53A-9B1A3179A193}"/>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1.9475517464052912E-2"/>
          <c:y val="8.128324638235003E-2"/>
          <c:w val="0.93198015508685794"/>
          <c:h val="0.1622855624646281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014720349947366E-2"/>
          <c:y val="6.8055977613780405E-2"/>
          <c:w val="0.9104172631515498"/>
          <c:h val="0.88044071272855695"/>
        </c:manualLayout>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63.39</c:v>
                </c:pt>
                <c:pt idx="1">
                  <c:v>60.61</c:v>
                </c:pt>
                <c:pt idx="2">
                  <c:v>58.94</c:v>
                </c:pt>
                <c:pt idx="3">
                  <c:v>57.06</c:v>
                </c:pt>
                <c:pt idx="4">
                  <c:v>57.77</c:v>
                </c:pt>
                <c:pt idx="5">
                  <c:v>59.8</c:v>
                </c:pt>
                <c:pt idx="6">
                  <c:v>69.209999999999994</c:v>
                </c:pt>
                <c:pt idx="7">
                  <c:v>73.760000000000005</c:v>
                </c:pt>
                <c:pt idx="8">
                  <c:v>64.87</c:v>
                </c:pt>
                <c:pt idx="9">
                  <c:v>55.95</c:v>
                </c:pt>
                <c:pt idx="10">
                  <c:v>44.11</c:v>
                </c:pt>
                <c:pt idx="11">
                  <c:v>29.82</c:v>
                </c:pt>
                <c:pt idx="12">
                  <c:v>26.9</c:v>
                </c:pt>
                <c:pt idx="13">
                  <c:v>25.7</c:v>
                </c:pt>
                <c:pt idx="14">
                  <c:v>22.4</c:v>
                </c:pt>
                <c:pt idx="15">
                  <c:v>21.15</c:v>
                </c:pt>
                <c:pt idx="16">
                  <c:v>21.81</c:v>
                </c:pt>
                <c:pt idx="17">
                  <c:v>27.27</c:v>
                </c:pt>
                <c:pt idx="18">
                  <c:v>39.770000000000003</c:v>
                </c:pt>
                <c:pt idx="19">
                  <c:v>54.57</c:v>
                </c:pt>
                <c:pt idx="20">
                  <c:v>74.069999999999993</c:v>
                </c:pt>
                <c:pt idx="21">
                  <c:v>95.31</c:v>
                </c:pt>
                <c:pt idx="22">
                  <c:v>87.43</c:v>
                </c:pt>
                <c:pt idx="23">
                  <c:v>77.349999999999994</c:v>
                </c:pt>
              </c:numCache>
            </c:numRef>
          </c:val>
          <c:smooth val="0"/>
          <c:extLst>
            <c:ext xmlns:c16="http://schemas.microsoft.com/office/drawing/2014/chart" uri="{C3380CC4-5D6E-409C-BE32-E72D297353CC}">
              <c16:uniqueId val="{00000000-7855-4EDF-9728-860E8E04BDD4}"/>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14.12</c:v>
                </c:pt>
                <c:pt idx="1">
                  <c:v>26.95</c:v>
                </c:pt>
                <c:pt idx="2">
                  <c:v>8.6199999999999992</c:v>
                </c:pt>
                <c:pt idx="3">
                  <c:v>6.45</c:v>
                </c:pt>
                <c:pt idx="4">
                  <c:v>34.22</c:v>
                </c:pt>
                <c:pt idx="5">
                  <c:v>10.35</c:v>
                </c:pt>
                <c:pt idx="6">
                  <c:v>41.08</c:v>
                </c:pt>
                <c:pt idx="7">
                  <c:v>3.83</c:v>
                </c:pt>
                <c:pt idx="8">
                  <c:v>3.25</c:v>
                </c:pt>
                <c:pt idx="10">
                  <c:v>28.68</c:v>
                </c:pt>
                <c:pt idx="11">
                  <c:v>19.100000000000001</c:v>
                </c:pt>
                <c:pt idx="12">
                  <c:v>22.96</c:v>
                </c:pt>
                <c:pt idx="13">
                  <c:v>25.79</c:v>
                </c:pt>
                <c:pt idx="14">
                  <c:v>21.94</c:v>
                </c:pt>
                <c:pt idx="15">
                  <c:v>20.059999999999999</c:v>
                </c:pt>
                <c:pt idx="16">
                  <c:v>20.170000000000002</c:v>
                </c:pt>
                <c:pt idx="17">
                  <c:v>15.11</c:v>
                </c:pt>
                <c:pt idx="18">
                  <c:v>46.15</c:v>
                </c:pt>
                <c:pt idx="19">
                  <c:v>24.07</c:v>
                </c:pt>
                <c:pt idx="20">
                  <c:v>7.3</c:v>
                </c:pt>
                <c:pt idx="21">
                  <c:v>7.2</c:v>
                </c:pt>
                <c:pt idx="22">
                  <c:v>69.64</c:v>
                </c:pt>
              </c:numCache>
            </c:numRef>
          </c:yVal>
          <c:smooth val="0"/>
          <c:extLst>
            <c:ext xmlns:c16="http://schemas.microsoft.com/office/drawing/2014/chart" uri="{C3380CC4-5D6E-409C-BE32-E72D297353CC}">
              <c16:uniqueId val="{00000002-7855-4EDF-9728-860E8E04BDD4}"/>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8">
                  <c:v>120.22</c:v>
                </c:pt>
                <c:pt idx="20">
                  <c:v>119.68</c:v>
                </c:pt>
                <c:pt idx="21">
                  <c:v>171.15</c:v>
                </c:pt>
                <c:pt idx="22">
                  <c:v>120.47</c:v>
                </c:pt>
              </c:numCache>
            </c:numRef>
          </c:yVal>
          <c:smooth val="0"/>
          <c:extLst>
            <c:ext xmlns:c16="http://schemas.microsoft.com/office/drawing/2014/chart" uri="{C3380CC4-5D6E-409C-BE32-E72D297353CC}">
              <c16:uniqueId val="{00000004-7855-4EDF-9728-860E8E04BDD4}"/>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102.57</c:v>
                </c:pt>
                <c:pt idx="1">
                  <c:v>102.69</c:v>
                </c:pt>
                <c:pt idx="2">
                  <c:v>102.54</c:v>
                </c:pt>
                <c:pt idx="3">
                  <c:v>100.54</c:v>
                </c:pt>
                <c:pt idx="4">
                  <c:v>74.36</c:v>
                </c:pt>
                <c:pt idx="5">
                  <c:v>104.3</c:v>
                </c:pt>
                <c:pt idx="6">
                  <c:v>87.94</c:v>
                </c:pt>
                <c:pt idx="7">
                  <c:v>130.49</c:v>
                </c:pt>
                <c:pt idx="8">
                  <c:v>92.08</c:v>
                </c:pt>
                <c:pt idx="9">
                  <c:v>64.45</c:v>
                </c:pt>
                <c:pt idx="10">
                  <c:v>48.18</c:v>
                </c:pt>
                <c:pt idx="11">
                  <c:v>43.21</c:v>
                </c:pt>
                <c:pt idx="12">
                  <c:v>46.16</c:v>
                </c:pt>
                <c:pt idx="13">
                  <c:v>41.6</c:v>
                </c:pt>
                <c:pt idx="14">
                  <c:v>0</c:v>
                </c:pt>
                <c:pt idx="15">
                  <c:v>-0.01</c:v>
                </c:pt>
                <c:pt idx="16">
                  <c:v>20.16</c:v>
                </c:pt>
                <c:pt idx="17">
                  <c:v>27.44</c:v>
                </c:pt>
                <c:pt idx="18">
                  <c:v>19.82</c:v>
                </c:pt>
                <c:pt idx="19">
                  <c:v>81.64</c:v>
                </c:pt>
                <c:pt idx="20">
                  <c:v>82.53</c:v>
                </c:pt>
                <c:pt idx="21">
                  <c:v>113.32</c:v>
                </c:pt>
                <c:pt idx="22">
                  <c:v>68.900000000000006</c:v>
                </c:pt>
                <c:pt idx="23">
                  <c:v>81.36</c:v>
                </c:pt>
              </c:numCache>
            </c:numRef>
          </c:yVal>
          <c:smooth val="0"/>
          <c:extLst>
            <c:ext xmlns:c16="http://schemas.microsoft.com/office/drawing/2014/chart" uri="{C3380CC4-5D6E-409C-BE32-E72D297353CC}">
              <c16:uniqueId val="{00000006-7855-4EDF-9728-860E8E04BDD4}"/>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dk1">
                    <a:lumMod val="65000"/>
                    <a:lumOff val="35000"/>
                  </a:schemeClr>
                </a:solidFill>
                <a:latin typeface="Arial Narrow" panose="020B0606020202030204" pitchFamily="34" charset="0"/>
                <a:ea typeface="+mn-ea"/>
                <a:cs typeface="+mn-cs"/>
              </a:defRPr>
            </a:pPr>
            <a:endParaRPr lang="es-ES"/>
          </a:p>
        </c:txPr>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27353471522546347"/>
          <c:w val="0.88320436110107481"/>
          <c:h val="0.50902041084900218"/>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72.380000000000038</c:v>
                </c:pt>
                <c:pt idx="1">
                  <c:v>72.380000000000038</c:v>
                </c:pt>
                <c:pt idx="2">
                  <c:v>72.859999999999971</c:v>
                </c:pt>
                <c:pt idx="3">
                  <c:v>70.960000000000022</c:v>
                </c:pt>
                <c:pt idx="4">
                  <c:v>70.210000000000022</c:v>
                </c:pt>
                <c:pt idx="5">
                  <c:v>70.630000000000038</c:v>
                </c:pt>
                <c:pt idx="6">
                  <c:v>70.630000000000038</c:v>
                </c:pt>
                <c:pt idx="7">
                  <c:v>69.890000000000029</c:v>
                </c:pt>
                <c:pt idx="8">
                  <c:v>69.890000000000029</c:v>
                </c:pt>
                <c:pt idx="9">
                  <c:v>69.890000000000029</c:v>
                </c:pt>
              </c:numCache>
            </c:numRef>
          </c:val>
          <c:smooth val="0"/>
          <c:extLst>
            <c:ext xmlns:c16="http://schemas.microsoft.com/office/drawing/2014/chart" uri="{C3380CC4-5D6E-409C-BE32-E72D297353CC}">
              <c16:uniqueId val="{00000000-988F-48C5-BDE2-2F76D5841490}"/>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70.97</c:v>
                </c:pt>
                <c:pt idx="1">
                  <c:v>70.97</c:v>
                </c:pt>
                <c:pt idx="2">
                  <c:v>70.97</c:v>
                </c:pt>
                <c:pt idx="3">
                  <c:v>70.97</c:v>
                </c:pt>
                <c:pt idx="4">
                  <c:v>70.97</c:v>
                </c:pt>
                <c:pt idx="5">
                  <c:v>70.97</c:v>
                </c:pt>
                <c:pt idx="6">
                  <c:v>70.97</c:v>
                </c:pt>
                <c:pt idx="7">
                  <c:v>70.97</c:v>
                </c:pt>
                <c:pt idx="8">
                  <c:v>70.97</c:v>
                </c:pt>
                <c:pt idx="9">
                  <c:v>70.97</c:v>
                </c:pt>
                <c:pt idx="10">
                  <c:v>70.97</c:v>
                </c:pt>
                <c:pt idx="11">
                  <c:v>70.97</c:v>
                </c:pt>
                <c:pt idx="12">
                  <c:v>70.97</c:v>
                </c:pt>
                <c:pt idx="13">
                  <c:v>70.97</c:v>
                </c:pt>
                <c:pt idx="14">
                  <c:v>70.97</c:v>
                </c:pt>
                <c:pt idx="15">
                  <c:v>70.97</c:v>
                </c:pt>
                <c:pt idx="16">
                  <c:v>70.97</c:v>
                </c:pt>
                <c:pt idx="17">
                  <c:v>70.97</c:v>
                </c:pt>
                <c:pt idx="18">
                  <c:v>70.97</c:v>
                </c:pt>
                <c:pt idx="19">
                  <c:v>70.97</c:v>
                </c:pt>
                <c:pt idx="20">
                  <c:v>70.97</c:v>
                </c:pt>
                <c:pt idx="21">
                  <c:v>70.97</c:v>
                </c:pt>
                <c:pt idx="22">
                  <c:v>70.97</c:v>
                </c:pt>
                <c:pt idx="23">
                  <c:v>70.97</c:v>
                </c:pt>
                <c:pt idx="24">
                  <c:v>70.97</c:v>
                </c:pt>
                <c:pt idx="25">
                  <c:v>70.97</c:v>
                </c:pt>
                <c:pt idx="26">
                  <c:v>70.97</c:v>
                </c:pt>
                <c:pt idx="27">
                  <c:v>70.97</c:v>
                </c:pt>
                <c:pt idx="28">
                  <c:v>70.97</c:v>
                </c:pt>
                <c:pt idx="29">
                  <c:v>70.97</c:v>
                </c:pt>
                <c:pt idx="30">
                  <c:v>70.97</c:v>
                </c:pt>
              </c:numCache>
            </c:numRef>
          </c:val>
          <c:smooth val="0"/>
          <c:extLst>
            <c:ext xmlns:c16="http://schemas.microsoft.com/office/drawing/2014/chart" uri="{C3380CC4-5D6E-409C-BE32-E72D297353CC}">
              <c16:uniqueId val="{00000001-988F-48C5-BDE2-2F76D5841490}"/>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988F-48C5-BDE2-2F76D5841490}"/>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valAx>
      <c:spPr>
        <a:noFill/>
        <a:ln>
          <a:noFill/>
        </a:ln>
        <a:effectLst/>
      </c:spPr>
    </c:plotArea>
    <c:legend>
      <c:legendPos val="t"/>
      <c:layout>
        <c:manualLayout>
          <c:xMode val="edge"/>
          <c:yMode val="edge"/>
          <c:x val="0.12732122927193631"/>
          <c:y val="1.9272921985293276E-2"/>
          <c:w val="0.76827680127688469"/>
          <c:h val="0.1255888801338802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093751531735877E-2"/>
          <c:y val="0.1859592389438772"/>
          <c:w val="0.93628401298743025"/>
          <c:h val="0.63261238902406147"/>
        </c:manualLayout>
      </c:layout>
      <c:barChart>
        <c:barDir val="col"/>
        <c:grouping val="clustered"/>
        <c:varyColors val="0"/>
        <c:dLbls>
          <c:showLegendKey val="0"/>
          <c:showVal val="0"/>
          <c:showCatName val="0"/>
          <c:showSerName val="0"/>
          <c:showPercent val="0"/>
          <c:showBubbleSize val="0"/>
        </c:dLbls>
        <c:gapWidth val="150"/>
        <c:axId val="796336896"/>
        <c:axId val="306093343"/>
        <c:extLst>
          <c:ext xmlns:c15="http://schemas.microsoft.com/office/drawing/2012/chart" uri="{02D57815-91ED-43cb-92C2-25804820EDAC}">
            <c15:filteredBarSeries>
              <c15:ser>
                <c:idx val="4"/>
                <c:order val="4"/>
                <c:tx>
                  <c:strRef>
                    <c:extLst>
                      <c:ext uri="{02D57815-91ED-43cb-92C2-25804820EDAC}">
                        <c15:formulaRef>
                          <c15:sqref>externo!$S$3</c15:sqref>
                        </c15:formulaRef>
                      </c:ext>
                    </c:extLst>
                    <c:strCache>
                      <c:ptCount val="1"/>
                      <c:pt idx="0">
                        <c:v>Media RE</c:v>
                      </c:pt>
                    </c:strCache>
                  </c:strRef>
                </c:tx>
                <c:spPr>
                  <a:solidFill>
                    <a:schemeClr val="accent5"/>
                  </a:solidFill>
                  <a:ln>
                    <a:noFill/>
                  </a:ln>
                  <a:effectLst/>
                </c:spPr>
                <c:invertIfNegative val="0"/>
                <c:val>
                  <c:numRef>
                    <c:extLst>
                      <c:ext uri="{02D57815-91ED-43cb-92C2-25804820EDAC}">
                        <c15:formulaRef>
                          <c15:sqref>externo!$S$4:$S$34</c15:sqref>
                        </c15:formulaRef>
                      </c:ext>
                    </c:extLst>
                    <c:numCache>
                      <c:formatCode>General</c:formatCode>
                      <c:ptCount val="31"/>
                      <c:pt idx="0">
                        <c:v>0.38800000000000001</c:v>
                      </c:pt>
                      <c:pt idx="1">
                        <c:v>0.38800000000000001</c:v>
                      </c:pt>
                      <c:pt idx="2">
                        <c:v>0.38800000000000001</c:v>
                      </c:pt>
                      <c:pt idx="3">
                        <c:v>0.38800000000000001</c:v>
                      </c:pt>
                      <c:pt idx="4">
                        <c:v>0.38800000000000001</c:v>
                      </c:pt>
                      <c:pt idx="5">
                        <c:v>0.38800000000000001</c:v>
                      </c:pt>
                      <c:pt idx="6">
                        <c:v>0.38800000000000001</c:v>
                      </c:pt>
                      <c:pt idx="7">
                        <c:v>0.38800000000000001</c:v>
                      </c:pt>
                      <c:pt idx="8">
                        <c:v>0.38800000000000001</c:v>
                      </c:pt>
                      <c:pt idx="9">
                        <c:v>0.38800000000000001</c:v>
                      </c:pt>
                      <c:pt idx="10">
                        <c:v>0.38800000000000001</c:v>
                      </c:pt>
                      <c:pt idx="11">
                        <c:v>0.38800000000000001</c:v>
                      </c:pt>
                      <c:pt idx="12">
                        <c:v>0.38800000000000001</c:v>
                      </c:pt>
                      <c:pt idx="13">
                        <c:v>0.38800000000000001</c:v>
                      </c:pt>
                      <c:pt idx="14">
                        <c:v>0.38800000000000001</c:v>
                      </c:pt>
                      <c:pt idx="15">
                        <c:v>0.38800000000000001</c:v>
                      </c:pt>
                      <c:pt idx="16">
                        <c:v>0.38800000000000001</c:v>
                      </c:pt>
                      <c:pt idx="17">
                        <c:v>0.38800000000000001</c:v>
                      </c:pt>
                      <c:pt idx="18">
                        <c:v>0.38800000000000001</c:v>
                      </c:pt>
                      <c:pt idx="19">
                        <c:v>0.38800000000000001</c:v>
                      </c:pt>
                      <c:pt idx="20">
                        <c:v>0.38800000000000001</c:v>
                      </c:pt>
                      <c:pt idx="21">
                        <c:v>0.38800000000000001</c:v>
                      </c:pt>
                      <c:pt idx="22">
                        <c:v>0.38800000000000001</c:v>
                      </c:pt>
                      <c:pt idx="23">
                        <c:v>0.38800000000000001</c:v>
                      </c:pt>
                      <c:pt idx="24">
                        <c:v>0.38800000000000001</c:v>
                      </c:pt>
                      <c:pt idx="25">
                        <c:v>0.38800000000000001</c:v>
                      </c:pt>
                      <c:pt idx="26">
                        <c:v>0.38800000000000001</c:v>
                      </c:pt>
                      <c:pt idx="27">
                        <c:v>0.38800000000000001</c:v>
                      </c:pt>
                      <c:pt idx="28">
                        <c:v>0.38800000000000001</c:v>
                      </c:pt>
                      <c:pt idx="29">
                        <c:v>0.38800000000000001</c:v>
                      </c:pt>
                      <c:pt idx="30">
                        <c:v>0.38800000000000001</c:v>
                      </c:pt>
                    </c:numCache>
                  </c:numRef>
                </c:val>
                <c:extLst>
                  <c:ext xmlns:c16="http://schemas.microsoft.com/office/drawing/2014/chart" uri="{C3380CC4-5D6E-409C-BE32-E72D297353CC}">
                    <c16:uniqueId val="{00000006-42EB-454F-A562-D174CF7FB191}"/>
                  </c:ext>
                </c:extLst>
              </c15:ser>
            </c15:filteredBarSeries>
          </c:ext>
        </c:extLst>
      </c:barChart>
      <c:barChart>
        <c:barDir val="col"/>
        <c:grouping val="clustered"/>
        <c:varyColors val="0"/>
        <c:ser>
          <c:idx val="3"/>
          <c:order val="3"/>
          <c:tx>
            <c:strRef>
              <c:f>externo!$R$3</c:f>
              <c:strCache>
                <c:ptCount val="1"/>
                <c:pt idx="0">
                  <c:v>% Horas RE</c:v>
                </c:pt>
              </c:strCache>
            </c:strRef>
          </c:tx>
          <c:spPr>
            <a:solidFill>
              <a:schemeClr val="accent6">
                <a:alpha val="52000"/>
              </a:schemeClr>
            </a:solidFill>
            <a:ln>
              <a:noFill/>
            </a:ln>
            <a:effectLst/>
          </c:spPr>
          <c:invertIfNegative val="0"/>
          <c:val>
            <c:numRef>
              <c:f>externo!$R$4:$R$34</c:f>
              <c:numCache>
                <c:formatCode>General</c:formatCode>
                <c:ptCount val="31"/>
                <c:pt idx="0">
                  <c:v>0.66666666666666663</c:v>
                </c:pt>
                <c:pt idx="1">
                  <c:v>0.70833333333333337</c:v>
                </c:pt>
                <c:pt idx="2">
                  <c:v>0.58333333333333337</c:v>
                </c:pt>
                <c:pt idx="3">
                  <c:v>8.3333333333333329E-2</c:v>
                </c:pt>
                <c:pt idx="4">
                  <c:v>0.16666666666666666</c:v>
                </c:pt>
                <c:pt idx="5">
                  <c:v>0.25</c:v>
                </c:pt>
                <c:pt idx="6">
                  <c:v>0.29166666666666669</c:v>
                </c:pt>
                <c:pt idx="7">
                  <c:v>0.20833333333333337</c:v>
                </c:pt>
                <c:pt idx="8">
                  <c:v>0.45833333333333326</c:v>
                </c:pt>
                <c:pt idx="9">
                  <c:v>0.45833333333333326</c:v>
                </c:pt>
              </c:numCache>
            </c:numRef>
          </c:val>
          <c:extLst>
            <c:ext xmlns:c16="http://schemas.microsoft.com/office/drawing/2014/chart" uri="{C3380CC4-5D6E-409C-BE32-E72D297353CC}">
              <c16:uniqueId val="{00000000-42EB-454F-A562-D174CF7FB191}"/>
            </c:ext>
          </c:extLst>
        </c:ser>
        <c:ser>
          <c:idx val="5"/>
          <c:order val="5"/>
          <c:tx>
            <c:strRef>
              <c:f>externo!$T$3</c:f>
              <c:strCache>
                <c:ptCount val="1"/>
                <c:pt idx="0">
                  <c:v>% Horas TCC</c:v>
                </c:pt>
              </c:strCache>
            </c:strRef>
          </c:tx>
          <c:spPr>
            <a:solidFill>
              <a:schemeClr val="accent2">
                <a:alpha val="44000"/>
              </a:schemeClr>
            </a:solidFill>
            <a:ln>
              <a:noFill/>
            </a:ln>
            <a:effectLst/>
          </c:spPr>
          <c:invertIfNegative val="0"/>
          <c:val>
            <c:numRef>
              <c:f>externo!$T$4:$T$34</c:f>
              <c:numCache>
                <c:formatCode>General</c:formatCode>
                <c:ptCount val="31"/>
                <c:pt idx="0">
                  <c:v>0</c:v>
                </c:pt>
                <c:pt idx="1">
                  <c:v>0</c:v>
                </c:pt>
                <c:pt idx="2">
                  <c:v>0</c:v>
                </c:pt>
                <c:pt idx="3">
                  <c:v>4.1666666666666664E-2</c:v>
                </c:pt>
                <c:pt idx="4">
                  <c:v>0.125</c:v>
                </c:pt>
                <c:pt idx="5">
                  <c:v>8.3333333333333329E-2</c:v>
                </c:pt>
                <c:pt idx="6">
                  <c:v>0</c:v>
                </c:pt>
                <c:pt idx="7">
                  <c:v>0</c:v>
                </c:pt>
                <c:pt idx="8">
                  <c:v>0</c:v>
                </c:pt>
                <c:pt idx="9">
                  <c:v>0</c:v>
                </c:pt>
              </c:numCache>
            </c:numRef>
          </c:val>
          <c:extLst>
            <c:ext xmlns:c16="http://schemas.microsoft.com/office/drawing/2014/chart" uri="{C3380CC4-5D6E-409C-BE32-E72D297353CC}">
              <c16:uniqueId val="{00000001-42EB-454F-A562-D174CF7FB191}"/>
            </c:ext>
          </c:extLst>
        </c:ser>
        <c:ser>
          <c:idx val="7"/>
          <c:order val="7"/>
          <c:tx>
            <c:strRef>
              <c:f>externo!$V$3</c:f>
              <c:strCache>
                <c:ptCount val="1"/>
                <c:pt idx="0">
                  <c:v>% Horas HI</c:v>
                </c:pt>
              </c:strCache>
            </c:strRef>
          </c:tx>
          <c:spPr>
            <a:solidFill>
              <a:schemeClr val="accent1">
                <a:alpha val="32000"/>
              </a:schemeClr>
            </a:solidFill>
            <a:ln>
              <a:noFill/>
            </a:ln>
            <a:effectLst/>
          </c:spPr>
          <c:invertIfNegative val="0"/>
          <c:val>
            <c:numRef>
              <c:f>externo!$V$4:$V$34</c:f>
              <c:numCache>
                <c:formatCode>General</c:formatCode>
                <c:ptCount val="31"/>
                <c:pt idx="0">
                  <c:v>0.20833333333333337</c:v>
                </c:pt>
                <c:pt idx="1">
                  <c:v>0.16666666666666666</c:v>
                </c:pt>
                <c:pt idx="2">
                  <c:v>0.20833333333333337</c:v>
                </c:pt>
                <c:pt idx="3">
                  <c:v>0.58333333333333337</c:v>
                </c:pt>
                <c:pt idx="4">
                  <c:v>0.5</c:v>
                </c:pt>
                <c:pt idx="5">
                  <c:v>0.5</c:v>
                </c:pt>
                <c:pt idx="6">
                  <c:v>0.54166666666666663</c:v>
                </c:pt>
                <c:pt idx="7">
                  <c:v>0.45833333333333326</c:v>
                </c:pt>
                <c:pt idx="8">
                  <c:v>0.45833333333333326</c:v>
                </c:pt>
                <c:pt idx="9">
                  <c:v>0.125</c:v>
                </c:pt>
              </c:numCache>
            </c:numRef>
          </c:val>
          <c:extLst>
            <c:ext xmlns:c16="http://schemas.microsoft.com/office/drawing/2014/chart" uri="{C3380CC4-5D6E-409C-BE32-E72D297353CC}">
              <c16:uniqueId val="{00000002-42EB-454F-A562-D174CF7FB191}"/>
            </c:ext>
          </c:extLst>
        </c:ser>
        <c:dLbls>
          <c:showLegendKey val="0"/>
          <c:showVal val="0"/>
          <c:showCatName val="0"/>
          <c:showSerName val="0"/>
          <c:showPercent val="0"/>
          <c:showBubbleSize val="0"/>
        </c:dLbls>
        <c:gapWidth val="180"/>
        <c:axId val="327395439"/>
        <c:axId val="306049199"/>
        <c:extLst>
          <c:ext xmlns:c15="http://schemas.microsoft.com/office/drawing/2012/chart" uri="{02D57815-91ED-43cb-92C2-25804820EDAC}">
            <c15:filteredBarSeries>
              <c15:ser>
                <c:idx val="0"/>
                <c:order val="0"/>
                <c:tx>
                  <c:strRef>
                    <c:extLst>
                      <c:ext uri="{02D57815-91ED-43cb-92C2-25804820EDAC}">
                        <c15:formulaRef>
                          <c15:sqref>externo!$O$3</c15:sqref>
                        </c15:formulaRef>
                      </c:ext>
                    </c:extLst>
                    <c:strCache>
                      <c:ptCount val="1"/>
                      <c:pt idx="0">
                        <c:v>Dia</c:v>
                      </c:pt>
                    </c:strCache>
                  </c:strRef>
                </c:tx>
                <c:spPr>
                  <a:solidFill>
                    <a:schemeClr val="accent1"/>
                  </a:solidFill>
                  <a:ln>
                    <a:noFill/>
                  </a:ln>
                  <a:effectLst/>
                </c:spPr>
                <c:invertIfNegative val="0"/>
                <c:val>
                  <c:numRef>
                    <c:extLst>
                      <c:ext uri="{02D57815-91ED-43cb-92C2-25804820EDAC}">
                        <c15:formulaRef>
                          <c15:sqref>externo!$O$4:$O$34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extLst>
                  <c:ext xmlns:c16="http://schemas.microsoft.com/office/drawing/2014/chart" uri="{C3380CC4-5D6E-409C-BE32-E72D297353CC}">
                    <c16:uniqueId val="{00000005-42EB-454F-A562-D174CF7FB191}"/>
                  </c:ext>
                </c:extLst>
              </c15:ser>
            </c15:filteredBarSeries>
          </c:ext>
        </c:extLst>
      </c:barChart>
      <c:lineChart>
        <c:grouping val="standard"/>
        <c:varyColors val="0"/>
        <c:ser>
          <c:idx val="1"/>
          <c:order val="1"/>
          <c:tx>
            <c:strRef>
              <c:f>externo!$P$3</c:f>
              <c:strCache>
                <c:ptCount val="1"/>
                <c:pt idx="0">
                  <c:v>Omie media mensual (€/MWh)</c:v>
                </c:pt>
              </c:strCache>
            </c:strRef>
          </c:tx>
          <c:spPr>
            <a:ln w="22225" cap="rnd">
              <a:solidFill>
                <a:schemeClr val="bg1">
                  <a:lumMod val="50000"/>
                </a:schemeClr>
              </a:solidFill>
              <a:prstDash val="sysDot"/>
              <a:round/>
            </a:ln>
            <a:effectLst/>
          </c:spPr>
          <c:marker>
            <c:symbol val="none"/>
          </c:marker>
          <c:val>
            <c:numRef>
              <c:f>externo!$P$4:$P$34</c:f>
              <c:numCache>
                <c:formatCode>General</c:formatCode>
                <c:ptCount val="31"/>
                <c:pt idx="0">
                  <c:v>52.048999999999999</c:v>
                </c:pt>
                <c:pt idx="1">
                  <c:v>52.048999999999999</c:v>
                </c:pt>
                <c:pt idx="2">
                  <c:v>52.048999999999999</c:v>
                </c:pt>
                <c:pt idx="3">
                  <c:v>52.048999999999999</c:v>
                </c:pt>
                <c:pt idx="4">
                  <c:v>52.048999999999999</c:v>
                </c:pt>
                <c:pt idx="5">
                  <c:v>52.048999999999999</c:v>
                </c:pt>
                <c:pt idx="6">
                  <c:v>52.048999999999999</c:v>
                </c:pt>
                <c:pt idx="7">
                  <c:v>52.048999999999999</c:v>
                </c:pt>
                <c:pt idx="8">
                  <c:v>52.048999999999999</c:v>
                </c:pt>
                <c:pt idx="9">
                  <c:v>52.048999999999999</c:v>
                </c:pt>
                <c:pt idx="10">
                  <c:v>52.048999999999999</c:v>
                </c:pt>
                <c:pt idx="11">
                  <c:v>52.048999999999999</c:v>
                </c:pt>
                <c:pt idx="12">
                  <c:v>52.048999999999999</c:v>
                </c:pt>
                <c:pt idx="13">
                  <c:v>52.048999999999999</c:v>
                </c:pt>
                <c:pt idx="14">
                  <c:v>52.048999999999999</c:v>
                </c:pt>
                <c:pt idx="15">
                  <c:v>52.048999999999999</c:v>
                </c:pt>
                <c:pt idx="16">
                  <c:v>52.048999999999999</c:v>
                </c:pt>
                <c:pt idx="17">
                  <c:v>52.048999999999999</c:v>
                </c:pt>
                <c:pt idx="18">
                  <c:v>52.048999999999999</c:v>
                </c:pt>
                <c:pt idx="19">
                  <c:v>52.048999999999999</c:v>
                </c:pt>
                <c:pt idx="20">
                  <c:v>52.048999999999999</c:v>
                </c:pt>
                <c:pt idx="21">
                  <c:v>52.048999999999999</c:v>
                </c:pt>
                <c:pt idx="22">
                  <c:v>52.048999999999999</c:v>
                </c:pt>
                <c:pt idx="23">
                  <c:v>52.048999999999999</c:v>
                </c:pt>
                <c:pt idx="24">
                  <c:v>52.048999999999999</c:v>
                </c:pt>
                <c:pt idx="25">
                  <c:v>52.048999999999999</c:v>
                </c:pt>
                <c:pt idx="26">
                  <c:v>52.048999999999999</c:v>
                </c:pt>
                <c:pt idx="27">
                  <c:v>52.048999999999999</c:v>
                </c:pt>
                <c:pt idx="28">
                  <c:v>52.048999999999999</c:v>
                </c:pt>
                <c:pt idx="29">
                  <c:v>52.048999999999999</c:v>
                </c:pt>
                <c:pt idx="30">
                  <c:v>52.048999999999999</c:v>
                </c:pt>
              </c:numCache>
            </c:numRef>
          </c:val>
          <c:smooth val="0"/>
          <c:extLst>
            <c:ext xmlns:c16="http://schemas.microsoft.com/office/drawing/2014/chart" uri="{C3380CC4-5D6E-409C-BE32-E72D297353CC}">
              <c16:uniqueId val="{00000003-42EB-454F-A562-D174CF7FB191}"/>
            </c:ext>
          </c:extLst>
        </c:ser>
        <c:ser>
          <c:idx val="2"/>
          <c:order val="2"/>
          <c:tx>
            <c:strRef>
              <c:f>externo!$Q$3</c:f>
              <c:strCache>
                <c:ptCount val="1"/>
                <c:pt idx="0">
                  <c:v>Omie media diaria</c:v>
                </c:pt>
              </c:strCache>
            </c:strRef>
          </c:tx>
          <c:spPr>
            <a:ln w="25400" cap="rnd">
              <a:solidFill>
                <a:schemeClr val="tx1"/>
              </a:solidFill>
              <a:round/>
            </a:ln>
            <a:effectLst/>
          </c:spPr>
          <c:marker>
            <c:symbol val="none"/>
          </c:marker>
          <c:val>
            <c:numRef>
              <c:f>externo!$Q$4:$Q$34</c:f>
              <c:numCache>
                <c:formatCode>General</c:formatCode>
                <c:ptCount val="31"/>
                <c:pt idx="0">
                  <c:v>1.7595833333333333</c:v>
                </c:pt>
                <c:pt idx="1">
                  <c:v>4.2612499999999986</c:v>
                </c:pt>
                <c:pt idx="2">
                  <c:v>28.55541666666667</c:v>
                </c:pt>
                <c:pt idx="3">
                  <c:v>87.639999999999986</c:v>
                </c:pt>
                <c:pt idx="4">
                  <c:v>93.260416666666671</c:v>
                </c:pt>
                <c:pt idx="5">
                  <c:v>93.423333333333332</c:v>
                </c:pt>
                <c:pt idx="6">
                  <c:v>79.132916666666674</c:v>
                </c:pt>
                <c:pt idx="7">
                  <c:v>71.420416666666668</c:v>
                </c:pt>
                <c:pt idx="8">
                  <c:v>16.427916666666665</c:v>
                </c:pt>
                <c:pt idx="9">
                  <c:v>44.605833333333329</c:v>
                </c:pt>
              </c:numCache>
            </c:numRef>
          </c:val>
          <c:smooth val="0"/>
          <c:extLst>
            <c:ext xmlns:c16="http://schemas.microsoft.com/office/drawing/2014/chart" uri="{C3380CC4-5D6E-409C-BE32-E72D297353CC}">
              <c16:uniqueId val="{00000004-42EB-454F-A562-D174CF7FB191}"/>
            </c:ext>
          </c:extLst>
        </c:ser>
        <c:dLbls>
          <c:showLegendKey val="0"/>
          <c:showVal val="0"/>
          <c:showCatName val="0"/>
          <c:showSerName val="0"/>
          <c:showPercent val="0"/>
          <c:showBubbleSize val="0"/>
        </c:dLbls>
        <c:marker val="1"/>
        <c:smooth val="0"/>
        <c:axId val="796336896"/>
        <c:axId val="306093343"/>
        <c:extLst>
          <c:ext xmlns:c15="http://schemas.microsoft.com/office/drawing/2012/chart" uri="{02D57815-91ED-43cb-92C2-25804820EDAC}">
            <c15:filteredLineSeries>
              <c15:ser>
                <c:idx val="6"/>
                <c:order val="6"/>
                <c:tx>
                  <c:strRef>
                    <c:extLst>
                      <c:ext uri="{02D57815-91ED-43cb-92C2-25804820EDAC}">
                        <c15:formulaRef>
                          <c15:sqref>externo!$U$3</c15:sqref>
                        </c15:formulaRef>
                      </c:ext>
                    </c:extLst>
                    <c:strCache>
                      <c:ptCount val="1"/>
                      <c:pt idx="0">
                        <c:v>Media TCC</c:v>
                      </c:pt>
                    </c:strCache>
                  </c:strRef>
                </c:tx>
                <c:spPr>
                  <a:ln w="28575" cap="rnd">
                    <a:solidFill>
                      <a:schemeClr val="accent1">
                        <a:lumMod val="60000"/>
                      </a:schemeClr>
                    </a:solidFill>
                    <a:round/>
                  </a:ln>
                  <a:effectLst/>
                </c:spPr>
                <c:marker>
                  <c:symbol val="none"/>
                </c:marker>
                <c:val>
                  <c:numRef>
                    <c:extLst>
                      <c:ext uri="{02D57815-91ED-43cb-92C2-25804820EDAC}">
                        <c15:formulaRef>
                          <c15:sqref>externo!$U$4:$U$34</c15:sqref>
                        </c15:formulaRef>
                      </c:ext>
                    </c:extLst>
                    <c:numCache>
                      <c:formatCode>General</c:formatCode>
                      <c:ptCount val="31"/>
                      <c:pt idx="0">
                        <c:v>2.5000000000000001E-2</c:v>
                      </c:pt>
                      <c:pt idx="1">
                        <c:v>2.8000000000000001E-2</c:v>
                      </c:pt>
                      <c:pt idx="2">
                        <c:v>3.1E-2</c:v>
                      </c:pt>
                      <c:pt idx="3">
                        <c:v>3.5999999999999997E-2</c:v>
                      </c:pt>
                      <c:pt idx="4">
                        <c:v>3.5000000000000003E-2</c:v>
                      </c:pt>
                      <c:pt idx="5">
                        <c:v>1.7000000000000001E-2</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7-42EB-454F-A562-D174CF7FB191}"/>
                  </c:ext>
                </c:extLst>
              </c15:ser>
            </c15:filteredLineSeries>
            <c15:filteredLineSeries>
              <c15:ser>
                <c:idx val="8"/>
                <c:order val="8"/>
                <c:tx>
                  <c:strRef>
                    <c:extLst>
                      <c:ext xmlns:c15="http://schemas.microsoft.com/office/drawing/2012/chart" uri="{02D57815-91ED-43cb-92C2-25804820EDAC}">
                        <c15:formulaRef>
                          <c15:sqref>externo!$W$3</c15:sqref>
                        </c15:formulaRef>
                      </c:ext>
                    </c:extLst>
                    <c:strCache>
                      <c:ptCount val="1"/>
                      <c:pt idx="0">
                        <c:v>Media HI</c:v>
                      </c:pt>
                    </c:strCache>
                  </c:strRef>
                </c:tx>
                <c:spPr>
                  <a:ln w="28575" cap="rnd">
                    <a:solidFill>
                      <a:schemeClr val="accent3">
                        <a:lumMod val="60000"/>
                      </a:schemeClr>
                    </a:solidFill>
                    <a:round/>
                  </a:ln>
                  <a:effectLst/>
                </c:spPr>
                <c:marker>
                  <c:symbol val="none"/>
                </c:marker>
                <c:val>
                  <c:numRef>
                    <c:extLst>
                      <c:ext xmlns:c15="http://schemas.microsoft.com/office/drawing/2012/chart" uri="{02D57815-91ED-43cb-92C2-25804820EDAC}">
                        <c15:formulaRef>
                          <c15:sqref>externo!$W$4:$W$34</c15:sqref>
                        </c15:formulaRef>
                      </c:ext>
                    </c:extLst>
                    <c:numCache>
                      <c:formatCode>General</c:formatCode>
                      <c:ptCount val="31"/>
                      <c:pt idx="0">
                        <c:v>0.375</c:v>
                      </c:pt>
                      <c:pt idx="1">
                        <c:v>0.39400000000000002</c:v>
                      </c:pt>
                      <c:pt idx="2">
                        <c:v>0.42199999999999999</c:v>
                      </c:pt>
                      <c:pt idx="3">
                        <c:v>0.45200000000000001</c:v>
                      </c:pt>
                      <c:pt idx="4">
                        <c:v>0.43099999999999999</c:v>
                      </c:pt>
                      <c:pt idx="5">
                        <c:v>0.41699999999999998</c:v>
                      </c:pt>
                      <c:pt idx="6">
                        <c:v>0.39600000000000002</c:v>
                      </c:pt>
                      <c:pt idx="7">
                        <c:v>0.34699999999999998</c:v>
                      </c:pt>
                      <c:pt idx="8">
                        <c:v>0.29199999999999998</c:v>
                      </c:pt>
                      <c:pt idx="9">
                        <c:v>0.125</c:v>
                      </c:pt>
                      <c:pt idx="10">
                        <c:v>0.125</c:v>
                      </c:pt>
                      <c:pt idx="11">
                        <c:v>0.125</c:v>
                      </c:pt>
                      <c:pt idx="12">
                        <c:v>0.125</c:v>
                      </c:pt>
                      <c:pt idx="13">
                        <c:v>0.125</c:v>
                      </c:pt>
                      <c:pt idx="14">
                        <c:v>0.125</c:v>
                      </c:pt>
                      <c:pt idx="15">
                        <c:v>0.125</c:v>
                      </c:pt>
                      <c:pt idx="16">
                        <c:v>0.125</c:v>
                      </c:pt>
                      <c:pt idx="17">
                        <c:v>0.125</c:v>
                      </c:pt>
                      <c:pt idx="18">
                        <c:v>0.125</c:v>
                      </c:pt>
                      <c:pt idx="19">
                        <c:v>0.125</c:v>
                      </c:pt>
                      <c:pt idx="20">
                        <c:v>0.125</c:v>
                      </c:pt>
                      <c:pt idx="21">
                        <c:v>0.125</c:v>
                      </c:pt>
                      <c:pt idx="22">
                        <c:v>0.125</c:v>
                      </c:pt>
                      <c:pt idx="23">
                        <c:v>0.125</c:v>
                      </c:pt>
                      <c:pt idx="24">
                        <c:v>0.125</c:v>
                      </c:pt>
                      <c:pt idx="25">
                        <c:v>0.125</c:v>
                      </c:pt>
                      <c:pt idx="26">
                        <c:v>0.125</c:v>
                      </c:pt>
                      <c:pt idx="27">
                        <c:v>0.125</c:v>
                      </c:pt>
                      <c:pt idx="28">
                        <c:v>0.125</c:v>
                      </c:pt>
                      <c:pt idx="29">
                        <c:v>0.125</c:v>
                      </c:pt>
                      <c:pt idx="30">
                        <c:v>0.125</c:v>
                      </c:pt>
                    </c:numCache>
                  </c:numRef>
                </c:val>
                <c:smooth val="0"/>
                <c:extLst xmlns:c15="http://schemas.microsoft.com/office/drawing/2012/chart">
                  <c:ext xmlns:c16="http://schemas.microsoft.com/office/drawing/2014/chart" uri="{C3380CC4-5D6E-409C-BE32-E72D297353CC}">
                    <c16:uniqueId val="{00000008-42EB-454F-A562-D174CF7FB191}"/>
                  </c:ext>
                </c:extLst>
              </c15:ser>
            </c15:filteredLineSeries>
            <c15:filteredLineSeries>
              <c15:ser>
                <c:idx val="9"/>
                <c:order val="9"/>
                <c:tx>
                  <c:strRef>
                    <c:extLst>
                      <c:ext xmlns:c15="http://schemas.microsoft.com/office/drawing/2012/chart" uri="{02D57815-91ED-43cb-92C2-25804820EDAC}">
                        <c15:formulaRef>
                          <c15:sqref>externo!$X$3</c15:sqref>
                        </c15:formulaRef>
                      </c:ext>
                    </c:extLst>
                    <c:strCache>
                      <c:ptCount val="1"/>
                      <c:pt idx="0">
                        <c:v>demanda GWh</c:v>
                      </c:pt>
                    </c:strCache>
                  </c:strRef>
                </c:tx>
                <c:spPr>
                  <a:ln w="28575" cap="rnd">
                    <a:solidFill>
                      <a:schemeClr val="accent4">
                        <a:lumMod val="60000"/>
                      </a:schemeClr>
                    </a:solidFill>
                    <a:round/>
                  </a:ln>
                  <a:effectLst/>
                </c:spPr>
                <c:marker>
                  <c:symbol val="none"/>
                </c:marker>
                <c:val>
                  <c:numRef>
                    <c:extLst>
                      <c:ext xmlns:c15="http://schemas.microsoft.com/office/drawing/2012/chart" uri="{02D57815-91ED-43cb-92C2-25804820EDAC}">
                        <c15:formulaRef>
                          <c15:sqref>externo!$X$4:$X$34</c15:sqref>
                        </c15:formulaRef>
                      </c:ext>
                    </c:extLst>
                    <c:numCache>
                      <c:formatCode>General</c:formatCode>
                      <c:ptCount val="31"/>
                      <c:pt idx="0">
                        <c:v>561</c:v>
                      </c:pt>
                      <c:pt idx="1">
                        <c:v>519</c:v>
                      </c:pt>
                      <c:pt idx="2">
                        <c:v>623</c:v>
                      </c:pt>
                      <c:pt idx="3">
                        <c:v>635</c:v>
                      </c:pt>
                      <c:pt idx="4">
                        <c:v>651</c:v>
                      </c:pt>
                      <c:pt idx="5">
                        <c:v>665</c:v>
                      </c:pt>
                      <c:pt idx="6">
                        <c:v>663</c:v>
                      </c:pt>
                      <c:pt idx="7">
                        <c:v>581</c:v>
                      </c:pt>
                      <c:pt idx="8">
                        <c:v>375</c:v>
                      </c:pt>
                      <c:pt idx="9">
                        <c:v>0</c:v>
                      </c:pt>
                    </c:numCache>
                  </c:numRef>
                </c:val>
                <c:smooth val="0"/>
                <c:extLst xmlns:c15="http://schemas.microsoft.com/office/drawing/2012/chart">
                  <c:ext xmlns:c16="http://schemas.microsoft.com/office/drawing/2014/chart" uri="{C3380CC4-5D6E-409C-BE32-E72D297353CC}">
                    <c16:uniqueId val="{00000009-42EB-454F-A562-D174CF7FB191}"/>
                  </c:ext>
                </c:extLst>
              </c15:ser>
            </c15:filteredLineSeries>
            <c15:filteredLineSeries>
              <c15:ser>
                <c:idx val="10"/>
                <c:order val="10"/>
                <c:tx>
                  <c:strRef>
                    <c:extLst>
                      <c:ext xmlns:c15="http://schemas.microsoft.com/office/drawing/2012/chart" uri="{02D57815-91ED-43cb-92C2-25804820EDAC}">
                        <c15:formulaRef>
                          <c15:sqref>externo!$Y$3</c15:sqref>
                        </c15:formulaRef>
                      </c:ext>
                    </c:extLst>
                    <c:strCache>
                      <c:ptCount val="1"/>
                      <c:pt idx="0">
                        <c:v>Precio RE</c:v>
                      </c:pt>
                    </c:strCache>
                  </c:strRef>
                </c:tx>
                <c:spPr>
                  <a:ln w="28575" cap="rnd">
                    <a:solidFill>
                      <a:schemeClr val="accent5">
                        <a:lumMod val="60000"/>
                      </a:schemeClr>
                    </a:solidFill>
                    <a:round/>
                  </a:ln>
                  <a:effectLst/>
                </c:spPr>
                <c:marker>
                  <c:symbol val="none"/>
                </c:marker>
                <c:val>
                  <c:numRef>
                    <c:extLst>
                      <c:ext xmlns:c15="http://schemas.microsoft.com/office/drawing/2012/chart" uri="{02D57815-91ED-43cb-92C2-25804820EDAC}">
                        <c15:formulaRef>
                          <c15:sqref>externo!$Y$4:$Y$34</c15:sqref>
                        </c15:formulaRef>
                      </c:ext>
                    </c:extLst>
                    <c:numCache>
                      <c:formatCode>General</c:formatCode>
                      <c:ptCount val="31"/>
                      <c:pt idx="0">
                        <c:v>1.8262499999999999</c:v>
                      </c:pt>
                      <c:pt idx="1">
                        <c:v>1.7988235294117645</c:v>
                      </c:pt>
                      <c:pt idx="2">
                        <c:v>9.2214285714285715</c:v>
                      </c:pt>
                      <c:pt idx="3">
                        <c:v>32.4</c:v>
                      </c:pt>
                      <c:pt idx="4">
                        <c:v>72.8125</c:v>
                      </c:pt>
                      <c:pt idx="5">
                        <c:v>67.066666666666677</c:v>
                      </c:pt>
                      <c:pt idx="6">
                        <c:v>43.955714285714286</c:v>
                      </c:pt>
                      <c:pt idx="7">
                        <c:v>53.665999999999997</c:v>
                      </c:pt>
                      <c:pt idx="8">
                        <c:v>18.348181818181818</c:v>
                      </c:pt>
                      <c:pt idx="9">
                        <c:v>38.312727272727273</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A-42EB-454F-A562-D174CF7FB191}"/>
                  </c:ext>
                </c:extLst>
              </c15:ser>
            </c15:filteredLineSeries>
            <c15:filteredLineSeries>
              <c15:ser>
                <c:idx val="11"/>
                <c:order val="11"/>
                <c:tx>
                  <c:strRef>
                    <c:extLst>
                      <c:ext xmlns:c15="http://schemas.microsoft.com/office/drawing/2012/chart" uri="{02D57815-91ED-43cb-92C2-25804820EDAC}">
                        <c15:formulaRef>
                          <c15:sqref>externo!$Z$3</c15:sqref>
                        </c15:formulaRef>
                      </c:ext>
                    </c:extLst>
                    <c:strCache>
                      <c:ptCount val="1"/>
                      <c:pt idx="0">
                        <c:v>Precio medio RE</c:v>
                      </c:pt>
                    </c:strCache>
                  </c:strRef>
                </c:tx>
                <c:spPr>
                  <a:ln w="28575" cap="rnd">
                    <a:solidFill>
                      <a:schemeClr val="accent6">
                        <a:lumMod val="60000"/>
                      </a:schemeClr>
                    </a:solidFill>
                    <a:round/>
                  </a:ln>
                  <a:effectLst/>
                </c:spPr>
                <c:marker>
                  <c:symbol val="none"/>
                </c:marker>
                <c:val>
                  <c:numRef>
                    <c:extLst>
                      <c:ext xmlns:c15="http://schemas.microsoft.com/office/drawing/2012/chart" uri="{02D57815-91ED-43cb-92C2-25804820EDAC}">
                        <c15:formulaRef>
                          <c15:sqref>externo!$Z$4:$Z$34</c15:sqref>
                        </c15:formulaRef>
                      </c:ext>
                    </c:extLst>
                    <c:numCache>
                      <c:formatCode>General</c:formatCode>
                      <c:ptCount val="31"/>
                      <c:pt idx="0">
                        <c:v>33.94</c:v>
                      </c:pt>
                      <c:pt idx="1">
                        <c:v>33.94</c:v>
                      </c:pt>
                      <c:pt idx="2">
                        <c:v>33.94</c:v>
                      </c:pt>
                      <c:pt idx="3">
                        <c:v>33.94</c:v>
                      </c:pt>
                      <c:pt idx="4">
                        <c:v>33.94</c:v>
                      </c:pt>
                      <c:pt idx="5">
                        <c:v>33.94</c:v>
                      </c:pt>
                      <c:pt idx="6">
                        <c:v>33.94</c:v>
                      </c:pt>
                      <c:pt idx="7">
                        <c:v>33.94</c:v>
                      </c:pt>
                      <c:pt idx="8">
                        <c:v>33.94</c:v>
                      </c:pt>
                      <c:pt idx="9">
                        <c:v>33.94</c:v>
                      </c:pt>
                      <c:pt idx="10">
                        <c:v>33.94</c:v>
                      </c:pt>
                      <c:pt idx="11">
                        <c:v>33.94</c:v>
                      </c:pt>
                      <c:pt idx="12">
                        <c:v>33.94</c:v>
                      </c:pt>
                      <c:pt idx="13">
                        <c:v>33.94</c:v>
                      </c:pt>
                      <c:pt idx="14">
                        <c:v>33.94</c:v>
                      </c:pt>
                      <c:pt idx="15">
                        <c:v>33.94</c:v>
                      </c:pt>
                      <c:pt idx="16">
                        <c:v>33.94</c:v>
                      </c:pt>
                      <c:pt idx="17">
                        <c:v>33.94</c:v>
                      </c:pt>
                      <c:pt idx="18">
                        <c:v>33.94</c:v>
                      </c:pt>
                      <c:pt idx="19">
                        <c:v>33.94</c:v>
                      </c:pt>
                      <c:pt idx="20">
                        <c:v>33.94</c:v>
                      </c:pt>
                      <c:pt idx="21">
                        <c:v>33.94</c:v>
                      </c:pt>
                      <c:pt idx="22">
                        <c:v>33.94</c:v>
                      </c:pt>
                      <c:pt idx="23">
                        <c:v>33.94</c:v>
                      </c:pt>
                      <c:pt idx="24">
                        <c:v>33.94</c:v>
                      </c:pt>
                      <c:pt idx="25">
                        <c:v>33.94</c:v>
                      </c:pt>
                      <c:pt idx="26">
                        <c:v>33.94</c:v>
                      </c:pt>
                      <c:pt idx="27">
                        <c:v>33.94</c:v>
                      </c:pt>
                      <c:pt idx="28">
                        <c:v>33.94</c:v>
                      </c:pt>
                      <c:pt idx="29">
                        <c:v>33.94</c:v>
                      </c:pt>
                      <c:pt idx="30">
                        <c:v>33.94</c:v>
                      </c:pt>
                    </c:numCache>
                  </c:numRef>
                </c:val>
                <c:smooth val="0"/>
                <c:extLst xmlns:c15="http://schemas.microsoft.com/office/drawing/2012/chart">
                  <c:ext xmlns:c16="http://schemas.microsoft.com/office/drawing/2014/chart" uri="{C3380CC4-5D6E-409C-BE32-E72D297353CC}">
                    <c16:uniqueId val="{0000000B-42EB-454F-A562-D174CF7FB191}"/>
                  </c:ext>
                </c:extLst>
              </c15:ser>
            </c15:filteredLineSeries>
            <c15:filteredLineSeries>
              <c15:ser>
                <c:idx val="12"/>
                <c:order val="12"/>
                <c:tx>
                  <c:strRef>
                    <c:extLst>
                      <c:ext xmlns:c15="http://schemas.microsoft.com/office/drawing/2012/chart" uri="{02D57815-91ED-43cb-92C2-25804820EDAC}">
                        <c15:formulaRef>
                          <c15:sqref>externo!$AA$3</c15:sqref>
                        </c15:formulaRef>
                      </c:ext>
                    </c:extLst>
                    <c:strCache>
                      <c:ptCount val="1"/>
                      <c:pt idx="0">
                        <c:v>Precio TCC</c:v>
                      </c:pt>
                    </c:strCache>
                  </c:strRef>
                </c:tx>
                <c:spPr>
                  <a:ln w="28575" cap="rnd">
                    <a:solidFill>
                      <a:schemeClr val="accent1">
                        <a:lumMod val="80000"/>
                        <a:lumOff val="20000"/>
                      </a:schemeClr>
                    </a:solidFill>
                    <a:round/>
                  </a:ln>
                  <a:effectLst/>
                </c:spPr>
                <c:marker>
                  <c:symbol val="none"/>
                </c:marker>
                <c:val>
                  <c:numRef>
                    <c:extLst>
                      <c:ext xmlns:c15="http://schemas.microsoft.com/office/drawing/2012/chart" uri="{02D57815-91ED-43cb-92C2-25804820EDAC}">
                        <c15:formulaRef>
                          <c15:sqref>externo!$AA$4:$AA$34</c15:sqref>
                        </c15:formulaRef>
                      </c:ext>
                    </c:extLst>
                    <c:numCache>
                      <c:formatCode>General</c:formatCode>
                      <c:ptCount val="31"/>
                      <c:pt idx="0">
                        <c:v>0</c:v>
                      </c:pt>
                      <c:pt idx="1">
                        <c:v>0</c:v>
                      </c:pt>
                      <c:pt idx="2">
                        <c:v>0</c:v>
                      </c:pt>
                      <c:pt idx="3">
                        <c:v>171.15</c:v>
                      </c:pt>
                      <c:pt idx="4">
                        <c:v>122.80333333333331</c:v>
                      </c:pt>
                      <c:pt idx="5">
                        <c:v>116.05</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C-42EB-454F-A562-D174CF7FB191}"/>
                  </c:ext>
                </c:extLst>
              </c15:ser>
            </c15:filteredLineSeries>
            <c15:filteredLineSeries>
              <c15:ser>
                <c:idx val="13"/>
                <c:order val="13"/>
                <c:tx>
                  <c:strRef>
                    <c:extLst>
                      <c:ext xmlns:c15="http://schemas.microsoft.com/office/drawing/2012/chart" uri="{02D57815-91ED-43cb-92C2-25804820EDAC}">
                        <c15:formulaRef>
                          <c15:sqref>externo!$AB$3</c15:sqref>
                        </c15:formulaRef>
                      </c:ext>
                    </c:extLst>
                    <c:strCache>
                      <c:ptCount val="1"/>
                      <c:pt idx="0">
                        <c:v>Precio medio TCC</c:v>
                      </c:pt>
                    </c:strCache>
                  </c:strRef>
                </c:tx>
                <c:spPr>
                  <a:ln w="28575" cap="rnd">
                    <a:solidFill>
                      <a:schemeClr val="accent2">
                        <a:lumMod val="80000"/>
                        <a:lumOff val="20000"/>
                      </a:schemeClr>
                    </a:solidFill>
                    <a:round/>
                  </a:ln>
                  <a:effectLst/>
                </c:spPr>
                <c:marker>
                  <c:symbol val="none"/>
                </c:marker>
                <c:val>
                  <c:numRef>
                    <c:extLst>
                      <c:ext xmlns:c15="http://schemas.microsoft.com/office/drawing/2012/chart" uri="{02D57815-91ED-43cb-92C2-25804820EDAC}">
                        <c15:formulaRef>
                          <c15:sqref>externo!$AB$4:$AB$34</c15:sqref>
                        </c15:formulaRef>
                      </c:ext>
                    </c:extLst>
                    <c:numCache>
                      <c:formatCode>General</c:formatCode>
                      <c:ptCount val="31"/>
                      <c:pt idx="0">
                        <c:v>41</c:v>
                      </c:pt>
                      <c:pt idx="1">
                        <c:v>41</c:v>
                      </c:pt>
                      <c:pt idx="2">
                        <c:v>41</c:v>
                      </c:pt>
                      <c:pt idx="3">
                        <c:v>41</c:v>
                      </c:pt>
                      <c:pt idx="4">
                        <c:v>41</c:v>
                      </c:pt>
                      <c:pt idx="5">
                        <c:v>41</c:v>
                      </c:pt>
                      <c:pt idx="6">
                        <c:v>41</c:v>
                      </c:pt>
                      <c:pt idx="7">
                        <c:v>41</c:v>
                      </c:pt>
                      <c:pt idx="8">
                        <c:v>41</c:v>
                      </c:pt>
                      <c:pt idx="9">
                        <c:v>41</c:v>
                      </c:pt>
                      <c:pt idx="10">
                        <c:v>41</c:v>
                      </c:pt>
                      <c:pt idx="11">
                        <c:v>41</c:v>
                      </c:pt>
                      <c:pt idx="12">
                        <c:v>41</c:v>
                      </c:pt>
                      <c:pt idx="13">
                        <c:v>41</c:v>
                      </c:pt>
                      <c:pt idx="14">
                        <c:v>41</c:v>
                      </c:pt>
                      <c:pt idx="15">
                        <c:v>41</c:v>
                      </c:pt>
                      <c:pt idx="16">
                        <c:v>41</c:v>
                      </c:pt>
                      <c:pt idx="17">
                        <c:v>41</c:v>
                      </c:pt>
                      <c:pt idx="18">
                        <c:v>41</c:v>
                      </c:pt>
                      <c:pt idx="19">
                        <c:v>41</c:v>
                      </c:pt>
                      <c:pt idx="20">
                        <c:v>41</c:v>
                      </c:pt>
                      <c:pt idx="21">
                        <c:v>41</c:v>
                      </c:pt>
                      <c:pt idx="22">
                        <c:v>41</c:v>
                      </c:pt>
                      <c:pt idx="23">
                        <c:v>41</c:v>
                      </c:pt>
                      <c:pt idx="24">
                        <c:v>41</c:v>
                      </c:pt>
                      <c:pt idx="25">
                        <c:v>41</c:v>
                      </c:pt>
                      <c:pt idx="26">
                        <c:v>41</c:v>
                      </c:pt>
                      <c:pt idx="27">
                        <c:v>41</c:v>
                      </c:pt>
                      <c:pt idx="28">
                        <c:v>41</c:v>
                      </c:pt>
                      <c:pt idx="29">
                        <c:v>41</c:v>
                      </c:pt>
                      <c:pt idx="30">
                        <c:v>41</c:v>
                      </c:pt>
                    </c:numCache>
                  </c:numRef>
                </c:val>
                <c:smooth val="0"/>
                <c:extLst xmlns:c15="http://schemas.microsoft.com/office/drawing/2012/chart">
                  <c:ext xmlns:c16="http://schemas.microsoft.com/office/drawing/2014/chart" uri="{C3380CC4-5D6E-409C-BE32-E72D297353CC}">
                    <c16:uniqueId val="{0000000D-42EB-454F-A562-D174CF7FB191}"/>
                  </c:ext>
                </c:extLst>
              </c15:ser>
            </c15:filteredLineSeries>
            <c15:filteredLineSeries>
              <c15:ser>
                <c:idx val="14"/>
                <c:order val="14"/>
                <c:tx>
                  <c:strRef>
                    <c:extLst>
                      <c:ext xmlns:c15="http://schemas.microsoft.com/office/drawing/2012/chart" uri="{02D57815-91ED-43cb-92C2-25804820EDAC}">
                        <c15:formulaRef>
                          <c15:sqref>externo!$AC$3</c15:sqref>
                        </c15:formulaRef>
                      </c:ext>
                    </c:extLst>
                    <c:strCache>
                      <c:ptCount val="1"/>
                      <c:pt idx="0">
                        <c:v>Precio HI</c:v>
                      </c:pt>
                    </c:strCache>
                  </c:strRef>
                </c:tx>
                <c:spPr>
                  <a:ln w="28575" cap="rnd">
                    <a:solidFill>
                      <a:schemeClr val="accent3">
                        <a:lumMod val="80000"/>
                        <a:lumOff val="20000"/>
                      </a:schemeClr>
                    </a:solidFill>
                    <a:round/>
                  </a:ln>
                  <a:effectLst/>
                </c:spPr>
                <c:marker>
                  <c:symbol val="none"/>
                </c:marker>
                <c:val>
                  <c:numRef>
                    <c:extLst>
                      <c:ext xmlns:c15="http://schemas.microsoft.com/office/drawing/2012/chart" uri="{02D57815-91ED-43cb-92C2-25804820EDAC}">
                        <c15:formulaRef>
                          <c15:sqref>externo!$AC$4:$AC$34</c15:sqref>
                        </c15:formulaRef>
                      </c:ext>
                    </c:extLst>
                    <c:numCache>
                      <c:formatCode>General</c:formatCode>
                      <c:ptCount val="31"/>
                      <c:pt idx="0">
                        <c:v>2.6019999999999999</c:v>
                      </c:pt>
                      <c:pt idx="1">
                        <c:v>8.3149999999999995</c:v>
                      </c:pt>
                      <c:pt idx="2">
                        <c:v>72.811999999999998</c:v>
                      </c:pt>
                      <c:pt idx="3">
                        <c:v>107.74214285714284</c:v>
                      </c:pt>
                      <c:pt idx="4">
                        <c:v>103.10666666666668</c:v>
                      </c:pt>
                      <c:pt idx="5">
                        <c:v>101.755</c:v>
                      </c:pt>
                      <c:pt idx="6">
                        <c:v>91.826153846153844</c:v>
                      </c:pt>
                      <c:pt idx="7">
                        <c:v>75.531818181818196</c:v>
                      </c:pt>
                      <c:pt idx="8">
                        <c:v>17.494545454545456</c:v>
                      </c:pt>
                      <c:pt idx="9">
                        <c:v>75.406666666666666</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E-42EB-454F-A562-D174CF7FB191}"/>
                  </c:ext>
                </c:extLst>
              </c15:ser>
            </c15:filteredLineSeries>
            <c15:filteredLineSeries>
              <c15:ser>
                <c:idx val="15"/>
                <c:order val="15"/>
                <c:tx>
                  <c:strRef>
                    <c:extLst>
                      <c:ext xmlns:c15="http://schemas.microsoft.com/office/drawing/2012/chart" uri="{02D57815-91ED-43cb-92C2-25804820EDAC}">
                        <c15:formulaRef>
                          <c15:sqref>externo!$AD$3</c15:sqref>
                        </c15:formulaRef>
                      </c:ext>
                    </c:extLst>
                    <c:strCache>
                      <c:ptCount val="1"/>
                      <c:pt idx="0">
                        <c:v>Precio medio HI</c:v>
                      </c:pt>
                    </c:strCache>
                  </c:strRef>
                </c:tx>
                <c:spPr>
                  <a:ln w="28575" cap="rnd">
                    <a:solidFill>
                      <a:schemeClr val="accent4">
                        <a:lumMod val="80000"/>
                        <a:lumOff val="20000"/>
                      </a:schemeClr>
                    </a:solidFill>
                    <a:round/>
                  </a:ln>
                  <a:effectLst/>
                </c:spPr>
                <c:marker>
                  <c:symbol val="none"/>
                </c:marker>
                <c:val>
                  <c:numRef>
                    <c:extLst>
                      <c:ext xmlns:c15="http://schemas.microsoft.com/office/drawing/2012/chart" uri="{02D57815-91ED-43cb-92C2-25804820EDAC}">
                        <c15:formulaRef>
                          <c15:sqref>externo!$AD$4:$AD$34</c15:sqref>
                        </c15:formulaRef>
                      </c:ext>
                    </c:extLst>
                    <c:numCache>
                      <c:formatCode>General</c:formatCode>
                      <c:ptCount val="31"/>
                      <c:pt idx="0">
                        <c:v>65.659000000000006</c:v>
                      </c:pt>
                      <c:pt idx="1">
                        <c:v>65.659000000000006</c:v>
                      </c:pt>
                      <c:pt idx="2">
                        <c:v>65.659000000000006</c:v>
                      </c:pt>
                      <c:pt idx="3">
                        <c:v>65.659000000000006</c:v>
                      </c:pt>
                      <c:pt idx="4">
                        <c:v>65.659000000000006</c:v>
                      </c:pt>
                      <c:pt idx="5">
                        <c:v>65.659000000000006</c:v>
                      </c:pt>
                      <c:pt idx="6">
                        <c:v>65.659000000000006</c:v>
                      </c:pt>
                      <c:pt idx="7">
                        <c:v>65.659000000000006</c:v>
                      </c:pt>
                      <c:pt idx="8">
                        <c:v>65.659000000000006</c:v>
                      </c:pt>
                      <c:pt idx="9">
                        <c:v>65.659000000000006</c:v>
                      </c:pt>
                      <c:pt idx="10">
                        <c:v>65.659000000000006</c:v>
                      </c:pt>
                      <c:pt idx="11">
                        <c:v>65.659000000000006</c:v>
                      </c:pt>
                      <c:pt idx="12">
                        <c:v>65.659000000000006</c:v>
                      </c:pt>
                      <c:pt idx="13">
                        <c:v>65.659000000000006</c:v>
                      </c:pt>
                      <c:pt idx="14">
                        <c:v>65.659000000000006</c:v>
                      </c:pt>
                      <c:pt idx="15">
                        <c:v>65.659000000000006</c:v>
                      </c:pt>
                      <c:pt idx="16">
                        <c:v>65.659000000000006</c:v>
                      </c:pt>
                      <c:pt idx="17">
                        <c:v>65.659000000000006</c:v>
                      </c:pt>
                      <c:pt idx="18">
                        <c:v>65.659000000000006</c:v>
                      </c:pt>
                      <c:pt idx="19">
                        <c:v>65.659000000000006</c:v>
                      </c:pt>
                      <c:pt idx="20">
                        <c:v>65.659000000000006</c:v>
                      </c:pt>
                      <c:pt idx="21">
                        <c:v>65.659000000000006</c:v>
                      </c:pt>
                      <c:pt idx="22">
                        <c:v>65.659000000000006</c:v>
                      </c:pt>
                      <c:pt idx="23">
                        <c:v>65.659000000000006</c:v>
                      </c:pt>
                      <c:pt idx="24">
                        <c:v>65.659000000000006</c:v>
                      </c:pt>
                      <c:pt idx="25">
                        <c:v>65.659000000000006</c:v>
                      </c:pt>
                      <c:pt idx="26">
                        <c:v>65.659000000000006</c:v>
                      </c:pt>
                      <c:pt idx="27">
                        <c:v>65.659000000000006</c:v>
                      </c:pt>
                      <c:pt idx="28">
                        <c:v>65.659000000000006</c:v>
                      </c:pt>
                      <c:pt idx="29">
                        <c:v>65.659000000000006</c:v>
                      </c:pt>
                      <c:pt idx="30">
                        <c:v>65.659000000000006</c:v>
                      </c:pt>
                    </c:numCache>
                  </c:numRef>
                </c:val>
                <c:smooth val="0"/>
                <c:extLst xmlns:c15="http://schemas.microsoft.com/office/drawing/2012/chart">
                  <c:ext xmlns:c16="http://schemas.microsoft.com/office/drawing/2014/chart" uri="{C3380CC4-5D6E-409C-BE32-E72D297353CC}">
                    <c16:uniqueId val="{0000000F-42EB-454F-A562-D174CF7FB191}"/>
                  </c:ext>
                </c:extLst>
              </c15:ser>
            </c15:filteredLineSeries>
            <c15:filteredLineSeries>
              <c15:ser>
                <c:idx val="16"/>
                <c:order val="16"/>
                <c:tx>
                  <c:strRef>
                    <c:extLst>
                      <c:ext xmlns:c15="http://schemas.microsoft.com/office/drawing/2012/chart" uri="{02D57815-91ED-43cb-92C2-25804820EDAC}">
                        <c15:formulaRef>
                          <c15:sqref>externo!$AE$3</c15:sqref>
                        </c15:formulaRef>
                      </c:ext>
                    </c:extLst>
                    <c:strCache>
                      <c:ptCount val="1"/>
                      <c:pt idx="0">
                        <c:v>demanda grafico</c:v>
                      </c:pt>
                    </c:strCache>
                  </c:strRef>
                </c:tx>
                <c:spPr>
                  <a:ln w="28575" cap="rnd">
                    <a:solidFill>
                      <a:schemeClr val="accent5">
                        <a:lumMod val="80000"/>
                        <a:lumOff val="20000"/>
                      </a:schemeClr>
                    </a:solidFill>
                    <a:round/>
                  </a:ln>
                  <a:effectLst/>
                </c:spPr>
                <c:marker>
                  <c:symbol val="none"/>
                </c:marker>
                <c:val>
                  <c:numRef>
                    <c:extLst>
                      <c:ext xmlns:c15="http://schemas.microsoft.com/office/drawing/2012/chart" uri="{02D57815-91ED-43cb-92C2-25804820EDAC}">
                        <c15:formulaRef>
                          <c15:sqref>externo!$AE$4:$AE$34</c15:sqref>
                        </c15:formulaRef>
                      </c:ext>
                    </c:extLst>
                    <c:numCache>
                      <c:formatCode>General</c:formatCode>
                      <c:ptCount val="31"/>
                      <c:pt idx="0">
                        <c:v>561</c:v>
                      </c:pt>
                      <c:pt idx="1">
                        <c:v>519</c:v>
                      </c:pt>
                      <c:pt idx="2">
                        <c:v>623</c:v>
                      </c:pt>
                      <c:pt idx="3">
                        <c:v>635</c:v>
                      </c:pt>
                      <c:pt idx="4">
                        <c:v>651</c:v>
                      </c:pt>
                      <c:pt idx="5">
                        <c:v>665</c:v>
                      </c:pt>
                      <c:pt idx="6">
                        <c:v>663</c:v>
                      </c:pt>
                      <c:pt idx="7">
                        <c:v>581</c:v>
                      </c:pt>
                      <c:pt idx="8">
                        <c:v>375</c:v>
                      </c:pt>
                      <c:pt idx="9">
                        <c:v>0</c:v>
                      </c:pt>
                      <c:pt idx="10">
                        <c:v>527.29999999999995</c:v>
                      </c:pt>
                      <c:pt idx="11">
                        <c:v>527.29999999999995</c:v>
                      </c:pt>
                      <c:pt idx="12">
                        <c:v>527.29999999999995</c:v>
                      </c:pt>
                      <c:pt idx="13">
                        <c:v>527.29999999999995</c:v>
                      </c:pt>
                      <c:pt idx="14">
                        <c:v>527.29999999999995</c:v>
                      </c:pt>
                      <c:pt idx="15">
                        <c:v>527.29999999999995</c:v>
                      </c:pt>
                      <c:pt idx="16">
                        <c:v>527.29999999999995</c:v>
                      </c:pt>
                      <c:pt idx="17">
                        <c:v>527.29999999999995</c:v>
                      </c:pt>
                      <c:pt idx="18">
                        <c:v>527.29999999999995</c:v>
                      </c:pt>
                      <c:pt idx="19">
                        <c:v>527.29999999999995</c:v>
                      </c:pt>
                      <c:pt idx="20">
                        <c:v>527.29999999999995</c:v>
                      </c:pt>
                      <c:pt idx="21">
                        <c:v>527.29999999999995</c:v>
                      </c:pt>
                      <c:pt idx="22">
                        <c:v>527.29999999999995</c:v>
                      </c:pt>
                      <c:pt idx="23">
                        <c:v>527.29999999999995</c:v>
                      </c:pt>
                      <c:pt idx="24">
                        <c:v>527.29999999999995</c:v>
                      </c:pt>
                      <c:pt idx="25">
                        <c:v>527.29999999999995</c:v>
                      </c:pt>
                      <c:pt idx="26">
                        <c:v>527.29999999999995</c:v>
                      </c:pt>
                      <c:pt idx="27">
                        <c:v>527.29999999999995</c:v>
                      </c:pt>
                      <c:pt idx="28">
                        <c:v>527.29999999999995</c:v>
                      </c:pt>
                      <c:pt idx="29">
                        <c:v>527.29999999999995</c:v>
                      </c:pt>
                      <c:pt idx="30">
                        <c:v>527.29999999999995</c:v>
                      </c:pt>
                    </c:numCache>
                  </c:numRef>
                </c:val>
                <c:smooth val="0"/>
                <c:extLst xmlns:c15="http://schemas.microsoft.com/office/drawing/2012/chart">
                  <c:ext xmlns:c16="http://schemas.microsoft.com/office/drawing/2014/chart" uri="{C3380CC4-5D6E-409C-BE32-E72D297353CC}">
                    <c16:uniqueId val="{00000010-42EB-454F-A562-D174CF7FB191}"/>
                  </c:ext>
                </c:extLst>
              </c15:ser>
            </c15:filteredLineSeries>
          </c:ext>
        </c:extLst>
      </c:lineChart>
      <c:catAx>
        <c:axId val="796336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306093343"/>
        <c:crosses val="autoZero"/>
        <c:auto val="1"/>
        <c:lblAlgn val="ctr"/>
        <c:lblOffset val="100"/>
        <c:noMultiLvlLbl val="0"/>
      </c:catAx>
      <c:valAx>
        <c:axId val="30609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796336896"/>
        <c:crosses val="autoZero"/>
        <c:crossBetween val="between"/>
      </c:valAx>
      <c:valAx>
        <c:axId val="306049199"/>
        <c:scaling>
          <c:orientation val="minMax"/>
          <c:max val="2"/>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400" b="0" i="0" u="none" strike="noStrike" kern="1200" baseline="0">
                <a:solidFill>
                  <a:schemeClr val="bg1"/>
                </a:solidFill>
                <a:latin typeface="Arial Narrow" panose="020B0606020202030204" pitchFamily="34" charset="0"/>
                <a:ea typeface="+mn-ea"/>
                <a:cs typeface="+mn-cs"/>
              </a:defRPr>
            </a:pPr>
            <a:endParaRPr lang="es-ES"/>
          </a:p>
        </c:txPr>
        <c:crossAx val="327395439"/>
        <c:crosses val="max"/>
        <c:crossBetween val="between"/>
      </c:valAx>
      <c:catAx>
        <c:axId val="327395439"/>
        <c:scaling>
          <c:orientation val="minMax"/>
        </c:scaling>
        <c:delete val="1"/>
        <c:axPos val="b"/>
        <c:majorTickMark val="out"/>
        <c:minorTickMark val="none"/>
        <c:tickLblPos val="nextTo"/>
        <c:crossAx val="30604919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userShapes r:id="rId3"/>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2062164987398E-2"/>
          <c:y val="0"/>
          <c:w val="0.90863576366323995"/>
          <c:h val="1"/>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E840-4BC6-B845-8751A1B934CA}"/>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E840-4BC6-B845-8751A1B934CA}"/>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E840-4BC6-B845-8751A1B934CA}"/>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E840-4BC6-B845-8751A1B934CA}"/>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E840-4BC6-B845-8751A1B934CA}"/>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E840-4BC6-B845-8751A1B934CA}"/>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E840-4BC6-B845-8751A1B934CA}"/>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E840-4BC6-B845-8751A1B934CA}"/>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E840-4BC6-B845-8751A1B934CA}"/>
              </c:ext>
            </c:extLst>
          </c:dPt>
          <c:dPt>
            <c:idx val="9"/>
            <c:bubble3D val="0"/>
            <c:spPr>
              <a:noFill/>
              <a:ln w="19050">
                <a:noFill/>
              </a:ln>
              <a:effectLst/>
            </c:spPr>
            <c:extLst>
              <c:ext xmlns:c16="http://schemas.microsoft.com/office/drawing/2014/chart" uri="{C3380CC4-5D6E-409C-BE32-E72D297353CC}">
                <c16:uniqueId val="{00000013-E840-4BC6-B845-8751A1B934CA}"/>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E840-4BC6-B845-8751A1B934CA}"/>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E840-4BC6-B845-8751A1B934CA}"/>
              </c:ext>
            </c:extLst>
          </c:dPt>
          <c:xVal>
            <c:numRef>
              <c:f>[1]omie_dinamic_dia!$X$11:$X$12</c:f>
              <c:numCache>
                <c:formatCode>General</c:formatCode>
                <c:ptCount val="2"/>
                <c:pt idx="0">
                  <c:v>0</c:v>
                </c:pt>
                <c:pt idx="1">
                  <c:v>0.762442511011448</c:v>
                </c:pt>
              </c:numCache>
            </c:numRef>
          </c:xVal>
          <c:yVal>
            <c:numRef>
              <c:f>[1]omie_dinamic_dia!$Y$11:$Y$12</c:f>
              <c:numCache>
                <c:formatCode>General</c:formatCode>
                <c:ptCount val="2"/>
                <c:pt idx="0">
                  <c:v>0</c:v>
                </c:pt>
                <c:pt idx="1">
                  <c:v>0.64705596156944423</c:v>
                </c:pt>
              </c:numCache>
            </c:numRef>
          </c:yVal>
          <c:smooth val="1"/>
          <c:extLst>
            <c:ext xmlns:c16="http://schemas.microsoft.com/office/drawing/2014/chart" uri="{C3380CC4-5D6E-409C-BE32-E72D297353CC}">
              <c16:uniqueId val="{00000017-E840-4BC6-B845-8751A1B934CA}"/>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7851924982527E-2"/>
          <c:y val="6.8872807634068611E-2"/>
          <c:w val="0.8881918832655995"/>
          <c:h val="0.69281770511755181"/>
        </c:manualLayout>
      </c:layout>
      <c:doughnutChart>
        <c:varyColors val="1"/>
        <c:ser>
          <c:idx val="1"/>
          <c:order val="0"/>
          <c:tx>
            <c:v>a</c:v>
          </c:tx>
          <c:spPr>
            <a:solidFill>
              <a:schemeClr val="accent1">
                <a:lumMod val="50000"/>
              </a:schemeClr>
            </a:solidFill>
          </c:spPr>
          <c:explosion val="5"/>
          <c:dPt>
            <c:idx val="0"/>
            <c:bubble3D val="0"/>
            <c:spPr>
              <a:solidFill>
                <a:schemeClr val="accent2">
                  <a:lumMod val="20000"/>
                  <a:lumOff val="80000"/>
                </a:schemeClr>
              </a:solidFill>
            </c:spPr>
            <c:extLst>
              <c:ext xmlns:c16="http://schemas.microsoft.com/office/drawing/2014/chart" uri="{C3380CC4-5D6E-409C-BE32-E72D297353CC}">
                <c16:uniqueId val="{00000001-8FA8-41E8-80E3-3777F8B2F284}"/>
              </c:ext>
            </c:extLst>
          </c:dPt>
          <c:dPt>
            <c:idx val="1"/>
            <c:bubble3D val="0"/>
            <c:spPr>
              <a:solidFill>
                <a:schemeClr val="accent2">
                  <a:lumMod val="20000"/>
                  <a:lumOff val="80000"/>
                </a:schemeClr>
              </a:solidFill>
            </c:spPr>
            <c:extLst>
              <c:ext xmlns:c16="http://schemas.microsoft.com/office/drawing/2014/chart" uri="{C3380CC4-5D6E-409C-BE32-E72D297353CC}">
                <c16:uniqueId val="{00000003-8FA8-41E8-80E3-3777F8B2F284}"/>
              </c:ext>
            </c:extLst>
          </c:dPt>
          <c:dPt>
            <c:idx val="2"/>
            <c:bubble3D val="0"/>
            <c:spPr>
              <a:solidFill>
                <a:schemeClr val="accent2">
                  <a:lumMod val="40000"/>
                  <a:lumOff val="60000"/>
                </a:schemeClr>
              </a:solidFill>
            </c:spPr>
            <c:extLst>
              <c:ext xmlns:c16="http://schemas.microsoft.com/office/drawing/2014/chart" uri="{C3380CC4-5D6E-409C-BE32-E72D297353CC}">
                <c16:uniqueId val="{00000005-8FA8-41E8-80E3-3777F8B2F284}"/>
              </c:ext>
            </c:extLst>
          </c:dPt>
          <c:dPt>
            <c:idx val="3"/>
            <c:bubble3D val="0"/>
            <c:spPr>
              <a:solidFill>
                <a:schemeClr val="accent2">
                  <a:lumMod val="40000"/>
                  <a:lumOff val="60000"/>
                </a:schemeClr>
              </a:solidFill>
            </c:spPr>
            <c:extLst>
              <c:ext xmlns:c16="http://schemas.microsoft.com/office/drawing/2014/chart" uri="{C3380CC4-5D6E-409C-BE32-E72D297353CC}">
                <c16:uniqueId val="{00000007-8FA8-41E8-80E3-3777F8B2F284}"/>
              </c:ext>
            </c:extLst>
          </c:dPt>
          <c:dPt>
            <c:idx val="4"/>
            <c:bubble3D val="0"/>
            <c:spPr>
              <a:solidFill>
                <a:schemeClr val="accent2">
                  <a:lumMod val="60000"/>
                  <a:lumOff val="40000"/>
                </a:schemeClr>
              </a:solidFill>
            </c:spPr>
            <c:extLst>
              <c:ext xmlns:c16="http://schemas.microsoft.com/office/drawing/2014/chart" uri="{C3380CC4-5D6E-409C-BE32-E72D297353CC}">
                <c16:uniqueId val="{00000009-8FA8-41E8-80E3-3777F8B2F284}"/>
              </c:ext>
            </c:extLst>
          </c:dPt>
          <c:dPt>
            <c:idx val="5"/>
            <c:bubble3D val="0"/>
            <c:spPr>
              <a:solidFill>
                <a:schemeClr val="accent2">
                  <a:lumMod val="60000"/>
                  <a:lumOff val="40000"/>
                </a:schemeClr>
              </a:solidFill>
            </c:spPr>
            <c:extLst>
              <c:ext xmlns:c16="http://schemas.microsoft.com/office/drawing/2014/chart" uri="{C3380CC4-5D6E-409C-BE32-E72D297353CC}">
                <c16:uniqueId val="{0000000B-8FA8-41E8-80E3-3777F8B2F284}"/>
              </c:ext>
            </c:extLst>
          </c:dPt>
          <c:dPt>
            <c:idx val="6"/>
            <c:bubble3D val="0"/>
            <c:spPr>
              <a:solidFill>
                <a:schemeClr val="accent2">
                  <a:lumMod val="75000"/>
                </a:schemeClr>
              </a:solidFill>
            </c:spPr>
            <c:extLst>
              <c:ext xmlns:c16="http://schemas.microsoft.com/office/drawing/2014/chart" uri="{C3380CC4-5D6E-409C-BE32-E72D297353CC}">
                <c16:uniqueId val="{0000000D-8FA8-41E8-80E3-3777F8B2F284}"/>
              </c:ext>
            </c:extLst>
          </c:dPt>
          <c:dPt>
            <c:idx val="7"/>
            <c:bubble3D val="0"/>
            <c:spPr>
              <a:solidFill>
                <a:schemeClr val="accent2">
                  <a:lumMod val="75000"/>
                </a:schemeClr>
              </a:solidFill>
            </c:spPr>
            <c:extLst>
              <c:ext xmlns:c16="http://schemas.microsoft.com/office/drawing/2014/chart" uri="{C3380CC4-5D6E-409C-BE32-E72D297353CC}">
                <c16:uniqueId val="{0000000F-8FA8-41E8-80E3-3777F8B2F284}"/>
              </c:ext>
            </c:extLst>
          </c:dPt>
          <c:dPt>
            <c:idx val="8"/>
            <c:bubble3D val="0"/>
            <c:spPr>
              <a:solidFill>
                <a:schemeClr val="accent2">
                  <a:lumMod val="50000"/>
                </a:schemeClr>
              </a:solidFill>
            </c:spPr>
            <c:extLst>
              <c:ext xmlns:c16="http://schemas.microsoft.com/office/drawing/2014/chart" uri="{C3380CC4-5D6E-409C-BE32-E72D297353CC}">
                <c16:uniqueId val="{00000011-8FA8-41E8-80E3-3777F8B2F284}"/>
              </c:ext>
            </c:extLst>
          </c:dPt>
          <c:dPt>
            <c:idx val="9"/>
            <c:bubble3D val="0"/>
            <c:spPr>
              <a:noFill/>
            </c:spPr>
            <c:extLst>
              <c:ext xmlns:c16="http://schemas.microsoft.com/office/drawing/2014/chart" uri="{C3380CC4-5D6E-409C-BE32-E72D297353CC}">
                <c16:uniqueId val="{00000013-8FA8-41E8-80E3-3777F8B2F284}"/>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8FA8-41E8-80E3-3777F8B2F284}"/>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[1]omie_dinamic_dia!$AB$20:$AB$21</c:f>
              <c:numCache>
                <c:formatCode>General</c:formatCode>
                <c:ptCount val="2"/>
                <c:pt idx="0">
                  <c:v>0</c:v>
                </c:pt>
                <c:pt idx="1">
                  <c:v>-0.98768834059513777</c:v>
                </c:pt>
              </c:numCache>
            </c:numRef>
          </c:xVal>
          <c:yVal>
            <c:numRef>
              <c:f>[1]omie_dinamic_dia!$AC$20:$AC$21</c:f>
              <c:numCache>
                <c:formatCode>General</c:formatCode>
                <c:ptCount val="2"/>
                <c:pt idx="0">
                  <c:v>0</c:v>
                </c:pt>
                <c:pt idx="1">
                  <c:v>0.15643446504023087</c:v>
                </c:pt>
              </c:numCache>
            </c:numRef>
          </c:yVal>
          <c:smooth val="1"/>
          <c:extLst>
            <c:ext xmlns:c16="http://schemas.microsoft.com/office/drawing/2014/chart" uri="{C3380CC4-5D6E-409C-BE32-E72D297353CC}">
              <c16:uniqueId val="{00000015-8FA8-41E8-80E3-3777F8B2F284}"/>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884767976880078E-2"/>
          <c:y val="0.12432910521623765"/>
          <c:w val="0.96337578488856979"/>
          <c:h val="0.8411346311549518"/>
        </c:manualLayout>
      </c:layout>
      <c:doughnutChart>
        <c:varyColors val="1"/>
        <c:ser>
          <c:idx val="1"/>
          <c:order val="0"/>
          <c:tx>
            <c:v>a</c:v>
          </c:tx>
          <c:explosion val="5"/>
          <c:dPt>
            <c:idx val="0"/>
            <c:bubble3D val="0"/>
            <c:spPr>
              <a:solidFill>
                <a:schemeClr val="accent1">
                  <a:lumMod val="20000"/>
                  <a:lumOff val="80000"/>
                </a:schemeClr>
              </a:solidFill>
            </c:spPr>
            <c:extLst>
              <c:ext xmlns:c16="http://schemas.microsoft.com/office/drawing/2014/chart" uri="{C3380CC4-5D6E-409C-BE32-E72D297353CC}">
                <c16:uniqueId val="{00000001-8CA4-420E-9A5D-6BEC7D88154D}"/>
              </c:ext>
            </c:extLst>
          </c:dPt>
          <c:dPt>
            <c:idx val="1"/>
            <c:bubble3D val="0"/>
            <c:spPr>
              <a:solidFill>
                <a:schemeClr val="accent1">
                  <a:lumMod val="20000"/>
                  <a:lumOff val="80000"/>
                </a:schemeClr>
              </a:solidFill>
            </c:spPr>
            <c:extLst>
              <c:ext xmlns:c16="http://schemas.microsoft.com/office/drawing/2014/chart" uri="{C3380CC4-5D6E-409C-BE32-E72D297353CC}">
                <c16:uniqueId val="{00000003-8CA4-420E-9A5D-6BEC7D88154D}"/>
              </c:ext>
            </c:extLst>
          </c:dPt>
          <c:dPt>
            <c:idx val="2"/>
            <c:bubble3D val="0"/>
            <c:spPr>
              <a:solidFill>
                <a:schemeClr val="accent1">
                  <a:lumMod val="40000"/>
                  <a:lumOff val="60000"/>
                </a:schemeClr>
              </a:solidFill>
            </c:spPr>
            <c:extLst>
              <c:ext xmlns:c16="http://schemas.microsoft.com/office/drawing/2014/chart" uri="{C3380CC4-5D6E-409C-BE32-E72D297353CC}">
                <c16:uniqueId val="{00000005-8CA4-420E-9A5D-6BEC7D88154D}"/>
              </c:ext>
            </c:extLst>
          </c:dPt>
          <c:dPt>
            <c:idx val="3"/>
            <c:bubble3D val="0"/>
            <c:spPr>
              <a:solidFill>
                <a:schemeClr val="accent1">
                  <a:lumMod val="40000"/>
                  <a:lumOff val="60000"/>
                </a:schemeClr>
              </a:solidFill>
            </c:spPr>
            <c:extLst>
              <c:ext xmlns:c16="http://schemas.microsoft.com/office/drawing/2014/chart" uri="{C3380CC4-5D6E-409C-BE32-E72D297353CC}">
                <c16:uniqueId val="{00000007-8CA4-420E-9A5D-6BEC7D88154D}"/>
              </c:ext>
            </c:extLst>
          </c:dPt>
          <c:dPt>
            <c:idx val="4"/>
            <c:bubble3D val="0"/>
            <c:spPr>
              <a:solidFill>
                <a:schemeClr val="accent1">
                  <a:lumMod val="60000"/>
                  <a:lumOff val="40000"/>
                </a:schemeClr>
              </a:solidFill>
            </c:spPr>
            <c:extLst>
              <c:ext xmlns:c16="http://schemas.microsoft.com/office/drawing/2014/chart" uri="{C3380CC4-5D6E-409C-BE32-E72D297353CC}">
                <c16:uniqueId val="{00000009-8CA4-420E-9A5D-6BEC7D88154D}"/>
              </c:ext>
            </c:extLst>
          </c:dPt>
          <c:dPt>
            <c:idx val="5"/>
            <c:bubble3D val="0"/>
            <c:spPr>
              <a:solidFill>
                <a:schemeClr val="accent1">
                  <a:lumMod val="60000"/>
                  <a:lumOff val="40000"/>
                </a:schemeClr>
              </a:solidFill>
            </c:spPr>
            <c:extLst>
              <c:ext xmlns:c16="http://schemas.microsoft.com/office/drawing/2014/chart" uri="{C3380CC4-5D6E-409C-BE32-E72D297353CC}">
                <c16:uniqueId val="{0000000B-8CA4-420E-9A5D-6BEC7D88154D}"/>
              </c:ext>
            </c:extLst>
          </c:dPt>
          <c:dPt>
            <c:idx val="6"/>
            <c:bubble3D val="0"/>
            <c:spPr>
              <a:solidFill>
                <a:schemeClr val="accent1">
                  <a:lumMod val="75000"/>
                </a:schemeClr>
              </a:solidFill>
            </c:spPr>
            <c:extLst>
              <c:ext xmlns:c16="http://schemas.microsoft.com/office/drawing/2014/chart" uri="{C3380CC4-5D6E-409C-BE32-E72D297353CC}">
                <c16:uniqueId val="{0000000D-8CA4-420E-9A5D-6BEC7D88154D}"/>
              </c:ext>
            </c:extLst>
          </c:dPt>
          <c:dPt>
            <c:idx val="7"/>
            <c:bubble3D val="0"/>
            <c:spPr>
              <a:solidFill>
                <a:schemeClr val="accent1">
                  <a:lumMod val="75000"/>
                </a:schemeClr>
              </a:solidFill>
            </c:spPr>
            <c:extLst>
              <c:ext xmlns:c16="http://schemas.microsoft.com/office/drawing/2014/chart" uri="{C3380CC4-5D6E-409C-BE32-E72D297353CC}">
                <c16:uniqueId val="{0000000F-8CA4-420E-9A5D-6BEC7D88154D}"/>
              </c:ext>
            </c:extLst>
          </c:dPt>
          <c:dPt>
            <c:idx val="8"/>
            <c:bubble3D val="0"/>
            <c:spPr>
              <a:solidFill>
                <a:schemeClr val="accent1">
                  <a:lumMod val="50000"/>
                </a:schemeClr>
              </a:solidFill>
            </c:spPr>
            <c:extLst>
              <c:ext xmlns:c16="http://schemas.microsoft.com/office/drawing/2014/chart" uri="{C3380CC4-5D6E-409C-BE32-E72D297353CC}">
                <c16:uniqueId val="{00000011-8CA4-420E-9A5D-6BEC7D88154D}"/>
              </c:ext>
            </c:extLst>
          </c:dPt>
          <c:dPt>
            <c:idx val="9"/>
            <c:bubble3D val="0"/>
            <c:spPr>
              <a:noFill/>
            </c:spPr>
            <c:extLst>
              <c:ext xmlns:c16="http://schemas.microsoft.com/office/drawing/2014/chart" uri="{C3380CC4-5D6E-409C-BE32-E72D297353CC}">
                <c16:uniqueId val="{00000013-8CA4-420E-9A5D-6BEC7D88154D}"/>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8CA4-420E-9A5D-6BEC7D88154D}"/>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[1]omie_dinamic_dia!$X$37:$X$38</c:f>
              <c:numCache>
                <c:formatCode>General</c:formatCode>
                <c:ptCount val="2"/>
                <c:pt idx="0">
                  <c:v>0</c:v>
                </c:pt>
                <c:pt idx="1">
                  <c:v>0.70710678118654746</c:v>
                </c:pt>
              </c:numCache>
            </c:numRef>
          </c:xVal>
          <c:yVal>
            <c:numRef>
              <c:f>[1]omie_dinamic_dia!$Y$37:$Y$38</c:f>
              <c:numCache>
                <c:formatCode>General</c:formatCode>
                <c:ptCount val="2"/>
                <c:pt idx="0">
                  <c:v>0</c:v>
                </c:pt>
                <c:pt idx="1">
                  <c:v>0.70710678118654757</c:v>
                </c:pt>
              </c:numCache>
            </c:numRef>
          </c:yVal>
          <c:smooth val="1"/>
          <c:extLst>
            <c:ext xmlns:c16="http://schemas.microsoft.com/office/drawing/2014/chart" uri="{C3380CC4-5D6E-409C-BE32-E72D297353CC}">
              <c16:uniqueId val="{00000015-8CA4-420E-9A5D-6BEC7D88154D}"/>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604687200724527"/>
          <c:y val="6.8843541840069106E-2"/>
          <c:w val="0.83521729911743536"/>
          <c:h val="0.81999444998953841"/>
        </c:manualLayout>
      </c:layout>
      <c:areaChart>
        <c:grouping val="standard"/>
        <c:varyColors val="0"/>
        <c:ser>
          <c:idx val="0"/>
          <c:order val="0"/>
          <c:tx>
            <c:v>demanda</c:v>
          </c:tx>
          <c:spPr>
            <a:solidFill>
              <a:schemeClr val="accent1">
                <a:lumMod val="20000"/>
                <a:lumOff val="80000"/>
              </a:schemeClr>
            </a:solidFill>
            <a:ln>
              <a:noFill/>
            </a:ln>
            <a:effectLst/>
          </c:spPr>
          <c:cat>
            <c:numRef>
              <c:f>externo!$O$4:$O$34</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externo!$X$4:$X$34</c:f>
              <c:numCache>
                <c:formatCode>General</c:formatCode>
                <c:ptCount val="31"/>
                <c:pt idx="0">
                  <c:v>561</c:v>
                </c:pt>
                <c:pt idx="1">
                  <c:v>519</c:v>
                </c:pt>
                <c:pt idx="2">
                  <c:v>623</c:v>
                </c:pt>
                <c:pt idx="3">
                  <c:v>635</c:v>
                </c:pt>
                <c:pt idx="4">
                  <c:v>651</c:v>
                </c:pt>
                <c:pt idx="5">
                  <c:v>665</c:v>
                </c:pt>
                <c:pt idx="6">
                  <c:v>663</c:v>
                </c:pt>
                <c:pt idx="7">
                  <c:v>581</c:v>
                </c:pt>
                <c:pt idx="8">
                  <c:v>375</c:v>
                </c:pt>
                <c:pt idx="9">
                  <c:v>0</c:v>
                </c:pt>
              </c:numCache>
            </c:numRef>
          </c:val>
          <c:extLst>
            <c:ext xmlns:c16="http://schemas.microsoft.com/office/drawing/2014/chart" uri="{C3380CC4-5D6E-409C-BE32-E72D297353CC}">
              <c16:uniqueId val="{00000000-1FFC-4A52-BE00-D1B816D195ED}"/>
            </c:ext>
          </c:extLst>
        </c:ser>
        <c:dLbls>
          <c:showLegendKey val="0"/>
          <c:showVal val="0"/>
          <c:showCatName val="0"/>
          <c:showSerName val="0"/>
          <c:showPercent val="0"/>
          <c:showBubbleSize val="0"/>
        </c:dLbls>
        <c:axId val="2080834575"/>
        <c:axId val="2080836015"/>
      </c:areaChart>
      <c:catAx>
        <c:axId val="2080834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2080836015"/>
        <c:crosses val="autoZero"/>
        <c:auto val="1"/>
        <c:lblAlgn val="ctr"/>
        <c:lblOffset val="100"/>
        <c:noMultiLvlLbl val="0"/>
      </c:catAx>
      <c:valAx>
        <c:axId val="20808360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208083457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1142748380022218E-2"/>
          <c:y val="0.14434157547888724"/>
          <c:w val="0.81771450323995554"/>
          <c:h val="0.73327569855770214"/>
        </c:manualLayout>
      </c:layout>
      <c:scatterChart>
        <c:scatterStyle val="smoothMarker"/>
        <c:varyColors val="0"/>
        <c:ser>
          <c:idx val="0"/>
          <c:order val="0"/>
          <c:spPr>
            <a:ln w="19050" cap="rnd">
              <a:solidFill>
                <a:schemeClr val="accent1"/>
              </a:solidFill>
              <a:round/>
            </a:ln>
            <a:effectLst/>
          </c:spPr>
          <c:marker>
            <c:symbol val="circle"/>
            <c:size val="4"/>
            <c:spPr>
              <a:solidFill>
                <a:schemeClr val="accent1"/>
              </a:solidFill>
              <a:ln w="9525">
                <a:solidFill>
                  <a:schemeClr val="accent1"/>
                </a:solidFill>
              </a:ln>
              <a:effectLst/>
            </c:spPr>
          </c:marker>
          <c:xVal>
            <c:numRef>
              <c:f>gauss!$B$3:$B$55</c:f>
              <c:numCache>
                <c:formatCode>0.00</c:formatCode>
                <c:ptCount val="53"/>
                <c:pt idx="0">
                  <c:v>99.95</c:v>
                </c:pt>
                <c:pt idx="1">
                  <c:v>86.46</c:v>
                </c:pt>
                <c:pt idx="2">
                  <c:v>69</c:v>
                </c:pt>
                <c:pt idx="3">
                  <c:v>63.57</c:v>
                </c:pt>
                <c:pt idx="4">
                  <c:v>63.18</c:v>
                </c:pt>
                <c:pt idx="5">
                  <c:v>60.31</c:v>
                </c:pt>
                <c:pt idx="6">
                  <c:v>60.1</c:v>
                </c:pt>
                <c:pt idx="7">
                  <c:v>59</c:v>
                </c:pt>
                <c:pt idx="8">
                  <c:v>58.88</c:v>
                </c:pt>
                <c:pt idx="9">
                  <c:v>56.3</c:v>
                </c:pt>
                <c:pt idx="10">
                  <c:v>56.2</c:v>
                </c:pt>
                <c:pt idx="11">
                  <c:v>55.55</c:v>
                </c:pt>
                <c:pt idx="12">
                  <c:v>55.33</c:v>
                </c:pt>
                <c:pt idx="13">
                  <c:v>55.32</c:v>
                </c:pt>
                <c:pt idx="14">
                  <c:v>55.3</c:v>
                </c:pt>
                <c:pt idx="15">
                  <c:v>55</c:v>
                </c:pt>
                <c:pt idx="16">
                  <c:v>54.56</c:v>
                </c:pt>
                <c:pt idx="17">
                  <c:v>54.22</c:v>
                </c:pt>
                <c:pt idx="18">
                  <c:v>53.41</c:v>
                </c:pt>
                <c:pt idx="19">
                  <c:v>53.4</c:v>
                </c:pt>
                <c:pt idx="20">
                  <c:v>53.21</c:v>
                </c:pt>
                <c:pt idx="21">
                  <c:v>53.2</c:v>
                </c:pt>
                <c:pt idx="22">
                  <c:v>52.95</c:v>
                </c:pt>
                <c:pt idx="23">
                  <c:v>52.5</c:v>
                </c:pt>
                <c:pt idx="24">
                  <c:v>52.24</c:v>
                </c:pt>
                <c:pt idx="25">
                  <c:v>51.49</c:v>
                </c:pt>
                <c:pt idx="26">
                  <c:v>51.4</c:v>
                </c:pt>
                <c:pt idx="27">
                  <c:v>50.8</c:v>
                </c:pt>
                <c:pt idx="28">
                  <c:v>49.29</c:v>
                </c:pt>
                <c:pt idx="29">
                  <c:v>48.01</c:v>
                </c:pt>
                <c:pt idx="30">
                  <c:v>47.82</c:v>
                </c:pt>
                <c:pt idx="31">
                  <c:v>46.66</c:v>
                </c:pt>
                <c:pt idx="32">
                  <c:v>46.5</c:v>
                </c:pt>
                <c:pt idx="33">
                  <c:v>44.45</c:v>
                </c:pt>
                <c:pt idx="34">
                  <c:v>44.44</c:v>
                </c:pt>
                <c:pt idx="35">
                  <c:v>43.83</c:v>
                </c:pt>
                <c:pt idx="36">
                  <c:v>43.73</c:v>
                </c:pt>
                <c:pt idx="37">
                  <c:v>43.71</c:v>
                </c:pt>
                <c:pt idx="38">
                  <c:v>43.28</c:v>
                </c:pt>
                <c:pt idx="39">
                  <c:v>43.2</c:v>
                </c:pt>
                <c:pt idx="40">
                  <c:v>42.25</c:v>
                </c:pt>
                <c:pt idx="41">
                  <c:v>42.11</c:v>
                </c:pt>
                <c:pt idx="42">
                  <c:v>42.1</c:v>
                </c:pt>
                <c:pt idx="43">
                  <c:v>41.91</c:v>
                </c:pt>
                <c:pt idx="44">
                  <c:v>39.93</c:v>
                </c:pt>
                <c:pt idx="45">
                  <c:v>39.590000000000003</c:v>
                </c:pt>
                <c:pt idx="46">
                  <c:v>38.9</c:v>
                </c:pt>
                <c:pt idx="47">
                  <c:v>38.5</c:v>
                </c:pt>
                <c:pt idx="48">
                  <c:v>35.880000000000003</c:v>
                </c:pt>
                <c:pt idx="49">
                  <c:v>35.15</c:v>
                </c:pt>
                <c:pt idx="50">
                  <c:v>35</c:v>
                </c:pt>
                <c:pt idx="51">
                  <c:v>31.85</c:v>
                </c:pt>
                <c:pt idx="52">
                  <c:v>29.45</c:v>
                </c:pt>
              </c:numCache>
            </c:numRef>
          </c:xVal>
          <c:yVal>
            <c:numRef>
              <c:f>gauss!$C$3:$C$55</c:f>
              <c:numCache>
                <c:formatCode>General</c:formatCode>
                <c:ptCount val="53"/>
                <c:pt idx="0">
                  <c:v>8.1569149811839364E-6</c:v>
                </c:pt>
                <c:pt idx="1">
                  <c:v>4.0993843916158789E-4</c:v>
                </c:pt>
                <c:pt idx="2">
                  <c:v>1.0358860867227933E-2</c:v>
                </c:pt>
                <c:pt idx="3">
                  <c:v>1.8521726890342111E-2</c:v>
                </c:pt>
                <c:pt idx="4">
                  <c:v>1.9162420472101625E-2</c:v>
                </c:pt>
                <c:pt idx="5">
                  <c:v>2.3839446777150615E-2</c:v>
                </c:pt>
                <c:pt idx="6">
                  <c:v>2.417015722323218E-2</c:v>
                </c:pt>
                <c:pt idx="7">
                  <c:v>2.5851711848947214E-2</c:v>
                </c:pt>
                <c:pt idx="8">
                  <c:v>2.6029109115460001E-2</c:v>
                </c:pt>
                <c:pt idx="9">
                  <c:v>2.9444985805457853E-2</c:v>
                </c:pt>
                <c:pt idx="10">
                  <c:v>2.9559060797660405E-2</c:v>
                </c:pt>
                <c:pt idx="11">
                  <c:v>3.0261115615784706E-2</c:v>
                </c:pt>
                <c:pt idx="12">
                  <c:v>3.0482615561493811E-2</c:v>
                </c:pt>
                <c:pt idx="13">
                  <c:v>3.0492483330119741E-2</c:v>
                </c:pt>
                <c:pt idx="14">
                  <c:v>3.0512166104394851E-2</c:v>
                </c:pt>
                <c:pt idx="15">
                  <c:v>3.079886602935818E-2</c:v>
                </c:pt>
                <c:pt idx="16">
                  <c:v>3.1189635264621794E-2</c:v>
                </c:pt>
                <c:pt idx="17">
                  <c:v>3.1466553667715634E-2</c:v>
                </c:pt>
                <c:pt idx="18">
                  <c:v>3.2034433098934251E-2</c:v>
                </c:pt>
                <c:pt idx="19">
                  <c:v>3.2040612850570943E-2</c:v>
                </c:pt>
                <c:pt idx="20">
                  <c:v>3.2154093497112152E-2</c:v>
                </c:pt>
                <c:pt idx="21">
                  <c:v>3.2159858236872001E-2</c:v>
                </c:pt>
                <c:pt idx="22">
                  <c:v>3.2297162921110865E-2</c:v>
                </c:pt>
                <c:pt idx="23">
                  <c:v>3.2510895215535282E-2</c:v>
                </c:pt>
                <c:pt idx="24">
                  <c:v>3.2614518829998405E-2</c:v>
                </c:pt>
                <c:pt idx="25">
                  <c:v>3.2830484186727793E-2</c:v>
                </c:pt>
                <c:pt idx="26">
                  <c:v>3.2848037726113138E-2</c:v>
                </c:pt>
                <c:pt idx="27">
                  <c:v>3.291885598075793E-2</c:v>
                </c:pt>
                <c:pt idx="28">
                  <c:v>3.274057124889139E-2</c:v>
                </c:pt>
                <c:pt idx="29">
                  <c:v>3.2196236550925413E-2</c:v>
                </c:pt>
                <c:pt idx="30">
                  <c:v>3.208567814276999E-2</c:v>
                </c:pt>
                <c:pt idx="31">
                  <c:v>3.1251760993383539E-2</c:v>
                </c:pt>
                <c:pt idx="32">
                  <c:v>3.1116063135133615E-2</c:v>
                </c:pt>
                <c:pt idx="33">
                  <c:v>2.8978120006244969E-2</c:v>
                </c:pt>
                <c:pt idx="34">
                  <c:v>2.8966027358424944E-2</c:v>
                </c:pt>
                <c:pt idx="35">
                  <c:v>2.8201492522608559E-2</c:v>
                </c:pt>
                <c:pt idx="36">
                  <c:v>2.8071310105094584E-2</c:v>
                </c:pt>
                <c:pt idx="37">
                  <c:v>2.8045116598574539E-2</c:v>
                </c:pt>
                <c:pt idx="38">
                  <c:v>2.7469722444886095E-2</c:v>
                </c:pt>
                <c:pt idx="39">
                  <c:v>2.7360180252802808E-2</c:v>
                </c:pt>
                <c:pt idx="40">
                  <c:v>2.6005477732885907E-2</c:v>
                </c:pt>
                <c:pt idx="41">
                  <c:v>2.5798179272348554E-2</c:v>
                </c:pt>
                <c:pt idx="42">
                  <c:v>2.5783303916234446E-2</c:v>
                </c:pt>
                <c:pt idx="43">
                  <c:v>2.5498996098765752E-2</c:v>
                </c:pt>
                <c:pt idx="44">
                  <c:v>2.2386483013174266E-2</c:v>
                </c:pt>
                <c:pt idx="45">
                  <c:v>2.1832868715869203E-2</c:v>
                </c:pt>
                <c:pt idx="46">
                  <c:v>2.0700921135504726E-2</c:v>
                </c:pt>
                <c:pt idx="47">
                  <c:v>2.004200933467468E-2</c:v>
                </c:pt>
                <c:pt idx="48">
                  <c:v>1.578416156759891E-2</c:v>
                </c:pt>
                <c:pt idx="49">
                  <c:v>1.4645545265100861E-2</c:v>
                </c:pt>
                <c:pt idx="50">
                  <c:v>1.4415474749857195E-2</c:v>
                </c:pt>
                <c:pt idx="51">
                  <c:v>9.9780564346768786E-3</c:v>
                </c:pt>
                <c:pt idx="52">
                  <c:v>7.2045339912180668E-3</c:v>
                </c:pt>
              </c:numCache>
            </c:numRef>
          </c:yVal>
          <c:smooth val="1"/>
          <c:extLst>
            <c:ext xmlns:c16="http://schemas.microsoft.com/office/drawing/2014/chart" uri="{C3380CC4-5D6E-409C-BE32-E72D297353CC}">
              <c16:uniqueId val="{00000000-67D9-4088-84C8-C5471B98CFA3}"/>
            </c:ext>
          </c:extLst>
        </c:ser>
        <c:dLbls>
          <c:showLegendKey val="0"/>
          <c:showVal val="0"/>
          <c:showCatName val="0"/>
          <c:showSerName val="0"/>
          <c:showPercent val="0"/>
          <c:showBubbleSize val="0"/>
        </c:dLbls>
        <c:axId val="123170559"/>
        <c:axId val="123171039"/>
      </c:scatterChart>
      <c:scatterChart>
        <c:scatterStyle val="smoothMarker"/>
        <c:varyColors val="0"/>
        <c:ser>
          <c:idx val="3"/>
          <c:order val="3"/>
          <c:tx>
            <c:v>b</c:v>
          </c:tx>
          <c:spPr>
            <a:ln w="19050" cap="rnd">
              <a:solidFill>
                <a:schemeClr val="accent4"/>
              </a:solidFill>
              <a:round/>
            </a:ln>
            <a:effectLst/>
          </c:spPr>
          <c:marker>
            <c:symbol val="none"/>
          </c:marker>
          <c:dPt>
            <c:idx val="1"/>
            <c:marker>
              <c:symbol val="none"/>
            </c:marker>
            <c:bubble3D val="0"/>
            <c:spPr>
              <a:ln w="19050" cap="rnd">
                <a:solidFill>
                  <a:srgbClr val="C00000"/>
                </a:solidFill>
                <a:round/>
              </a:ln>
              <a:effectLst/>
            </c:spPr>
            <c:extLst>
              <c:ext xmlns:c16="http://schemas.microsoft.com/office/drawing/2014/chart" uri="{C3380CC4-5D6E-409C-BE32-E72D297353CC}">
                <c16:uniqueId val="{00000006-67D9-4088-84C8-C5471B98CFA3}"/>
              </c:ext>
            </c:extLst>
          </c:dPt>
          <c:xVal>
            <c:numRef>
              <c:f>gauss!$L$49:$L$50</c:f>
              <c:numCache>
                <c:formatCode>0.00</c:formatCode>
                <c:ptCount val="2"/>
                <c:pt idx="0">
                  <c:v>52.05</c:v>
                </c:pt>
                <c:pt idx="1">
                  <c:v>52.05</c:v>
                </c:pt>
              </c:numCache>
            </c:numRef>
          </c:xVal>
          <c:yVal>
            <c:numRef>
              <c:f>gauss!$M$49:$M$50</c:f>
              <c:numCache>
                <c:formatCode>General</c:formatCode>
                <c:ptCount val="2"/>
                <c:pt idx="0">
                  <c:v>0</c:v>
                </c:pt>
                <c:pt idx="1">
                  <c:v>3.2614518829998405E-2</c:v>
                </c:pt>
              </c:numCache>
            </c:numRef>
          </c:yVal>
          <c:smooth val="1"/>
          <c:extLst>
            <c:ext xmlns:c16="http://schemas.microsoft.com/office/drawing/2014/chart" uri="{C3380CC4-5D6E-409C-BE32-E72D297353CC}">
              <c16:uniqueId val="{00000005-67D9-4088-84C8-C5471B98CFA3}"/>
            </c:ext>
          </c:extLst>
        </c:ser>
        <c:dLbls>
          <c:showLegendKey val="0"/>
          <c:showVal val="0"/>
          <c:showCatName val="0"/>
          <c:showSerName val="0"/>
          <c:showPercent val="0"/>
          <c:showBubbleSize val="0"/>
        </c:dLbls>
        <c:axId val="747659711"/>
        <c:axId val="747645791"/>
        <c:extLst>
          <c:ext xmlns:c15="http://schemas.microsoft.com/office/drawing/2012/chart" uri="{02D57815-91ED-43cb-92C2-25804820EDAC}">
            <c15:filteredScatterSeries>
              <c15:ser>
                <c:idx val="1"/>
                <c:order val="1"/>
                <c:tx>
                  <c:v>acum</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gauss!$B$3:$B$55</c15:sqref>
                        </c15:formulaRef>
                      </c:ext>
                    </c:extLst>
                    <c:numCache>
                      <c:formatCode>0.00</c:formatCode>
                      <c:ptCount val="53"/>
                      <c:pt idx="0">
                        <c:v>99.95</c:v>
                      </c:pt>
                      <c:pt idx="1">
                        <c:v>86.46</c:v>
                      </c:pt>
                      <c:pt idx="2">
                        <c:v>69</c:v>
                      </c:pt>
                      <c:pt idx="3">
                        <c:v>63.57</c:v>
                      </c:pt>
                      <c:pt idx="4">
                        <c:v>63.18</c:v>
                      </c:pt>
                      <c:pt idx="5">
                        <c:v>60.31</c:v>
                      </c:pt>
                      <c:pt idx="6">
                        <c:v>60.1</c:v>
                      </c:pt>
                      <c:pt idx="7">
                        <c:v>59</c:v>
                      </c:pt>
                      <c:pt idx="8">
                        <c:v>58.88</c:v>
                      </c:pt>
                      <c:pt idx="9">
                        <c:v>56.3</c:v>
                      </c:pt>
                      <c:pt idx="10">
                        <c:v>56.2</c:v>
                      </c:pt>
                      <c:pt idx="11">
                        <c:v>55.55</c:v>
                      </c:pt>
                      <c:pt idx="12">
                        <c:v>55.33</c:v>
                      </c:pt>
                      <c:pt idx="13">
                        <c:v>55.32</c:v>
                      </c:pt>
                      <c:pt idx="14">
                        <c:v>55.3</c:v>
                      </c:pt>
                      <c:pt idx="15">
                        <c:v>55</c:v>
                      </c:pt>
                      <c:pt idx="16">
                        <c:v>54.56</c:v>
                      </c:pt>
                      <c:pt idx="17">
                        <c:v>54.22</c:v>
                      </c:pt>
                      <c:pt idx="18">
                        <c:v>53.41</c:v>
                      </c:pt>
                      <c:pt idx="19">
                        <c:v>53.4</c:v>
                      </c:pt>
                      <c:pt idx="20">
                        <c:v>53.21</c:v>
                      </c:pt>
                      <c:pt idx="21">
                        <c:v>53.2</c:v>
                      </c:pt>
                      <c:pt idx="22">
                        <c:v>52.95</c:v>
                      </c:pt>
                      <c:pt idx="23">
                        <c:v>52.5</c:v>
                      </c:pt>
                      <c:pt idx="24">
                        <c:v>52.24</c:v>
                      </c:pt>
                      <c:pt idx="25">
                        <c:v>51.49</c:v>
                      </c:pt>
                      <c:pt idx="26">
                        <c:v>51.4</c:v>
                      </c:pt>
                      <c:pt idx="27">
                        <c:v>50.8</c:v>
                      </c:pt>
                      <c:pt idx="28">
                        <c:v>49.29</c:v>
                      </c:pt>
                      <c:pt idx="29">
                        <c:v>48.01</c:v>
                      </c:pt>
                      <c:pt idx="30">
                        <c:v>47.82</c:v>
                      </c:pt>
                      <c:pt idx="31">
                        <c:v>46.66</c:v>
                      </c:pt>
                      <c:pt idx="32">
                        <c:v>46.5</c:v>
                      </c:pt>
                      <c:pt idx="33">
                        <c:v>44.45</c:v>
                      </c:pt>
                      <c:pt idx="34">
                        <c:v>44.44</c:v>
                      </c:pt>
                      <c:pt idx="35">
                        <c:v>43.83</c:v>
                      </c:pt>
                      <c:pt idx="36">
                        <c:v>43.73</c:v>
                      </c:pt>
                      <c:pt idx="37">
                        <c:v>43.71</c:v>
                      </c:pt>
                      <c:pt idx="38">
                        <c:v>43.28</c:v>
                      </c:pt>
                      <c:pt idx="39">
                        <c:v>43.2</c:v>
                      </c:pt>
                      <c:pt idx="40">
                        <c:v>42.25</c:v>
                      </c:pt>
                      <c:pt idx="41">
                        <c:v>42.11</c:v>
                      </c:pt>
                      <c:pt idx="42">
                        <c:v>42.1</c:v>
                      </c:pt>
                      <c:pt idx="43">
                        <c:v>41.91</c:v>
                      </c:pt>
                      <c:pt idx="44">
                        <c:v>39.93</c:v>
                      </c:pt>
                      <c:pt idx="45">
                        <c:v>39.590000000000003</c:v>
                      </c:pt>
                      <c:pt idx="46">
                        <c:v>38.9</c:v>
                      </c:pt>
                      <c:pt idx="47">
                        <c:v>38.5</c:v>
                      </c:pt>
                      <c:pt idx="48">
                        <c:v>35.880000000000003</c:v>
                      </c:pt>
                      <c:pt idx="49">
                        <c:v>35.15</c:v>
                      </c:pt>
                      <c:pt idx="50">
                        <c:v>35</c:v>
                      </c:pt>
                      <c:pt idx="51">
                        <c:v>31.85</c:v>
                      </c:pt>
                      <c:pt idx="52">
                        <c:v>29.45</c:v>
                      </c:pt>
                    </c:numCache>
                  </c:numRef>
                </c:xVal>
                <c:yVal>
                  <c:numRef>
                    <c:extLst>
                      <c:ext uri="{02D57815-91ED-43cb-92C2-25804820EDAC}">
                        <c15:formulaRef>
                          <c15:sqref>gauss!$D$3:$D$55</c15:sqref>
                        </c15:formulaRef>
                      </c:ext>
                    </c:extLst>
                    <c:numCache>
                      <c:formatCode>General</c:formatCode>
                      <c:ptCount val="53"/>
                      <c:pt idx="0">
                        <c:v>0.99997700005108181</c:v>
                      </c:pt>
                      <c:pt idx="1">
                        <c:v>0.99847049935363386</c:v>
                      </c:pt>
                      <c:pt idx="2">
                        <c:v>0.9358418865828354</c:v>
                      </c:pt>
                      <c:pt idx="3">
                        <c:v>0.85828331467476082</c:v>
                      </c:pt>
                      <c:pt idx="4">
                        <c:v>0.85093497967052323</c:v>
                      </c:pt>
                      <c:pt idx="5">
                        <c:v>0.78918345954141911</c:v>
                      </c:pt>
                      <c:pt idx="6">
                        <c:v>0.78414240467371743</c:v>
                      </c:pt>
                      <c:pt idx="7">
                        <c:v>0.75662184892854722</c:v>
                      </c:pt>
                      <c:pt idx="8">
                        <c:v>0.7535089863597092</c:v>
                      </c:pt>
                      <c:pt idx="9">
                        <c:v>0.68176736686844119</c:v>
                      </c:pt>
                      <c:pt idx="10">
                        <c:v>0.67881715146874777</c:v>
                      </c:pt>
                      <c:pt idx="11">
                        <c:v>0.65937182407336914</c:v>
                      </c:pt>
                      <c:pt idx="12">
                        <c:v>0.6526898596964722</c:v>
                      </c:pt>
                      <c:pt idx="13">
                        <c:v>0.65238498418737112</c:v>
                      </c:pt>
                      <c:pt idx="14">
                        <c:v>0.65177493757568994</c:v>
                      </c:pt>
                      <c:pt idx="15">
                        <c:v>0.64257787997853677</c:v>
                      </c:pt>
                      <c:pt idx="16">
                        <c:v>0.62893909168883722</c:v>
                      </c:pt>
                      <c:pt idx="17">
                        <c:v>0.61828691000812475</c:v>
                      </c:pt>
                      <c:pt idx="18">
                        <c:v>0.59256011677543341</c:v>
                      </c:pt>
                      <c:pt idx="19">
                        <c:v>0.5922397415284949</c:v>
                      </c:pt>
                      <c:pt idx="20">
                        <c:v>0.58614112581676503</c:v>
                      </c:pt>
                      <c:pt idx="21">
                        <c:v>0.58581955604070424</c:v>
                      </c:pt>
                      <c:pt idx="22">
                        <c:v>0.57776215475183834</c:v>
                      </c:pt>
                      <c:pt idx="23">
                        <c:v>0.5631787184167798</c:v>
                      </c:pt>
                      <c:pt idx="24">
                        <c:v>0.55471209687987177</c:v>
                      </c:pt>
                      <c:pt idx="25">
                        <c:v>0.53016247279289919</c:v>
                      </c:pt>
                      <c:pt idx="26">
                        <c:v>0.52720692578897244</c:v>
                      </c:pt>
                      <c:pt idx="27">
                        <c:v>0.50747283326463533</c:v>
                      </c:pt>
                      <c:pt idx="28">
                        <c:v>0.45783588171166689</c:v>
                      </c:pt>
                      <c:pt idx="29">
                        <c:v>0.41623862928673905</c:v>
                      </c:pt>
                      <c:pt idx="30">
                        <c:v>0.41013172828123423</c:v>
                      </c:pt>
                      <c:pt idx="31">
                        <c:v>0.37337006824112173</c:v>
                      </c:pt>
                      <c:pt idx="32">
                        <c:v>0.36838057768477095</c:v>
                      </c:pt>
                      <c:pt idx="33">
                        <c:v>0.30666297216522842</c:v>
                      </c:pt>
                      <c:pt idx="34">
                        <c:v>0.30637325141616661</c:v>
                      </c:pt>
                      <c:pt idx="35">
                        <c:v>0.28893451464122444</c:v>
                      </c:pt>
                      <c:pt idx="36">
                        <c:v>0.28612086355910993</c:v>
                      </c:pt>
                      <c:pt idx="37">
                        <c:v>0.28555969920542168</c:v>
                      </c:pt>
                      <c:pt idx="38">
                        <c:v>0.27362318356652815</c:v>
                      </c:pt>
                      <c:pt idx="39">
                        <c:v>0.27142998240955407</c:v>
                      </c:pt>
                      <c:pt idx="40">
                        <c:v>0.2460737551286169</c:v>
                      </c:pt>
                      <c:pt idx="41">
                        <c:v>0.2424474781522295</c:v>
                      </c:pt>
                      <c:pt idx="42">
                        <c:v>0.24218957072879754</c:v>
                      </c:pt>
                      <c:pt idx="43">
                        <c:v>0.2373177023157628</c:v>
                      </c:pt>
                      <c:pt idx="44">
                        <c:v>0.1898724639480423</c:v>
                      </c:pt>
                      <c:pt idx="45">
                        <c:v>0.18235507370291001</c:v>
                      </c:pt>
                      <c:pt idx="46">
                        <c:v>0.16768041620240212</c:v>
                      </c:pt>
                      <c:pt idx="47">
                        <c:v>0.15953180058950764</c:v>
                      </c:pt>
                      <c:pt idx="48">
                        <c:v>0.11263907654132735</c:v>
                      </c:pt>
                      <c:pt idx="49">
                        <c:v>0.10153406080594309</c:v>
                      </c:pt>
                      <c:pt idx="50">
                        <c:v>9.9354502006419251E-2</c:v>
                      </c:pt>
                      <c:pt idx="51">
                        <c:v>6.114806806611138E-2</c:v>
                      </c:pt>
                      <c:pt idx="52">
                        <c:v>4.0642461084696629E-2</c:v>
                      </c:pt>
                    </c:numCache>
                  </c:numRef>
                </c:yVal>
                <c:smooth val="1"/>
                <c:extLst>
                  <c:ext xmlns:c16="http://schemas.microsoft.com/office/drawing/2014/chart" uri="{C3380CC4-5D6E-409C-BE32-E72D297353CC}">
                    <c16:uniqueId val="{00000004-67D9-4088-84C8-C5471B98CFA3}"/>
                  </c:ext>
                </c:extLst>
              </c15:ser>
            </c15:filteredScatterSeries>
            <c15:filteredScatterSeries>
              <c15:ser>
                <c:idx val="2"/>
                <c:order val="2"/>
                <c:tx>
                  <c:v>a</c:v>
                </c:tx>
                <c:spPr>
                  <a:ln w="19050" cap="rnd">
                    <a:solidFill>
                      <a:schemeClr val="accent2"/>
                    </a:solidFill>
                    <a:round/>
                  </a:ln>
                  <a:effectLst/>
                </c:spPr>
                <c:marker>
                  <c:symbol val="none"/>
                </c:marker>
                <c:xVal>
                  <c:numRef>
                    <c:extLst xmlns:c15="http://schemas.microsoft.com/office/drawing/2012/chart">
                      <c:ext xmlns:c15="http://schemas.microsoft.com/office/drawing/2012/chart" uri="{02D57815-91ED-43cb-92C2-25804820EDAC}">
                        <c15:formulaRef>
                          <c15:sqref>gauss!$L$45:$L$46</c15:sqref>
                        </c15:formulaRef>
                      </c:ext>
                    </c:extLst>
                    <c:numCache>
                      <c:formatCode>General</c:formatCode>
                      <c:ptCount val="2"/>
                      <c:pt idx="0">
                        <c:v>41.91</c:v>
                      </c:pt>
                      <c:pt idx="1">
                        <c:v>41.91</c:v>
                      </c:pt>
                    </c:numCache>
                  </c:numRef>
                </c:xVal>
                <c:yVal>
                  <c:numRef>
                    <c:extLst xmlns:c15="http://schemas.microsoft.com/office/drawing/2012/chart">
                      <c:ext xmlns:c15="http://schemas.microsoft.com/office/drawing/2012/chart" uri="{02D57815-91ED-43cb-92C2-25804820EDAC}">
                        <c15:formulaRef>
                          <c15:sqref>gauss!$M$45:$M$46</c15:sqref>
                        </c15:formulaRef>
                      </c:ext>
                    </c:extLst>
                    <c:numCache>
                      <c:formatCode>General</c:formatCode>
                      <c:ptCount val="2"/>
                      <c:pt idx="0">
                        <c:v>0</c:v>
                      </c:pt>
                      <c:pt idx="1">
                        <c:v>2.5498996098765752E-2</c:v>
                      </c:pt>
                    </c:numCache>
                  </c:numRef>
                </c:yVal>
                <c:smooth val="1"/>
                <c:extLst xmlns:c15="http://schemas.microsoft.com/office/drawing/2012/chart">
                  <c:ext xmlns:c16="http://schemas.microsoft.com/office/drawing/2014/chart" uri="{C3380CC4-5D6E-409C-BE32-E72D297353CC}">
                    <c16:uniqueId val="{00000003-67D9-4088-84C8-C5471B98CFA3}"/>
                  </c:ext>
                </c:extLst>
              </c15:ser>
            </c15:filteredScatterSeries>
          </c:ext>
        </c:extLst>
      </c:scatterChart>
      <c:valAx>
        <c:axId val="123170559"/>
        <c:scaling>
          <c:orientation val="minMax"/>
          <c:max val="80"/>
          <c:min val="20"/>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low"/>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3171039"/>
        <c:crosses val="autoZero"/>
        <c:crossBetween val="midCat"/>
        <c:majorUnit val="10"/>
        <c:minorUnit val="5"/>
      </c:valAx>
      <c:valAx>
        <c:axId val="123171039"/>
        <c:scaling>
          <c:orientation val="minMax"/>
          <c:min val="0"/>
        </c:scaling>
        <c:delete val="1"/>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crossAx val="123170559"/>
        <c:crosses val="autoZero"/>
        <c:crossBetween val="midCat"/>
      </c:valAx>
      <c:valAx>
        <c:axId val="747645791"/>
        <c:scaling>
          <c:orientation val="minMax"/>
        </c:scaling>
        <c:delete val="1"/>
        <c:axPos val="r"/>
        <c:numFmt formatCode="General" sourceLinked="1"/>
        <c:majorTickMark val="out"/>
        <c:minorTickMark val="none"/>
        <c:tickLblPos val="nextTo"/>
        <c:crossAx val="747659711"/>
        <c:crosses val="max"/>
        <c:crossBetween val="midCat"/>
      </c:valAx>
      <c:valAx>
        <c:axId val="747659711"/>
        <c:scaling>
          <c:orientation val="minMax"/>
        </c:scaling>
        <c:delete val="1"/>
        <c:axPos val="b"/>
        <c:numFmt formatCode="0.00" sourceLinked="1"/>
        <c:majorTickMark val="out"/>
        <c:minorTickMark val="none"/>
        <c:tickLblPos val="nextTo"/>
        <c:crossAx val="74764579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9050" cap="flat" cmpd="sng" algn="ctr">
      <a:solidFill>
        <a:schemeClr val="bg1">
          <a:lumMod val="75000"/>
        </a:schemeClr>
      </a:solidFill>
      <a:round/>
    </a:ln>
    <a:effectLst/>
  </c:spPr>
  <c:txPr>
    <a:bodyPr/>
    <a:lstStyle/>
    <a:p>
      <a:pPr>
        <a:defRPr/>
      </a:pPr>
      <a:endParaRPr lang="es-E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Distribución de las</a:t>
            </a:r>
            <a:r>
              <a:rPr lang="es-ES" baseline="0"/>
              <a:t> apuestas. #miniporrajunio2024</a:t>
            </a:r>
            <a:endParaRPr lang="es-E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gauss!$B$3:$B$55</c:f>
              <c:numCache>
                <c:formatCode>0.00</c:formatCode>
                <c:ptCount val="53"/>
                <c:pt idx="0">
                  <c:v>99.95</c:v>
                </c:pt>
                <c:pt idx="1">
                  <c:v>86.46</c:v>
                </c:pt>
                <c:pt idx="2">
                  <c:v>69</c:v>
                </c:pt>
                <c:pt idx="3">
                  <c:v>63.57</c:v>
                </c:pt>
                <c:pt idx="4">
                  <c:v>63.18</c:v>
                </c:pt>
                <c:pt idx="5">
                  <c:v>60.31</c:v>
                </c:pt>
                <c:pt idx="6">
                  <c:v>60.1</c:v>
                </c:pt>
                <c:pt idx="7">
                  <c:v>59</c:v>
                </c:pt>
                <c:pt idx="8">
                  <c:v>58.88</c:v>
                </c:pt>
                <c:pt idx="9">
                  <c:v>56.3</c:v>
                </c:pt>
                <c:pt idx="10">
                  <c:v>56.2</c:v>
                </c:pt>
                <c:pt idx="11">
                  <c:v>55.55</c:v>
                </c:pt>
                <c:pt idx="12">
                  <c:v>55.33</c:v>
                </c:pt>
                <c:pt idx="13">
                  <c:v>55.32</c:v>
                </c:pt>
                <c:pt idx="14">
                  <c:v>55.3</c:v>
                </c:pt>
                <c:pt idx="15">
                  <c:v>55</c:v>
                </c:pt>
                <c:pt idx="16">
                  <c:v>54.56</c:v>
                </c:pt>
                <c:pt idx="17">
                  <c:v>54.22</c:v>
                </c:pt>
                <c:pt idx="18">
                  <c:v>53.41</c:v>
                </c:pt>
                <c:pt idx="19">
                  <c:v>53.4</c:v>
                </c:pt>
                <c:pt idx="20">
                  <c:v>53.21</c:v>
                </c:pt>
                <c:pt idx="21">
                  <c:v>53.2</c:v>
                </c:pt>
                <c:pt idx="22">
                  <c:v>52.95</c:v>
                </c:pt>
                <c:pt idx="23">
                  <c:v>52.5</c:v>
                </c:pt>
                <c:pt idx="24">
                  <c:v>52.24</c:v>
                </c:pt>
                <c:pt idx="25">
                  <c:v>51.49</c:v>
                </c:pt>
                <c:pt idx="26">
                  <c:v>51.4</c:v>
                </c:pt>
                <c:pt idx="27">
                  <c:v>50.8</c:v>
                </c:pt>
                <c:pt idx="28">
                  <c:v>49.29</c:v>
                </c:pt>
                <c:pt idx="29">
                  <c:v>48.01</c:v>
                </c:pt>
                <c:pt idx="30">
                  <c:v>47.82</c:v>
                </c:pt>
                <c:pt idx="31">
                  <c:v>46.66</c:v>
                </c:pt>
                <c:pt idx="32">
                  <c:v>46.5</c:v>
                </c:pt>
                <c:pt idx="33">
                  <c:v>44.45</c:v>
                </c:pt>
                <c:pt idx="34">
                  <c:v>44.44</c:v>
                </c:pt>
                <c:pt idx="35">
                  <c:v>43.83</c:v>
                </c:pt>
                <c:pt idx="36">
                  <c:v>43.73</c:v>
                </c:pt>
                <c:pt idx="37">
                  <c:v>43.71</c:v>
                </c:pt>
                <c:pt idx="38">
                  <c:v>43.28</c:v>
                </c:pt>
                <c:pt idx="39">
                  <c:v>43.2</c:v>
                </c:pt>
                <c:pt idx="40">
                  <c:v>42.25</c:v>
                </c:pt>
                <c:pt idx="41">
                  <c:v>42.11</c:v>
                </c:pt>
                <c:pt idx="42">
                  <c:v>42.1</c:v>
                </c:pt>
                <c:pt idx="43">
                  <c:v>41.91</c:v>
                </c:pt>
                <c:pt idx="44">
                  <c:v>39.93</c:v>
                </c:pt>
                <c:pt idx="45">
                  <c:v>39.590000000000003</c:v>
                </c:pt>
                <c:pt idx="46">
                  <c:v>38.9</c:v>
                </c:pt>
                <c:pt idx="47">
                  <c:v>38.5</c:v>
                </c:pt>
                <c:pt idx="48">
                  <c:v>35.880000000000003</c:v>
                </c:pt>
                <c:pt idx="49">
                  <c:v>35.15</c:v>
                </c:pt>
                <c:pt idx="50">
                  <c:v>35</c:v>
                </c:pt>
                <c:pt idx="51">
                  <c:v>31.85</c:v>
                </c:pt>
                <c:pt idx="52">
                  <c:v>29.45</c:v>
                </c:pt>
              </c:numCache>
            </c:numRef>
          </c:xVal>
          <c:yVal>
            <c:numRef>
              <c:f>gauss!$C$3:$C$55</c:f>
              <c:numCache>
                <c:formatCode>General</c:formatCode>
                <c:ptCount val="53"/>
                <c:pt idx="0">
                  <c:v>8.1569149811839364E-6</c:v>
                </c:pt>
                <c:pt idx="1">
                  <c:v>4.0993843916158789E-4</c:v>
                </c:pt>
                <c:pt idx="2">
                  <c:v>1.0358860867227933E-2</c:v>
                </c:pt>
                <c:pt idx="3">
                  <c:v>1.8521726890342111E-2</c:v>
                </c:pt>
                <c:pt idx="4">
                  <c:v>1.9162420472101625E-2</c:v>
                </c:pt>
                <c:pt idx="5">
                  <c:v>2.3839446777150615E-2</c:v>
                </c:pt>
                <c:pt idx="6">
                  <c:v>2.417015722323218E-2</c:v>
                </c:pt>
                <c:pt idx="7">
                  <c:v>2.5851711848947214E-2</c:v>
                </c:pt>
                <c:pt idx="8">
                  <c:v>2.6029109115460001E-2</c:v>
                </c:pt>
                <c:pt idx="9">
                  <c:v>2.9444985805457853E-2</c:v>
                </c:pt>
                <c:pt idx="10">
                  <c:v>2.9559060797660405E-2</c:v>
                </c:pt>
                <c:pt idx="11">
                  <c:v>3.0261115615784706E-2</c:v>
                </c:pt>
                <c:pt idx="12">
                  <c:v>3.0482615561493811E-2</c:v>
                </c:pt>
                <c:pt idx="13">
                  <c:v>3.0492483330119741E-2</c:v>
                </c:pt>
                <c:pt idx="14">
                  <c:v>3.0512166104394851E-2</c:v>
                </c:pt>
                <c:pt idx="15">
                  <c:v>3.079886602935818E-2</c:v>
                </c:pt>
                <c:pt idx="16">
                  <c:v>3.1189635264621794E-2</c:v>
                </c:pt>
                <c:pt idx="17">
                  <c:v>3.1466553667715634E-2</c:v>
                </c:pt>
                <c:pt idx="18">
                  <c:v>3.2034433098934251E-2</c:v>
                </c:pt>
                <c:pt idx="19">
                  <c:v>3.2040612850570943E-2</c:v>
                </c:pt>
                <c:pt idx="20">
                  <c:v>3.2154093497112152E-2</c:v>
                </c:pt>
                <c:pt idx="21">
                  <c:v>3.2159858236872001E-2</c:v>
                </c:pt>
                <c:pt idx="22">
                  <c:v>3.2297162921110865E-2</c:v>
                </c:pt>
                <c:pt idx="23">
                  <c:v>3.2510895215535282E-2</c:v>
                </c:pt>
                <c:pt idx="24">
                  <c:v>3.2614518829998405E-2</c:v>
                </c:pt>
                <c:pt idx="25">
                  <c:v>3.2830484186727793E-2</c:v>
                </c:pt>
                <c:pt idx="26">
                  <c:v>3.2848037726113138E-2</c:v>
                </c:pt>
                <c:pt idx="27">
                  <c:v>3.291885598075793E-2</c:v>
                </c:pt>
                <c:pt idx="28">
                  <c:v>3.274057124889139E-2</c:v>
                </c:pt>
                <c:pt idx="29">
                  <c:v>3.2196236550925413E-2</c:v>
                </c:pt>
                <c:pt idx="30">
                  <c:v>3.208567814276999E-2</c:v>
                </c:pt>
                <c:pt idx="31">
                  <c:v>3.1251760993383539E-2</c:v>
                </c:pt>
                <c:pt idx="32">
                  <c:v>3.1116063135133615E-2</c:v>
                </c:pt>
                <c:pt idx="33">
                  <c:v>2.8978120006244969E-2</c:v>
                </c:pt>
                <c:pt idx="34">
                  <c:v>2.8966027358424944E-2</c:v>
                </c:pt>
                <c:pt idx="35">
                  <c:v>2.8201492522608559E-2</c:v>
                </c:pt>
                <c:pt idx="36">
                  <c:v>2.8071310105094584E-2</c:v>
                </c:pt>
                <c:pt idx="37">
                  <c:v>2.8045116598574539E-2</c:v>
                </c:pt>
                <c:pt idx="38">
                  <c:v>2.7469722444886095E-2</c:v>
                </c:pt>
                <c:pt idx="39">
                  <c:v>2.7360180252802808E-2</c:v>
                </c:pt>
                <c:pt idx="40">
                  <c:v>2.6005477732885907E-2</c:v>
                </c:pt>
                <c:pt idx="41">
                  <c:v>2.5798179272348554E-2</c:v>
                </c:pt>
                <c:pt idx="42">
                  <c:v>2.5783303916234446E-2</c:v>
                </c:pt>
                <c:pt idx="43">
                  <c:v>2.5498996098765752E-2</c:v>
                </c:pt>
                <c:pt idx="44">
                  <c:v>2.2386483013174266E-2</c:v>
                </c:pt>
                <c:pt idx="45">
                  <c:v>2.1832868715869203E-2</c:v>
                </c:pt>
                <c:pt idx="46">
                  <c:v>2.0700921135504726E-2</c:v>
                </c:pt>
                <c:pt idx="47">
                  <c:v>2.004200933467468E-2</c:v>
                </c:pt>
                <c:pt idx="48">
                  <c:v>1.578416156759891E-2</c:v>
                </c:pt>
                <c:pt idx="49">
                  <c:v>1.4645545265100861E-2</c:v>
                </c:pt>
                <c:pt idx="50">
                  <c:v>1.4415474749857195E-2</c:v>
                </c:pt>
                <c:pt idx="51">
                  <c:v>9.9780564346768786E-3</c:v>
                </c:pt>
                <c:pt idx="52">
                  <c:v>7.2045339912180668E-3</c:v>
                </c:pt>
              </c:numCache>
            </c:numRef>
          </c:yVal>
          <c:smooth val="1"/>
          <c:extLst>
            <c:ext xmlns:c16="http://schemas.microsoft.com/office/drawing/2014/chart" uri="{C3380CC4-5D6E-409C-BE32-E72D297353CC}">
              <c16:uniqueId val="{00000000-AA46-4E77-A1D3-DA9F8A562001}"/>
            </c:ext>
          </c:extLst>
        </c:ser>
        <c:dLbls>
          <c:showLegendKey val="0"/>
          <c:showVal val="0"/>
          <c:showCatName val="0"/>
          <c:showSerName val="0"/>
          <c:showPercent val="0"/>
          <c:showBubbleSize val="0"/>
        </c:dLbls>
        <c:axId val="123170559"/>
        <c:axId val="123171039"/>
      </c:scatterChart>
      <c:scatterChart>
        <c:scatterStyle val="smoothMarker"/>
        <c:varyColors val="0"/>
        <c:ser>
          <c:idx val="2"/>
          <c:order val="2"/>
          <c:tx>
            <c:v>a</c:v>
          </c:tx>
          <c:spPr>
            <a:ln w="19050" cap="rnd">
              <a:solidFill>
                <a:schemeClr val="accent2"/>
              </a:solidFill>
              <a:round/>
            </a:ln>
            <a:effectLst/>
          </c:spPr>
          <c:marker>
            <c:symbol val="none"/>
          </c:marker>
          <c:dLbls>
            <c:dLbl>
              <c:idx val="0"/>
              <c:layout>
                <c:manualLayout>
                  <c:x val="2.1346469622331631E-2"/>
                  <c:y val="-4.5028151458470791E-2"/>
                </c:manualLayout>
              </c:layou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A46-4E77-A1D3-DA9F8A562001}"/>
                </c:ext>
              </c:extLst>
            </c:dLbl>
            <c:dLbl>
              <c:idx val="1"/>
              <c:delete val="1"/>
              <c:extLst>
                <c:ext xmlns:c15="http://schemas.microsoft.com/office/drawing/2012/chart" uri="{CE6537A1-D6FC-4f65-9D91-7224C49458BB}"/>
                <c:ext xmlns:c16="http://schemas.microsoft.com/office/drawing/2014/chart" uri="{C3380CC4-5D6E-409C-BE32-E72D297353CC}">
                  <c16:uniqueId val="{00000003-AA46-4E77-A1D3-DA9F8A562001}"/>
                </c:ext>
              </c:extLst>
            </c:dLbl>
            <c:spPr>
              <a:solidFill>
                <a:srgbClr val="ED7D31">
                  <a:lumMod val="20000"/>
                  <a:lumOff val="80000"/>
                </a:srgb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ES"/>
              </a:p>
            </c:txP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gauss!$L$45:$L$46</c:f>
              <c:numCache>
                <c:formatCode>General</c:formatCode>
                <c:ptCount val="2"/>
                <c:pt idx="0">
                  <c:v>41.91</c:v>
                </c:pt>
                <c:pt idx="1">
                  <c:v>41.91</c:v>
                </c:pt>
              </c:numCache>
            </c:numRef>
          </c:xVal>
          <c:yVal>
            <c:numRef>
              <c:f>gauss!$M$45:$M$46</c:f>
              <c:numCache>
                <c:formatCode>General</c:formatCode>
                <c:ptCount val="2"/>
                <c:pt idx="0">
                  <c:v>0</c:v>
                </c:pt>
                <c:pt idx="1">
                  <c:v>2.5498996098765752E-2</c:v>
                </c:pt>
              </c:numCache>
            </c:numRef>
          </c:yVal>
          <c:smooth val="1"/>
          <c:extLst>
            <c:ext xmlns:c16="http://schemas.microsoft.com/office/drawing/2014/chart" uri="{C3380CC4-5D6E-409C-BE32-E72D297353CC}">
              <c16:uniqueId val="{00000002-AA46-4E77-A1D3-DA9F8A562001}"/>
            </c:ext>
          </c:extLst>
        </c:ser>
        <c:dLbls>
          <c:showLegendKey val="0"/>
          <c:showVal val="0"/>
          <c:showCatName val="0"/>
          <c:showSerName val="0"/>
          <c:showPercent val="0"/>
          <c:showBubbleSize val="0"/>
        </c:dLbls>
        <c:axId val="747659711"/>
        <c:axId val="747645791"/>
        <c:extLst>
          <c:ext xmlns:c15="http://schemas.microsoft.com/office/drawing/2012/chart" uri="{02D57815-91ED-43cb-92C2-25804820EDAC}">
            <c15:filteredScatterSeries>
              <c15:ser>
                <c:idx val="1"/>
                <c:order val="1"/>
                <c:tx>
                  <c:v>acum</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gauss!$B$3:$B$55</c15:sqref>
                        </c15:formulaRef>
                      </c:ext>
                    </c:extLst>
                    <c:numCache>
                      <c:formatCode>0.00</c:formatCode>
                      <c:ptCount val="53"/>
                      <c:pt idx="0">
                        <c:v>99.95</c:v>
                      </c:pt>
                      <c:pt idx="1">
                        <c:v>86.46</c:v>
                      </c:pt>
                      <c:pt idx="2">
                        <c:v>69</c:v>
                      </c:pt>
                      <c:pt idx="3">
                        <c:v>63.57</c:v>
                      </c:pt>
                      <c:pt idx="4">
                        <c:v>63.18</c:v>
                      </c:pt>
                      <c:pt idx="5">
                        <c:v>60.31</c:v>
                      </c:pt>
                      <c:pt idx="6">
                        <c:v>60.1</c:v>
                      </c:pt>
                      <c:pt idx="7">
                        <c:v>59</c:v>
                      </c:pt>
                      <c:pt idx="8">
                        <c:v>58.88</c:v>
                      </c:pt>
                      <c:pt idx="9">
                        <c:v>56.3</c:v>
                      </c:pt>
                      <c:pt idx="10">
                        <c:v>56.2</c:v>
                      </c:pt>
                      <c:pt idx="11">
                        <c:v>55.55</c:v>
                      </c:pt>
                      <c:pt idx="12">
                        <c:v>55.33</c:v>
                      </c:pt>
                      <c:pt idx="13">
                        <c:v>55.32</c:v>
                      </c:pt>
                      <c:pt idx="14">
                        <c:v>55.3</c:v>
                      </c:pt>
                      <c:pt idx="15">
                        <c:v>55</c:v>
                      </c:pt>
                      <c:pt idx="16">
                        <c:v>54.56</c:v>
                      </c:pt>
                      <c:pt idx="17">
                        <c:v>54.22</c:v>
                      </c:pt>
                      <c:pt idx="18">
                        <c:v>53.41</c:v>
                      </c:pt>
                      <c:pt idx="19">
                        <c:v>53.4</c:v>
                      </c:pt>
                      <c:pt idx="20">
                        <c:v>53.21</c:v>
                      </c:pt>
                      <c:pt idx="21">
                        <c:v>53.2</c:v>
                      </c:pt>
                      <c:pt idx="22">
                        <c:v>52.95</c:v>
                      </c:pt>
                      <c:pt idx="23">
                        <c:v>52.5</c:v>
                      </c:pt>
                      <c:pt idx="24">
                        <c:v>52.24</c:v>
                      </c:pt>
                      <c:pt idx="25">
                        <c:v>51.49</c:v>
                      </c:pt>
                      <c:pt idx="26">
                        <c:v>51.4</c:v>
                      </c:pt>
                      <c:pt idx="27">
                        <c:v>50.8</c:v>
                      </c:pt>
                      <c:pt idx="28">
                        <c:v>49.29</c:v>
                      </c:pt>
                      <c:pt idx="29">
                        <c:v>48.01</c:v>
                      </c:pt>
                      <c:pt idx="30">
                        <c:v>47.82</c:v>
                      </c:pt>
                      <c:pt idx="31">
                        <c:v>46.66</c:v>
                      </c:pt>
                      <c:pt idx="32">
                        <c:v>46.5</c:v>
                      </c:pt>
                      <c:pt idx="33">
                        <c:v>44.45</c:v>
                      </c:pt>
                      <c:pt idx="34">
                        <c:v>44.44</c:v>
                      </c:pt>
                      <c:pt idx="35">
                        <c:v>43.83</c:v>
                      </c:pt>
                      <c:pt idx="36">
                        <c:v>43.73</c:v>
                      </c:pt>
                      <c:pt idx="37">
                        <c:v>43.71</c:v>
                      </c:pt>
                      <c:pt idx="38">
                        <c:v>43.28</c:v>
                      </c:pt>
                      <c:pt idx="39">
                        <c:v>43.2</c:v>
                      </c:pt>
                      <c:pt idx="40">
                        <c:v>42.25</c:v>
                      </c:pt>
                      <c:pt idx="41">
                        <c:v>42.11</c:v>
                      </c:pt>
                      <c:pt idx="42">
                        <c:v>42.1</c:v>
                      </c:pt>
                      <c:pt idx="43">
                        <c:v>41.91</c:v>
                      </c:pt>
                      <c:pt idx="44">
                        <c:v>39.93</c:v>
                      </c:pt>
                      <c:pt idx="45">
                        <c:v>39.590000000000003</c:v>
                      </c:pt>
                      <c:pt idx="46">
                        <c:v>38.9</c:v>
                      </c:pt>
                      <c:pt idx="47">
                        <c:v>38.5</c:v>
                      </c:pt>
                      <c:pt idx="48">
                        <c:v>35.880000000000003</c:v>
                      </c:pt>
                      <c:pt idx="49">
                        <c:v>35.15</c:v>
                      </c:pt>
                      <c:pt idx="50">
                        <c:v>35</c:v>
                      </c:pt>
                      <c:pt idx="51">
                        <c:v>31.85</c:v>
                      </c:pt>
                      <c:pt idx="52">
                        <c:v>29.45</c:v>
                      </c:pt>
                    </c:numCache>
                  </c:numRef>
                </c:xVal>
                <c:yVal>
                  <c:numRef>
                    <c:extLst>
                      <c:ext uri="{02D57815-91ED-43cb-92C2-25804820EDAC}">
                        <c15:formulaRef>
                          <c15:sqref>gauss!$D$3:$D$55</c15:sqref>
                        </c15:formulaRef>
                      </c:ext>
                    </c:extLst>
                    <c:numCache>
                      <c:formatCode>General</c:formatCode>
                      <c:ptCount val="53"/>
                      <c:pt idx="0">
                        <c:v>0.99997700005108181</c:v>
                      </c:pt>
                      <c:pt idx="1">
                        <c:v>0.99847049935363386</c:v>
                      </c:pt>
                      <c:pt idx="2">
                        <c:v>0.9358418865828354</c:v>
                      </c:pt>
                      <c:pt idx="3">
                        <c:v>0.85828331467476082</c:v>
                      </c:pt>
                      <c:pt idx="4">
                        <c:v>0.85093497967052323</c:v>
                      </c:pt>
                      <c:pt idx="5">
                        <c:v>0.78918345954141911</c:v>
                      </c:pt>
                      <c:pt idx="6">
                        <c:v>0.78414240467371743</c:v>
                      </c:pt>
                      <c:pt idx="7">
                        <c:v>0.75662184892854722</c:v>
                      </c:pt>
                      <c:pt idx="8">
                        <c:v>0.7535089863597092</c:v>
                      </c:pt>
                      <c:pt idx="9">
                        <c:v>0.68176736686844119</c:v>
                      </c:pt>
                      <c:pt idx="10">
                        <c:v>0.67881715146874777</c:v>
                      </c:pt>
                      <c:pt idx="11">
                        <c:v>0.65937182407336914</c:v>
                      </c:pt>
                      <c:pt idx="12">
                        <c:v>0.6526898596964722</c:v>
                      </c:pt>
                      <c:pt idx="13">
                        <c:v>0.65238498418737112</c:v>
                      </c:pt>
                      <c:pt idx="14">
                        <c:v>0.65177493757568994</c:v>
                      </c:pt>
                      <c:pt idx="15">
                        <c:v>0.64257787997853677</c:v>
                      </c:pt>
                      <c:pt idx="16">
                        <c:v>0.62893909168883722</c:v>
                      </c:pt>
                      <c:pt idx="17">
                        <c:v>0.61828691000812475</c:v>
                      </c:pt>
                      <c:pt idx="18">
                        <c:v>0.59256011677543341</c:v>
                      </c:pt>
                      <c:pt idx="19">
                        <c:v>0.5922397415284949</c:v>
                      </c:pt>
                      <c:pt idx="20">
                        <c:v>0.58614112581676503</c:v>
                      </c:pt>
                      <c:pt idx="21">
                        <c:v>0.58581955604070424</c:v>
                      </c:pt>
                      <c:pt idx="22">
                        <c:v>0.57776215475183834</c:v>
                      </c:pt>
                      <c:pt idx="23">
                        <c:v>0.5631787184167798</c:v>
                      </c:pt>
                      <c:pt idx="24">
                        <c:v>0.55471209687987177</c:v>
                      </c:pt>
                      <c:pt idx="25">
                        <c:v>0.53016247279289919</c:v>
                      </c:pt>
                      <c:pt idx="26">
                        <c:v>0.52720692578897244</c:v>
                      </c:pt>
                      <c:pt idx="27">
                        <c:v>0.50747283326463533</c:v>
                      </c:pt>
                      <c:pt idx="28">
                        <c:v>0.45783588171166689</c:v>
                      </c:pt>
                      <c:pt idx="29">
                        <c:v>0.41623862928673905</c:v>
                      </c:pt>
                      <c:pt idx="30">
                        <c:v>0.41013172828123423</c:v>
                      </c:pt>
                      <c:pt idx="31">
                        <c:v>0.37337006824112173</c:v>
                      </c:pt>
                      <c:pt idx="32">
                        <c:v>0.36838057768477095</c:v>
                      </c:pt>
                      <c:pt idx="33">
                        <c:v>0.30666297216522842</c:v>
                      </c:pt>
                      <c:pt idx="34">
                        <c:v>0.30637325141616661</c:v>
                      </c:pt>
                      <c:pt idx="35">
                        <c:v>0.28893451464122444</c:v>
                      </c:pt>
                      <c:pt idx="36">
                        <c:v>0.28612086355910993</c:v>
                      </c:pt>
                      <c:pt idx="37">
                        <c:v>0.28555969920542168</c:v>
                      </c:pt>
                      <c:pt idx="38">
                        <c:v>0.27362318356652815</c:v>
                      </c:pt>
                      <c:pt idx="39">
                        <c:v>0.27142998240955407</c:v>
                      </c:pt>
                      <c:pt idx="40">
                        <c:v>0.2460737551286169</c:v>
                      </c:pt>
                      <c:pt idx="41">
                        <c:v>0.2424474781522295</c:v>
                      </c:pt>
                      <c:pt idx="42">
                        <c:v>0.24218957072879754</c:v>
                      </c:pt>
                      <c:pt idx="43">
                        <c:v>0.2373177023157628</c:v>
                      </c:pt>
                      <c:pt idx="44">
                        <c:v>0.1898724639480423</c:v>
                      </c:pt>
                      <c:pt idx="45">
                        <c:v>0.18235507370291001</c:v>
                      </c:pt>
                      <c:pt idx="46">
                        <c:v>0.16768041620240212</c:v>
                      </c:pt>
                      <c:pt idx="47">
                        <c:v>0.15953180058950764</c:v>
                      </c:pt>
                      <c:pt idx="48">
                        <c:v>0.11263907654132735</c:v>
                      </c:pt>
                      <c:pt idx="49">
                        <c:v>0.10153406080594309</c:v>
                      </c:pt>
                      <c:pt idx="50">
                        <c:v>9.9354502006419251E-2</c:v>
                      </c:pt>
                      <c:pt idx="51">
                        <c:v>6.114806806611138E-2</c:v>
                      </c:pt>
                      <c:pt idx="52">
                        <c:v>4.0642461084696629E-2</c:v>
                      </c:pt>
                    </c:numCache>
                  </c:numRef>
                </c:yVal>
                <c:smooth val="1"/>
                <c:extLst>
                  <c:ext xmlns:c16="http://schemas.microsoft.com/office/drawing/2014/chart" uri="{C3380CC4-5D6E-409C-BE32-E72D297353CC}">
                    <c16:uniqueId val="{00000001-AA46-4E77-A1D3-DA9F8A562001}"/>
                  </c:ext>
                </c:extLst>
              </c15:ser>
            </c15:filteredScatterSeries>
          </c:ext>
        </c:extLst>
      </c:scatterChart>
      <c:valAx>
        <c:axId val="123170559"/>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ES"/>
                  <a:t>Valor de la</a:t>
                </a:r>
                <a:r>
                  <a:rPr lang="es-ES" baseline="0"/>
                  <a:t> apuesta</a:t>
                </a:r>
                <a:endParaRPr lang="es-E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S"/>
            </a:p>
          </c:txPr>
        </c:title>
        <c:numFmt formatCode="0" sourceLinked="0"/>
        <c:majorTickMark val="none"/>
        <c:minorTickMark val="none"/>
        <c:tickLblPos val="low"/>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3171039"/>
        <c:crosses val="autoZero"/>
        <c:crossBetween val="midCat"/>
      </c:valAx>
      <c:valAx>
        <c:axId val="12317103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3170559"/>
        <c:crosses val="autoZero"/>
        <c:crossBetween val="midCat"/>
      </c:valAx>
      <c:valAx>
        <c:axId val="747645791"/>
        <c:scaling>
          <c:orientation val="minMax"/>
        </c:scaling>
        <c:delete val="1"/>
        <c:axPos val="r"/>
        <c:numFmt formatCode="General" sourceLinked="1"/>
        <c:majorTickMark val="out"/>
        <c:minorTickMark val="none"/>
        <c:tickLblPos val="nextTo"/>
        <c:crossAx val="747659711"/>
        <c:crosses val="max"/>
        <c:crossBetween val="midCat"/>
      </c:valAx>
      <c:valAx>
        <c:axId val="747659711"/>
        <c:scaling>
          <c:orientation val="minMax"/>
        </c:scaling>
        <c:delete val="1"/>
        <c:axPos val="b"/>
        <c:numFmt formatCode="General" sourceLinked="1"/>
        <c:majorTickMark val="out"/>
        <c:minorTickMark val="none"/>
        <c:tickLblPos val="nextTo"/>
        <c:crossAx val="74764579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25400" cap="flat" cmpd="sng" algn="ctr">
      <a:solidFill>
        <a:schemeClr val="tx1">
          <a:lumMod val="50000"/>
          <a:lumOff val="50000"/>
        </a:schemeClr>
      </a:solidFill>
      <a:round/>
    </a:ln>
    <a:effectLst/>
  </c:spPr>
  <c:txPr>
    <a:bodyPr/>
    <a:lstStyle/>
    <a:p>
      <a:pPr>
        <a:defRPr/>
      </a:pPr>
      <a:endParaRPr lang="es-E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315139761832441"/>
          <c:y val="0.19102790014684287"/>
          <c:w val="0.78667476654438984"/>
          <c:h val="0.76547943621584746"/>
        </c:manualLayout>
      </c:layout>
      <c:barChart>
        <c:barDir val="bar"/>
        <c:grouping val="clustered"/>
        <c:varyColors val="0"/>
        <c:ser>
          <c:idx val="5"/>
          <c:order val="5"/>
          <c:tx>
            <c:strRef>
              <c:f>acum_porc!$I$1</c:f>
              <c:strCache>
                <c:ptCount val="1"/>
                <c:pt idx="0">
                  <c:v>%_desvio</c:v>
                </c:pt>
              </c:strCache>
            </c:strRef>
          </c:tx>
          <c:spPr>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0800000" scaled="1"/>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s-E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acum_porc!$J$2:$J$33</c:f>
              <c:strCache>
                <c:ptCount val="32"/>
                <c:pt idx="0">
                  <c:v>Javier Revuelta Alonso (6)</c:v>
                </c:pt>
                <c:pt idx="1">
                  <c:v>Juan Luis Jarillo Gómez (4)</c:v>
                </c:pt>
                <c:pt idx="2">
                  <c:v>Jose F Vidal (6)</c:v>
                </c:pt>
                <c:pt idx="3">
                  <c:v>Alfonso Lezcano (6)</c:v>
                </c:pt>
                <c:pt idx="4">
                  <c:v>Roberto Cavero García (4)</c:v>
                </c:pt>
                <c:pt idx="5">
                  <c:v>Javier Pérez Salazar (6)</c:v>
                </c:pt>
                <c:pt idx="6">
                  <c:v>Roberto Parro Cortés (5)</c:v>
                </c:pt>
                <c:pt idx="7">
                  <c:v>Gladys Rocha Blanco (6)</c:v>
                </c:pt>
                <c:pt idx="8">
                  <c:v>Julián Mateo Muñoz (6)</c:v>
                </c:pt>
                <c:pt idx="9">
                  <c:v>Carlos Callejón (4)</c:v>
                </c:pt>
                <c:pt idx="10">
                  <c:v>Sergio Lopez Oliver (4)</c:v>
                </c:pt>
                <c:pt idx="11">
                  <c:v>Roque Alonso Alonso (6)</c:v>
                </c:pt>
                <c:pt idx="12">
                  <c:v>Javier Colón Cortegoso (4)</c:v>
                </c:pt>
                <c:pt idx="13">
                  <c:v>Alejandro A. Díaz González (5)</c:v>
                </c:pt>
                <c:pt idx="14">
                  <c:v>Inés Monroy (6)</c:v>
                </c:pt>
                <c:pt idx="15">
                  <c:v>Jaime Larrañaga Juez (5)</c:v>
                </c:pt>
                <c:pt idx="16">
                  <c:v>Carles Estruch Puig (5)</c:v>
                </c:pt>
                <c:pt idx="17">
                  <c:v>Alfonso Zárate Conde (6)</c:v>
                </c:pt>
                <c:pt idx="18">
                  <c:v>Jorge Antonio González Sánchez (6)</c:v>
                </c:pt>
                <c:pt idx="19">
                  <c:v>Fernando Sánchez-Rey Maeso (6)</c:v>
                </c:pt>
                <c:pt idx="20">
                  <c:v>Laura Gómez López (5)</c:v>
                </c:pt>
                <c:pt idx="21">
                  <c:v>Elena Muñoz Vioque (6)</c:v>
                </c:pt>
                <c:pt idx="22">
                  <c:v>Javier Espelta (4)</c:v>
                </c:pt>
                <c:pt idx="23">
                  <c:v>Marcos Fortea Escolano (5)</c:v>
                </c:pt>
                <c:pt idx="24">
                  <c:v>Jose Manuel Otero López (6)</c:v>
                </c:pt>
                <c:pt idx="25">
                  <c:v>Aitor Folch (4)</c:v>
                </c:pt>
                <c:pt idx="26">
                  <c:v>Juan Pedro Conejo Sanchez (6)</c:v>
                </c:pt>
                <c:pt idx="27">
                  <c:v>Jonathan Pazmiño Espinoza (4)</c:v>
                </c:pt>
                <c:pt idx="28">
                  <c:v>Oscar Mulas Crespo (4)</c:v>
                </c:pt>
                <c:pt idx="29">
                  <c:v>Vicente Fayos Gavila (4)</c:v>
                </c:pt>
                <c:pt idx="30">
                  <c:v>Francisco Valverde Sánchez (4)</c:v>
                </c:pt>
                <c:pt idx="31">
                  <c:v>Luis Angel Garzon Velasco (4)</c:v>
                </c:pt>
              </c:strCache>
            </c:strRef>
          </c:cat>
          <c:val>
            <c:numRef>
              <c:f>acum_porc!$I$2:$I$34</c:f>
              <c:numCache>
                <c:formatCode>0.0%</c:formatCode>
                <c:ptCount val="33"/>
                <c:pt idx="0">
                  <c:v>0.22634465690555156</c:v>
                </c:pt>
                <c:pt idx="1">
                  <c:v>0.3478689596969593</c:v>
                </c:pt>
                <c:pt idx="2">
                  <c:v>0.58317102940491683</c:v>
                </c:pt>
                <c:pt idx="3">
                  <c:v>0.63401369713739175</c:v>
                </c:pt>
                <c:pt idx="4">
                  <c:v>0.64327183551319012</c:v>
                </c:pt>
                <c:pt idx="5">
                  <c:v>0.82436287096678662</c:v>
                </c:pt>
                <c:pt idx="6">
                  <c:v>0.84979943796189883</c:v>
                </c:pt>
                <c:pt idx="7">
                  <c:v>0.87492994609667618</c:v>
                </c:pt>
                <c:pt idx="8">
                  <c:v>0.90236484455002919</c:v>
                </c:pt>
                <c:pt idx="9">
                  <c:v>0.92029064917336578</c:v>
                </c:pt>
                <c:pt idx="10">
                  <c:v>0.98161822465163118</c:v>
                </c:pt>
                <c:pt idx="11">
                  <c:v>0.9945984489556341</c:v>
                </c:pt>
                <c:pt idx="12">
                  <c:v>0.99474293707147876</c:v>
                </c:pt>
                <c:pt idx="13">
                  <c:v>0.99994614865566267</c:v>
                </c:pt>
                <c:pt idx="14">
                  <c:v>1.0089982236404575</c:v>
                </c:pt>
                <c:pt idx="15">
                  <c:v>1.159173422083251</c:v>
                </c:pt>
                <c:pt idx="16">
                  <c:v>1.191549715704691</c:v>
                </c:pt>
                <c:pt idx="17">
                  <c:v>1.2585075662999219</c:v>
                </c:pt>
                <c:pt idx="18">
                  <c:v>1.274982734512218</c:v>
                </c:pt>
                <c:pt idx="19">
                  <c:v>1.2752656440202699</c:v>
                </c:pt>
                <c:pt idx="20">
                  <c:v>1.426326468051708</c:v>
                </c:pt>
                <c:pt idx="21">
                  <c:v>1.5158972316221591</c:v>
                </c:pt>
                <c:pt idx="22">
                  <c:v>1.6528170481032789</c:v>
                </c:pt>
                <c:pt idx="23">
                  <c:v>1.7091597863505861</c:v>
                </c:pt>
                <c:pt idx="24">
                  <c:v>1.7295719236019556</c:v>
                </c:pt>
                <c:pt idx="25">
                  <c:v>1.7957031023090448</c:v>
                </c:pt>
                <c:pt idx="26">
                  <c:v>1.8065561959654177</c:v>
                </c:pt>
                <c:pt idx="27">
                  <c:v>1.8445228468872301</c:v>
                </c:pt>
                <c:pt idx="28">
                  <c:v>1.858483274043313</c:v>
                </c:pt>
                <c:pt idx="29">
                  <c:v>2.233029152759292</c:v>
                </c:pt>
                <c:pt idx="30">
                  <c:v>2.2553729088006231</c:v>
                </c:pt>
                <c:pt idx="31">
                  <c:v>2.3032631905568746</c:v>
                </c:pt>
                <c:pt idx="32">
                  <c:v>0</c:v>
                </c:pt>
              </c:numCache>
            </c:numRef>
          </c:val>
          <c:extLst>
            <c:ext xmlns:c16="http://schemas.microsoft.com/office/drawing/2014/chart" uri="{C3380CC4-5D6E-409C-BE32-E72D297353CC}">
              <c16:uniqueId val="{00000001-630F-4C85-9C73-FB7089ED1FDF}"/>
            </c:ext>
          </c:extLst>
        </c:ser>
        <c:dLbls>
          <c:dLblPos val="outEnd"/>
          <c:showLegendKey val="0"/>
          <c:showVal val="1"/>
          <c:showCatName val="0"/>
          <c:showSerName val="0"/>
          <c:showPercent val="0"/>
          <c:showBubbleSize val="0"/>
        </c:dLbls>
        <c:gapWidth val="150"/>
        <c:axId val="1284702623"/>
        <c:axId val="1284701183"/>
        <c:extLst>
          <c:ext xmlns:c15="http://schemas.microsoft.com/office/drawing/2012/chart" uri="{02D57815-91ED-43cb-92C2-25804820EDAC}">
            <c15:filteredBarSeries>
              <c15:ser>
                <c:idx val="0"/>
                <c:order val="0"/>
                <c:tx>
                  <c:strRef>
                    <c:extLst>
                      <c:ext uri="{02D57815-91ED-43cb-92C2-25804820EDAC}">
                        <c15:formulaRef>
                          <c15:sqref>acum_porc!$B$1</c15:sqref>
                        </c15:formulaRef>
                      </c:ext>
                    </c:extLst>
                    <c:strCache>
                      <c:ptCount val="1"/>
                      <c:pt idx="0">
                        <c:v>Ene 2024</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ormulaRef>
                          <c15:sqref>acum_porc!$J$2:$J$33</c15:sqref>
                        </c15:formulaRef>
                      </c:ext>
                    </c:extLst>
                    <c:strCache>
                      <c:ptCount val="32"/>
                      <c:pt idx="0">
                        <c:v>Javier Revuelta Alonso (6)</c:v>
                      </c:pt>
                      <c:pt idx="1">
                        <c:v>Juan Luis Jarillo Gómez (4)</c:v>
                      </c:pt>
                      <c:pt idx="2">
                        <c:v>Jose F Vidal (6)</c:v>
                      </c:pt>
                      <c:pt idx="3">
                        <c:v>Alfonso Lezcano (6)</c:v>
                      </c:pt>
                      <c:pt idx="4">
                        <c:v>Roberto Cavero García (4)</c:v>
                      </c:pt>
                      <c:pt idx="5">
                        <c:v>Javier Pérez Salazar (6)</c:v>
                      </c:pt>
                      <c:pt idx="6">
                        <c:v>Roberto Parro Cortés (5)</c:v>
                      </c:pt>
                      <c:pt idx="7">
                        <c:v>Gladys Rocha Blanco (6)</c:v>
                      </c:pt>
                      <c:pt idx="8">
                        <c:v>Julián Mateo Muñoz (6)</c:v>
                      </c:pt>
                      <c:pt idx="9">
                        <c:v>Carlos Callejón (4)</c:v>
                      </c:pt>
                      <c:pt idx="10">
                        <c:v>Sergio Lopez Oliver (4)</c:v>
                      </c:pt>
                      <c:pt idx="11">
                        <c:v>Roque Alonso Alonso (6)</c:v>
                      </c:pt>
                      <c:pt idx="12">
                        <c:v>Javier Colón Cortegoso (4)</c:v>
                      </c:pt>
                      <c:pt idx="13">
                        <c:v>Alejandro A. Díaz González (5)</c:v>
                      </c:pt>
                      <c:pt idx="14">
                        <c:v>Inés Monroy (6)</c:v>
                      </c:pt>
                      <c:pt idx="15">
                        <c:v>Jaime Larrañaga Juez (5)</c:v>
                      </c:pt>
                      <c:pt idx="16">
                        <c:v>Carles Estruch Puig (5)</c:v>
                      </c:pt>
                      <c:pt idx="17">
                        <c:v>Alfonso Zárate Conde (6)</c:v>
                      </c:pt>
                      <c:pt idx="18">
                        <c:v>Jorge Antonio González Sánchez (6)</c:v>
                      </c:pt>
                      <c:pt idx="19">
                        <c:v>Fernando Sánchez-Rey Maeso (6)</c:v>
                      </c:pt>
                      <c:pt idx="20">
                        <c:v>Laura Gómez López (5)</c:v>
                      </c:pt>
                      <c:pt idx="21">
                        <c:v>Elena Muñoz Vioque (6)</c:v>
                      </c:pt>
                      <c:pt idx="22">
                        <c:v>Javier Espelta (4)</c:v>
                      </c:pt>
                      <c:pt idx="23">
                        <c:v>Marcos Fortea Escolano (5)</c:v>
                      </c:pt>
                      <c:pt idx="24">
                        <c:v>Jose Manuel Otero López (6)</c:v>
                      </c:pt>
                      <c:pt idx="25">
                        <c:v>Aitor Folch (4)</c:v>
                      </c:pt>
                      <c:pt idx="26">
                        <c:v>Juan Pedro Conejo Sanchez (6)</c:v>
                      </c:pt>
                      <c:pt idx="27">
                        <c:v>Jonathan Pazmiño Espinoza (4)</c:v>
                      </c:pt>
                      <c:pt idx="28">
                        <c:v>Oscar Mulas Crespo (4)</c:v>
                      </c:pt>
                      <c:pt idx="29">
                        <c:v>Vicente Fayos Gavila (4)</c:v>
                      </c:pt>
                      <c:pt idx="30">
                        <c:v>Francisco Valverde Sánchez (4)</c:v>
                      </c:pt>
                      <c:pt idx="31">
                        <c:v>Luis Angel Garzon Velasco (4)</c:v>
                      </c:pt>
                    </c:strCache>
                  </c:strRef>
                </c:cat>
                <c:val>
                  <c:numRef>
                    <c:extLst>
                      <c:ext uri="{02D57815-91ED-43cb-92C2-25804820EDAC}">
                        <c15:formulaRef>
                          <c15:sqref>acum_porc!$B$2:$B$78</c15:sqref>
                        </c15:formulaRef>
                      </c:ext>
                    </c:extLst>
                    <c:numCache>
                      <c:formatCode>General</c:formatCode>
                      <c:ptCount val="77"/>
                      <c:pt idx="0">
                        <c:v>3.2388663967611225E-2</c:v>
                      </c:pt>
                      <c:pt idx="1">
                        <c:v>2.4291497975709423E-3</c:v>
                      </c:pt>
                      <c:pt idx="2">
                        <c:v>8.7719298245612885E-3</c:v>
                      </c:pt>
                      <c:pt idx="3">
                        <c:v>5.6410256410256508E-2</c:v>
                      </c:pt>
                      <c:pt idx="4">
                        <c:v>3.2388663967611413E-2</c:v>
                      </c:pt>
                      <c:pt idx="5">
                        <c:v>1.2145748987854329E-2</c:v>
                      </c:pt>
                      <c:pt idx="7">
                        <c:v>0.10242914979757091</c:v>
                      </c:pt>
                      <c:pt idx="8">
                        <c:v>3.8731443994601759E-2</c:v>
                      </c:pt>
                      <c:pt idx="9">
                        <c:v>7.0175438596491266E-2</c:v>
                      </c:pt>
                      <c:pt idx="10">
                        <c:v>6.2078272604589469E-3</c:v>
                      </c:pt>
                      <c:pt idx="11">
                        <c:v>4.4534412955465549E-2</c:v>
                      </c:pt>
                      <c:pt idx="13">
                        <c:v>1.6869095816464237E-2</c:v>
                      </c:pt>
                      <c:pt idx="14">
                        <c:v>2.6990553306343165E-3</c:v>
                      </c:pt>
                      <c:pt idx="15">
                        <c:v>0.18866396761133611</c:v>
                      </c:pt>
                      <c:pt idx="16">
                        <c:v>4.8582995951417123E-2</c:v>
                      </c:pt>
                      <c:pt idx="17">
                        <c:v>7.9622132253711286E-2</c:v>
                      </c:pt>
                      <c:pt idx="18">
                        <c:v>0.15249662618083687</c:v>
                      </c:pt>
                      <c:pt idx="19">
                        <c:v>0.19703103913630224</c:v>
                      </c:pt>
                      <c:pt idx="21">
                        <c:v>0.15141700404858299</c:v>
                      </c:pt>
                      <c:pt idx="22">
                        <c:v>0.18353576248313083</c:v>
                      </c:pt>
                      <c:pt idx="24">
                        <c:v>9.4197031039136361E-2</c:v>
                      </c:pt>
                      <c:pt idx="26">
                        <c:v>0.17543859649122809</c:v>
                      </c:pt>
                      <c:pt idx="27">
                        <c:v>0.38704453441295561</c:v>
                      </c:pt>
                      <c:pt idx="29">
                        <c:v>2.091767881241581E-2</c:v>
                      </c:pt>
                      <c:pt idx="31">
                        <c:v>0.1943319838056681</c:v>
                      </c:pt>
                      <c:pt idx="34">
                        <c:v>2.6180836707152658E-2</c:v>
                      </c:pt>
                      <c:pt idx="38">
                        <c:v>1.4170040485830114E-2</c:v>
                      </c:pt>
                      <c:pt idx="50">
                        <c:v>1.0796221322537075E-2</c:v>
                      </c:pt>
                      <c:pt idx="54">
                        <c:v>0.10175438596491218</c:v>
                      </c:pt>
                      <c:pt idx="58">
                        <c:v>0.14979757085020257</c:v>
                      </c:pt>
                      <c:pt idx="59">
                        <c:v>0.23076923076923089</c:v>
                      </c:pt>
                      <c:pt idx="60">
                        <c:v>0.21052631578947381</c:v>
                      </c:pt>
                      <c:pt idx="61">
                        <c:v>0.11106612685560041</c:v>
                      </c:pt>
                      <c:pt idx="64">
                        <c:v>0.18016194331983817</c:v>
                      </c:pt>
                      <c:pt idx="76">
                        <c:v>0.21592442645074225</c:v>
                      </c:pt>
                    </c:numCache>
                  </c:numRef>
                </c:val>
                <c:extLst>
                  <c:ext xmlns:c16="http://schemas.microsoft.com/office/drawing/2014/chart" uri="{C3380CC4-5D6E-409C-BE32-E72D297353CC}">
                    <c16:uniqueId val="{00000002-630F-4C85-9C73-FB7089ED1FDF}"/>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acum_porc!$C$1</c15:sqref>
                        </c15:formulaRef>
                      </c:ext>
                    </c:extLst>
                    <c:strCache>
                      <c:ptCount val="1"/>
                      <c:pt idx="0">
                        <c:v>Feb 2024</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ormulaRef>
                          <c15:sqref>acum_porc!$J$2:$J$33</c15:sqref>
                        </c15:formulaRef>
                      </c:ext>
                    </c:extLst>
                    <c:strCache>
                      <c:ptCount val="32"/>
                      <c:pt idx="0">
                        <c:v>Javier Revuelta Alonso (6)</c:v>
                      </c:pt>
                      <c:pt idx="1">
                        <c:v>Juan Luis Jarillo Gómez (4)</c:v>
                      </c:pt>
                      <c:pt idx="2">
                        <c:v>Jose F Vidal (6)</c:v>
                      </c:pt>
                      <c:pt idx="3">
                        <c:v>Alfonso Lezcano (6)</c:v>
                      </c:pt>
                      <c:pt idx="4">
                        <c:v>Roberto Cavero García (4)</c:v>
                      </c:pt>
                      <c:pt idx="5">
                        <c:v>Javier Pérez Salazar (6)</c:v>
                      </c:pt>
                      <c:pt idx="6">
                        <c:v>Roberto Parro Cortés (5)</c:v>
                      </c:pt>
                      <c:pt idx="7">
                        <c:v>Gladys Rocha Blanco (6)</c:v>
                      </c:pt>
                      <c:pt idx="8">
                        <c:v>Julián Mateo Muñoz (6)</c:v>
                      </c:pt>
                      <c:pt idx="9">
                        <c:v>Carlos Callejón (4)</c:v>
                      </c:pt>
                      <c:pt idx="10">
                        <c:v>Sergio Lopez Oliver (4)</c:v>
                      </c:pt>
                      <c:pt idx="11">
                        <c:v>Roque Alonso Alonso (6)</c:v>
                      </c:pt>
                      <c:pt idx="12">
                        <c:v>Javier Colón Cortegoso (4)</c:v>
                      </c:pt>
                      <c:pt idx="13">
                        <c:v>Alejandro A. Díaz González (5)</c:v>
                      </c:pt>
                      <c:pt idx="14">
                        <c:v>Inés Monroy (6)</c:v>
                      </c:pt>
                      <c:pt idx="15">
                        <c:v>Jaime Larrañaga Juez (5)</c:v>
                      </c:pt>
                      <c:pt idx="16">
                        <c:v>Carles Estruch Puig (5)</c:v>
                      </c:pt>
                      <c:pt idx="17">
                        <c:v>Alfonso Zárate Conde (6)</c:v>
                      </c:pt>
                      <c:pt idx="18">
                        <c:v>Jorge Antonio González Sánchez (6)</c:v>
                      </c:pt>
                      <c:pt idx="19">
                        <c:v>Fernando Sánchez-Rey Maeso (6)</c:v>
                      </c:pt>
                      <c:pt idx="20">
                        <c:v>Laura Gómez López (5)</c:v>
                      </c:pt>
                      <c:pt idx="21">
                        <c:v>Elena Muñoz Vioque (6)</c:v>
                      </c:pt>
                      <c:pt idx="22">
                        <c:v>Javier Espelta (4)</c:v>
                      </c:pt>
                      <c:pt idx="23">
                        <c:v>Marcos Fortea Escolano (5)</c:v>
                      </c:pt>
                      <c:pt idx="24">
                        <c:v>Jose Manuel Otero López (6)</c:v>
                      </c:pt>
                      <c:pt idx="25">
                        <c:v>Aitor Folch (4)</c:v>
                      </c:pt>
                      <c:pt idx="26">
                        <c:v>Juan Pedro Conejo Sanchez (6)</c:v>
                      </c:pt>
                      <c:pt idx="27">
                        <c:v>Jonathan Pazmiño Espinoza (4)</c:v>
                      </c:pt>
                      <c:pt idx="28">
                        <c:v>Oscar Mulas Crespo (4)</c:v>
                      </c:pt>
                      <c:pt idx="29">
                        <c:v>Vicente Fayos Gavila (4)</c:v>
                      </c:pt>
                      <c:pt idx="30">
                        <c:v>Francisco Valverde Sánchez (4)</c:v>
                      </c:pt>
                      <c:pt idx="31">
                        <c:v>Luis Angel Garzon Velasco (4)</c:v>
                      </c:pt>
                    </c:strCache>
                  </c:strRef>
                </c:cat>
                <c:val>
                  <c:numRef>
                    <c:extLst xmlns:c15="http://schemas.microsoft.com/office/drawing/2012/chart">
                      <c:ext xmlns:c15="http://schemas.microsoft.com/office/drawing/2012/chart" uri="{02D57815-91ED-43cb-92C2-25804820EDAC}">
                        <c15:formulaRef>
                          <c15:sqref>acum_porc!$C$2:$C$78</c15:sqref>
                        </c15:formulaRef>
                      </c:ext>
                    </c:extLst>
                    <c:numCache>
                      <c:formatCode>General</c:formatCode>
                      <c:ptCount val="77"/>
                      <c:pt idx="0">
                        <c:v>0.73000000000000009</c:v>
                      </c:pt>
                      <c:pt idx="1">
                        <c:v>0.33849999999999997</c:v>
                      </c:pt>
                      <c:pt idx="2">
                        <c:v>0.84699999999999986</c:v>
                      </c:pt>
                      <c:pt idx="3">
                        <c:v>0.48249999999999993</c:v>
                      </c:pt>
                      <c:pt idx="4">
                        <c:v>0.50050000000000006</c:v>
                      </c:pt>
                      <c:pt idx="5">
                        <c:v>0.625</c:v>
                      </c:pt>
                      <c:pt idx="6">
                        <c:v>0.68</c:v>
                      </c:pt>
                      <c:pt idx="7">
                        <c:v>0.74050000000000016</c:v>
                      </c:pt>
                      <c:pt idx="8">
                        <c:v>0.8932500000000001</c:v>
                      </c:pt>
                      <c:pt idx="9">
                        <c:v>0.7024999999999999</c:v>
                      </c:pt>
                      <c:pt idx="10">
                        <c:v>0.64649999999999996</c:v>
                      </c:pt>
                      <c:pt idx="11">
                        <c:v>0.63500000000000012</c:v>
                      </c:pt>
                      <c:pt idx="13">
                        <c:v>0.5625</c:v>
                      </c:pt>
                      <c:pt idx="14">
                        <c:v>0.74624999999999986</c:v>
                      </c:pt>
                      <c:pt idx="15">
                        <c:v>0.74224999999999997</c:v>
                      </c:pt>
                      <c:pt idx="16">
                        <c:v>0.72375000000000012</c:v>
                      </c:pt>
                      <c:pt idx="17">
                        <c:v>0.7</c:v>
                      </c:pt>
                      <c:pt idx="18">
                        <c:v>0.61149999999999982</c:v>
                      </c:pt>
                      <c:pt idx="19">
                        <c:v>0.74899999999999989</c:v>
                      </c:pt>
                      <c:pt idx="20">
                        <c:v>0.6087499999999999</c:v>
                      </c:pt>
                      <c:pt idx="21">
                        <c:v>0.80625000000000002</c:v>
                      </c:pt>
                      <c:pt idx="23">
                        <c:v>0.77525000000000011</c:v>
                      </c:pt>
                      <c:pt idx="24">
                        <c:v>0.99499999999999988</c:v>
                      </c:pt>
                      <c:pt idx="25">
                        <c:v>0.63000000000000012</c:v>
                      </c:pt>
                      <c:pt idx="26">
                        <c:v>0.875</c:v>
                      </c:pt>
                      <c:pt idx="28">
                        <c:v>0.50250000000000006</c:v>
                      </c:pt>
                      <c:pt idx="29">
                        <c:v>0.75549999999999995</c:v>
                      </c:pt>
                      <c:pt idx="30">
                        <c:v>0.50150000000000006</c:v>
                      </c:pt>
                      <c:pt idx="32">
                        <c:v>1.2309999999999999</c:v>
                      </c:pt>
                      <c:pt idx="36">
                        <c:v>0.75249999999999984</c:v>
                      </c:pt>
                      <c:pt idx="37">
                        <c:v>0.80500000000000005</c:v>
                      </c:pt>
                      <c:pt idx="42">
                        <c:v>0.53825000000000001</c:v>
                      </c:pt>
                      <c:pt idx="54">
                        <c:v>0.80899999999999994</c:v>
                      </c:pt>
                      <c:pt idx="69">
                        <c:v>1.18875</c:v>
                      </c:pt>
                      <c:pt idx="74">
                        <c:v>1.155</c:v>
                      </c:pt>
                    </c:numCache>
                  </c:numRef>
                </c:val>
                <c:extLst xmlns:c15="http://schemas.microsoft.com/office/drawing/2012/chart">
                  <c:ext xmlns:c16="http://schemas.microsoft.com/office/drawing/2014/chart" uri="{C3380CC4-5D6E-409C-BE32-E72D297353CC}">
                    <c16:uniqueId val="{00000003-630F-4C85-9C73-FB7089ED1FDF}"/>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acum_porc!$D$1</c15:sqref>
                        </c15:formulaRef>
                      </c:ext>
                    </c:extLst>
                    <c:strCache>
                      <c:ptCount val="1"/>
                      <c:pt idx="0">
                        <c:v>Mar 2024</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ormulaRef>
                          <c15:sqref>acum_porc!$J$2:$J$33</c15:sqref>
                        </c15:formulaRef>
                      </c:ext>
                    </c:extLst>
                    <c:strCache>
                      <c:ptCount val="32"/>
                      <c:pt idx="0">
                        <c:v>Javier Revuelta Alonso (6)</c:v>
                      </c:pt>
                      <c:pt idx="1">
                        <c:v>Juan Luis Jarillo Gómez (4)</c:v>
                      </c:pt>
                      <c:pt idx="2">
                        <c:v>Jose F Vidal (6)</c:v>
                      </c:pt>
                      <c:pt idx="3">
                        <c:v>Alfonso Lezcano (6)</c:v>
                      </c:pt>
                      <c:pt idx="4">
                        <c:v>Roberto Cavero García (4)</c:v>
                      </c:pt>
                      <c:pt idx="5">
                        <c:v>Javier Pérez Salazar (6)</c:v>
                      </c:pt>
                      <c:pt idx="6">
                        <c:v>Roberto Parro Cortés (5)</c:v>
                      </c:pt>
                      <c:pt idx="7">
                        <c:v>Gladys Rocha Blanco (6)</c:v>
                      </c:pt>
                      <c:pt idx="8">
                        <c:v>Julián Mateo Muñoz (6)</c:v>
                      </c:pt>
                      <c:pt idx="9">
                        <c:v>Carlos Callejón (4)</c:v>
                      </c:pt>
                      <c:pt idx="10">
                        <c:v>Sergio Lopez Oliver (4)</c:v>
                      </c:pt>
                      <c:pt idx="11">
                        <c:v>Roque Alonso Alonso (6)</c:v>
                      </c:pt>
                      <c:pt idx="12">
                        <c:v>Javier Colón Cortegoso (4)</c:v>
                      </c:pt>
                      <c:pt idx="13">
                        <c:v>Alejandro A. Díaz González (5)</c:v>
                      </c:pt>
                      <c:pt idx="14">
                        <c:v>Inés Monroy (6)</c:v>
                      </c:pt>
                      <c:pt idx="15">
                        <c:v>Jaime Larrañaga Juez (5)</c:v>
                      </c:pt>
                      <c:pt idx="16">
                        <c:v>Carles Estruch Puig (5)</c:v>
                      </c:pt>
                      <c:pt idx="17">
                        <c:v>Alfonso Zárate Conde (6)</c:v>
                      </c:pt>
                      <c:pt idx="18">
                        <c:v>Jorge Antonio González Sánchez (6)</c:v>
                      </c:pt>
                      <c:pt idx="19">
                        <c:v>Fernando Sánchez-Rey Maeso (6)</c:v>
                      </c:pt>
                      <c:pt idx="20">
                        <c:v>Laura Gómez López (5)</c:v>
                      </c:pt>
                      <c:pt idx="21">
                        <c:v>Elena Muñoz Vioque (6)</c:v>
                      </c:pt>
                      <c:pt idx="22">
                        <c:v>Javier Espelta (4)</c:v>
                      </c:pt>
                      <c:pt idx="23">
                        <c:v>Marcos Fortea Escolano (5)</c:v>
                      </c:pt>
                      <c:pt idx="24">
                        <c:v>Jose Manuel Otero López (6)</c:v>
                      </c:pt>
                      <c:pt idx="25">
                        <c:v>Aitor Folch (4)</c:v>
                      </c:pt>
                      <c:pt idx="26">
                        <c:v>Juan Pedro Conejo Sanchez (6)</c:v>
                      </c:pt>
                      <c:pt idx="27">
                        <c:v>Jonathan Pazmiño Espinoza (4)</c:v>
                      </c:pt>
                      <c:pt idx="28">
                        <c:v>Oscar Mulas Crespo (4)</c:v>
                      </c:pt>
                      <c:pt idx="29">
                        <c:v>Vicente Fayos Gavila (4)</c:v>
                      </c:pt>
                      <c:pt idx="30">
                        <c:v>Francisco Valverde Sánchez (4)</c:v>
                      </c:pt>
                      <c:pt idx="31">
                        <c:v>Luis Angel Garzon Velasco (4)</c:v>
                      </c:pt>
                    </c:strCache>
                  </c:strRef>
                </c:cat>
                <c:val>
                  <c:numRef>
                    <c:extLst xmlns:c15="http://schemas.microsoft.com/office/drawing/2012/chart">
                      <c:ext xmlns:c15="http://schemas.microsoft.com/office/drawing/2012/chart" uri="{02D57815-91ED-43cb-92C2-25804820EDAC}">
                        <c15:formulaRef>
                          <c15:sqref>acum_porc!$D$2:$D$78</c15:sqref>
                        </c15:formulaRef>
                      </c:ext>
                    </c:extLst>
                    <c:numCache>
                      <c:formatCode>General</c:formatCode>
                      <c:ptCount val="77"/>
                      <c:pt idx="0">
                        <c:v>0.16863905325443776</c:v>
                      </c:pt>
                      <c:pt idx="2">
                        <c:v>0.50394477317554232</c:v>
                      </c:pt>
                      <c:pt idx="3">
                        <c:v>0.15828402366863892</c:v>
                      </c:pt>
                      <c:pt idx="5">
                        <c:v>0.57790927021696248</c:v>
                      </c:pt>
                      <c:pt idx="6">
                        <c:v>0.34319526627218921</c:v>
                      </c:pt>
                      <c:pt idx="7">
                        <c:v>1.7460552268244574</c:v>
                      </c:pt>
                      <c:pt idx="8">
                        <c:v>0.64250493096646943</c:v>
                      </c:pt>
                      <c:pt idx="11">
                        <c:v>0.46942800788954631</c:v>
                      </c:pt>
                      <c:pt idx="12">
                        <c:v>5.9171597633134827E-3</c:v>
                      </c:pt>
                      <c:pt idx="13">
                        <c:v>0.22287968441814593</c:v>
                      </c:pt>
                      <c:pt idx="14">
                        <c:v>0.75542406311637078</c:v>
                      </c:pt>
                      <c:pt idx="15">
                        <c:v>0.80769230769230738</c:v>
                      </c:pt>
                      <c:pt idx="17">
                        <c:v>1.2189349112426033</c:v>
                      </c:pt>
                      <c:pt idx="18">
                        <c:v>0.30670611439842199</c:v>
                      </c:pt>
                      <c:pt idx="19">
                        <c:v>1.2194280078895461</c:v>
                      </c:pt>
                      <c:pt idx="20">
                        <c:v>0.74211045364891504</c:v>
                      </c:pt>
                      <c:pt idx="21">
                        <c:v>1.2795857988165678</c:v>
                      </c:pt>
                      <c:pt idx="23">
                        <c:v>1.3505917159763312</c:v>
                      </c:pt>
                      <c:pt idx="24">
                        <c:v>2.0414201183431953</c:v>
                      </c:pt>
                      <c:pt idx="26">
                        <c:v>1.7120315581854042</c:v>
                      </c:pt>
                      <c:pt idx="28">
                        <c:v>0.44970414201183417</c:v>
                      </c:pt>
                      <c:pt idx="29">
                        <c:v>1.3530571992110452</c:v>
                      </c:pt>
                      <c:pt idx="39">
                        <c:v>0.7435897435897435</c:v>
                      </c:pt>
                      <c:pt idx="45">
                        <c:v>0.6060157790927021</c:v>
                      </c:pt>
                      <c:pt idx="65">
                        <c:v>2.2199211045364886</c:v>
                      </c:pt>
                    </c:numCache>
                  </c:numRef>
                </c:val>
                <c:extLst xmlns:c15="http://schemas.microsoft.com/office/drawing/2012/chart">
                  <c:ext xmlns:c16="http://schemas.microsoft.com/office/drawing/2014/chart" uri="{C3380CC4-5D6E-409C-BE32-E72D297353CC}">
                    <c16:uniqueId val="{00000004-630F-4C85-9C73-FB7089ED1FDF}"/>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acum_porc!$E$1</c15:sqref>
                        </c15:formulaRef>
                      </c:ext>
                    </c:extLst>
                    <c:strCache>
                      <c:ptCount val="1"/>
                      <c:pt idx="0">
                        <c:v>Abr 2024</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ormulaRef>
                          <c15:sqref>acum_porc!$J$2:$J$33</c15:sqref>
                        </c15:formulaRef>
                      </c:ext>
                    </c:extLst>
                    <c:strCache>
                      <c:ptCount val="32"/>
                      <c:pt idx="0">
                        <c:v>Javier Revuelta Alonso (6)</c:v>
                      </c:pt>
                      <c:pt idx="1">
                        <c:v>Juan Luis Jarillo Gómez (4)</c:v>
                      </c:pt>
                      <c:pt idx="2">
                        <c:v>Jose F Vidal (6)</c:v>
                      </c:pt>
                      <c:pt idx="3">
                        <c:v>Alfonso Lezcano (6)</c:v>
                      </c:pt>
                      <c:pt idx="4">
                        <c:v>Roberto Cavero García (4)</c:v>
                      </c:pt>
                      <c:pt idx="5">
                        <c:v>Javier Pérez Salazar (6)</c:v>
                      </c:pt>
                      <c:pt idx="6">
                        <c:v>Roberto Parro Cortés (5)</c:v>
                      </c:pt>
                      <c:pt idx="7">
                        <c:v>Gladys Rocha Blanco (6)</c:v>
                      </c:pt>
                      <c:pt idx="8">
                        <c:v>Julián Mateo Muñoz (6)</c:v>
                      </c:pt>
                      <c:pt idx="9">
                        <c:v>Carlos Callejón (4)</c:v>
                      </c:pt>
                      <c:pt idx="10">
                        <c:v>Sergio Lopez Oliver (4)</c:v>
                      </c:pt>
                      <c:pt idx="11">
                        <c:v>Roque Alonso Alonso (6)</c:v>
                      </c:pt>
                      <c:pt idx="12">
                        <c:v>Javier Colón Cortegoso (4)</c:v>
                      </c:pt>
                      <c:pt idx="13">
                        <c:v>Alejandro A. Díaz González (5)</c:v>
                      </c:pt>
                      <c:pt idx="14">
                        <c:v>Inés Monroy (6)</c:v>
                      </c:pt>
                      <c:pt idx="15">
                        <c:v>Jaime Larrañaga Juez (5)</c:v>
                      </c:pt>
                      <c:pt idx="16">
                        <c:v>Carles Estruch Puig (5)</c:v>
                      </c:pt>
                      <c:pt idx="17">
                        <c:v>Alfonso Zárate Conde (6)</c:v>
                      </c:pt>
                      <c:pt idx="18">
                        <c:v>Jorge Antonio González Sánchez (6)</c:v>
                      </c:pt>
                      <c:pt idx="19">
                        <c:v>Fernando Sánchez-Rey Maeso (6)</c:v>
                      </c:pt>
                      <c:pt idx="20">
                        <c:v>Laura Gómez López (5)</c:v>
                      </c:pt>
                      <c:pt idx="21">
                        <c:v>Elena Muñoz Vioque (6)</c:v>
                      </c:pt>
                      <c:pt idx="22">
                        <c:v>Javier Espelta (4)</c:v>
                      </c:pt>
                      <c:pt idx="23">
                        <c:v>Marcos Fortea Escolano (5)</c:v>
                      </c:pt>
                      <c:pt idx="24">
                        <c:v>Jose Manuel Otero López (6)</c:v>
                      </c:pt>
                      <c:pt idx="25">
                        <c:v>Aitor Folch (4)</c:v>
                      </c:pt>
                      <c:pt idx="26">
                        <c:v>Juan Pedro Conejo Sanchez (6)</c:v>
                      </c:pt>
                      <c:pt idx="27">
                        <c:v>Jonathan Pazmiño Espinoza (4)</c:v>
                      </c:pt>
                      <c:pt idx="28">
                        <c:v>Oscar Mulas Crespo (4)</c:v>
                      </c:pt>
                      <c:pt idx="29">
                        <c:v>Vicente Fayos Gavila (4)</c:v>
                      </c:pt>
                      <c:pt idx="30">
                        <c:v>Francisco Valverde Sánchez (4)</c:v>
                      </c:pt>
                      <c:pt idx="31">
                        <c:v>Luis Angel Garzon Velasco (4)</c:v>
                      </c:pt>
                    </c:strCache>
                  </c:strRef>
                </c:cat>
                <c:val>
                  <c:numRef>
                    <c:extLst xmlns:c15="http://schemas.microsoft.com/office/drawing/2012/chart">
                      <c:ext xmlns:c15="http://schemas.microsoft.com/office/drawing/2012/chart" uri="{02D57815-91ED-43cb-92C2-25804820EDAC}">
                        <c15:formulaRef>
                          <c15:sqref>acum_porc!$E$2:$E$78</c15:sqref>
                        </c15:formulaRef>
                      </c:ext>
                    </c:extLst>
                    <c:numCache>
                      <c:formatCode>General</c:formatCode>
                      <c:ptCount val="77"/>
                      <c:pt idx="0">
                        <c:v>0.49963423555230435</c:v>
                      </c:pt>
                      <c:pt idx="2">
                        <c:v>0.35332845647403072</c:v>
                      </c:pt>
                      <c:pt idx="3">
                        <c:v>0.42648134601316751</c:v>
                      </c:pt>
                      <c:pt idx="5">
                        <c:v>1.0848573518653988</c:v>
                      </c:pt>
                      <c:pt idx="6">
                        <c:v>0.39502560351133875</c:v>
                      </c:pt>
                      <c:pt idx="7">
                        <c:v>1.7468910021945863</c:v>
                      </c:pt>
                      <c:pt idx="8">
                        <c:v>0.77249451353328458</c:v>
                      </c:pt>
                      <c:pt idx="11">
                        <c:v>0.66788588149231898</c:v>
                      </c:pt>
                      <c:pt idx="12">
                        <c:v>0.64594001463057793</c:v>
                      </c:pt>
                      <c:pt idx="13">
                        <c:v>0.64667154352596945</c:v>
                      </c:pt>
                      <c:pt idx="14">
                        <c:v>0.77029992684711046</c:v>
                      </c:pt>
                      <c:pt idx="16">
                        <c:v>2.2553035844915872</c:v>
                      </c:pt>
                      <c:pt idx="17">
                        <c:v>1.9261155815654718</c:v>
                      </c:pt>
                      <c:pt idx="18">
                        <c:v>0.89465983906364288</c:v>
                      </c:pt>
                      <c:pt idx="19">
                        <c:v>1.4381858083394292</c:v>
                      </c:pt>
                      <c:pt idx="20">
                        <c:v>0.71982443306510624</c:v>
                      </c:pt>
                      <c:pt idx="21">
                        <c:v>0.70592538405267014</c:v>
                      </c:pt>
                      <c:pt idx="22">
                        <c:v>0.60936356986100948</c:v>
                      </c:pt>
                      <c:pt idx="23">
                        <c:v>0.80760790051207032</c:v>
                      </c:pt>
                      <c:pt idx="24">
                        <c:v>5.5032918800292618</c:v>
                      </c:pt>
                      <c:pt idx="25">
                        <c:v>1.0190197512801757</c:v>
                      </c:pt>
                      <c:pt idx="26">
                        <c:v>2.4711046086320412</c:v>
                      </c:pt>
                      <c:pt idx="27">
                        <c:v>0.74762253108997812</c:v>
                      </c:pt>
                      <c:pt idx="28">
                        <c:v>0.7483540599853693</c:v>
                      </c:pt>
                      <c:pt idx="30">
                        <c:v>1.438917337234821</c:v>
                      </c:pt>
                      <c:pt idx="31">
                        <c:v>1.944403803950256</c:v>
                      </c:pt>
                      <c:pt idx="35">
                        <c:v>0.71909290416971472</c:v>
                      </c:pt>
                      <c:pt idx="44">
                        <c:v>0.26773957571324053</c:v>
                      </c:pt>
                      <c:pt idx="70">
                        <c:v>0.45647403072421361</c:v>
                      </c:pt>
                    </c:numCache>
                  </c:numRef>
                </c:val>
                <c:extLst xmlns:c15="http://schemas.microsoft.com/office/drawing/2012/chart">
                  <c:ext xmlns:c16="http://schemas.microsoft.com/office/drawing/2014/chart" uri="{C3380CC4-5D6E-409C-BE32-E72D297353CC}">
                    <c16:uniqueId val="{00000005-630F-4C85-9C73-FB7089ED1FDF}"/>
                  </c:ext>
                </c:extLst>
              </c15:ser>
            </c15:filteredBarSeries>
            <c15:filteredBarSeries>
              <c15:ser>
                <c:idx val="4"/>
                <c:order val="4"/>
                <c:tx>
                  <c:strRef>
                    <c:extLst xmlns:c15="http://schemas.microsoft.com/office/drawing/2012/chart">
                      <c:ext xmlns:c15="http://schemas.microsoft.com/office/drawing/2012/chart" uri="{02D57815-91ED-43cb-92C2-25804820EDAC}">
                        <c15:formulaRef>
                          <c15:sqref>acum_porc!$H$1</c15:sqref>
                        </c15:formulaRef>
                      </c:ext>
                    </c:extLst>
                    <c:strCache>
                      <c:ptCount val="1"/>
                      <c:pt idx="0">
                        <c:v>contar</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ormulaRef>
                          <c15:sqref>acum_porc!$J$2:$J$33</c15:sqref>
                        </c15:formulaRef>
                      </c:ext>
                    </c:extLst>
                    <c:strCache>
                      <c:ptCount val="32"/>
                      <c:pt idx="0">
                        <c:v>Javier Revuelta Alonso (6)</c:v>
                      </c:pt>
                      <c:pt idx="1">
                        <c:v>Juan Luis Jarillo Gómez (4)</c:v>
                      </c:pt>
                      <c:pt idx="2">
                        <c:v>Jose F Vidal (6)</c:v>
                      </c:pt>
                      <c:pt idx="3">
                        <c:v>Alfonso Lezcano (6)</c:v>
                      </c:pt>
                      <c:pt idx="4">
                        <c:v>Roberto Cavero García (4)</c:v>
                      </c:pt>
                      <c:pt idx="5">
                        <c:v>Javier Pérez Salazar (6)</c:v>
                      </c:pt>
                      <c:pt idx="6">
                        <c:v>Roberto Parro Cortés (5)</c:v>
                      </c:pt>
                      <c:pt idx="7">
                        <c:v>Gladys Rocha Blanco (6)</c:v>
                      </c:pt>
                      <c:pt idx="8">
                        <c:v>Julián Mateo Muñoz (6)</c:v>
                      </c:pt>
                      <c:pt idx="9">
                        <c:v>Carlos Callejón (4)</c:v>
                      </c:pt>
                      <c:pt idx="10">
                        <c:v>Sergio Lopez Oliver (4)</c:v>
                      </c:pt>
                      <c:pt idx="11">
                        <c:v>Roque Alonso Alonso (6)</c:v>
                      </c:pt>
                      <c:pt idx="12">
                        <c:v>Javier Colón Cortegoso (4)</c:v>
                      </c:pt>
                      <c:pt idx="13">
                        <c:v>Alejandro A. Díaz González (5)</c:v>
                      </c:pt>
                      <c:pt idx="14">
                        <c:v>Inés Monroy (6)</c:v>
                      </c:pt>
                      <c:pt idx="15">
                        <c:v>Jaime Larrañaga Juez (5)</c:v>
                      </c:pt>
                      <c:pt idx="16">
                        <c:v>Carles Estruch Puig (5)</c:v>
                      </c:pt>
                      <c:pt idx="17">
                        <c:v>Alfonso Zárate Conde (6)</c:v>
                      </c:pt>
                      <c:pt idx="18">
                        <c:v>Jorge Antonio González Sánchez (6)</c:v>
                      </c:pt>
                      <c:pt idx="19">
                        <c:v>Fernando Sánchez-Rey Maeso (6)</c:v>
                      </c:pt>
                      <c:pt idx="20">
                        <c:v>Laura Gómez López (5)</c:v>
                      </c:pt>
                      <c:pt idx="21">
                        <c:v>Elena Muñoz Vioque (6)</c:v>
                      </c:pt>
                      <c:pt idx="22">
                        <c:v>Javier Espelta (4)</c:v>
                      </c:pt>
                      <c:pt idx="23">
                        <c:v>Marcos Fortea Escolano (5)</c:v>
                      </c:pt>
                      <c:pt idx="24">
                        <c:v>Jose Manuel Otero López (6)</c:v>
                      </c:pt>
                      <c:pt idx="25">
                        <c:v>Aitor Folch (4)</c:v>
                      </c:pt>
                      <c:pt idx="26">
                        <c:v>Juan Pedro Conejo Sanchez (6)</c:v>
                      </c:pt>
                      <c:pt idx="27">
                        <c:v>Jonathan Pazmiño Espinoza (4)</c:v>
                      </c:pt>
                      <c:pt idx="28">
                        <c:v>Oscar Mulas Crespo (4)</c:v>
                      </c:pt>
                      <c:pt idx="29">
                        <c:v>Vicente Fayos Gavila (4)</c:v>
                      </c:pt>
                      <c:pt idx="30">
                        <c:v>Francisco Valverde Sánchez (4)</c:v>
                      </c:pt>
                      <c:pt idx="31">
                        <c:v>Luis Angel Garzon Velasco (4)</c:v>
                      </c:pt>
                    </c:strCache>
                  </c:strRef>
                </c:cat>
                <c:val>
                  <c:numRef>
                    <c:extLst xmlns:c15="http://schemas.microsoft.com/office/drawing/2012/chart">
                      <c:ext xmlns:c15="http://schemas.microsoft.com/office/drawing/2012/chart" uri="{02D57815-91ED-43cb-92C2-25804820EDAC}">
                        <c15:formulaRef>
                          <c15:sqref>acum_porc!$H$2:$H$78</c15:sqref>
                        </c15:formulaRef>
                      </c:ext>
                    </c:extLst>
                    <c:numCache>
                      <c:formatCode>General</c:formatCode>
                      <c:ptCount val="77"/>
                      <c:pt idx="0">
                        <c:v>6</c:v>
                      </c:pt>
                      <c:pt idx="1">
                        <c:v>4</c:v>
                      </c:pt>
                      <c:pt idx="2">
                        <c:v>6</c:v>
                      </c:pt>
                      <c:pt idx="3">
                        <c:v>6</c:v>
                      </c:pt>
                      <c:pt idx="4">
                        <c:v>4</c:v>
                      </c:pt>
                      <c:pt idx="5">
                        <c:v>6</c:v>
                      </c:pt>
                      <c:pt idx="6">
                        <c:v>5</c:v>
                      </c:pt>
                      <c:pt idx="7">
                        <c:v>6</c:v>
                      </c:pt>
                      <c:pt idx="8">
                        <c:v>6</c:v>
                      </c:pt>
                      <c:pt idx="9">
                        <c:v>4</c:v>
                      </c:pt>
                      <c:pt idx="10">
                        <c:v>4</c:v>
                      </c:pt>
                      <c:pt idx="11">
                        <c:v>6</c:v>
                      </c:pt>
                      <c:pt idx="12">
                        <c:v>4</c:v>
                      </c:pt>
                      <c:pt idx="13">
                        <c:v>5</c:v>
                      </c:pt>
                      <c:pt idx="14">
                        <c:v>6</c:v>
                      </c:pt>
                      <c:pt idx="15">
                        <c:v>5</c:v>
                      </c:pt>
                      <c:pt idx="16">
                        <c:v>5</c:v>
                      </c:pt>
                      <c:pt idx="17">
                        <c:v>6</c:v>
                      </c:pt>
                      <c:pt idx="18">
                        <c:v>6</c:v>
                      </c:pt>
                      <c:pt idx="19">
                        <c:v>6</c:v>
                      </c:pt>
                      <c:pt idx="20">
                        <c:v>5</c:v>
                      </c:pt>
                      <c:pt idx="21">
                        <c:v>6</c:v>
                      </c:pt>
                      <c:pt idx="22">
                        <c:v>4</c:v>
                      </c:pt>
                      <c:pt idx="23">
                        <c:v>5</c:v>
                      </c:pt>
                      <c:pt idx="24">
                        <c:v>6</c:v>
                      </c:pt>
                      <c:pt idx="25">
                        <c:v>4</c:v>
                      </c:pt>
                      <c:pt idx="26">
                        <c:v>6</c:v>
                      </c:pt>
                      <c:pt idx="27">
                        <c:v>4</c:v>
                      </c:pt>
                      <c:pt idx="28">
                        <c:v>4</c:v>
                      </c:pt>
                      <c:pt idx="29">
                        <c:v>4</c:v>
                      </c:pt>
                      <c:pt idx="30">
                        <c:v>4</c:v>
                      </c:pt>
                      <c:pt idx="31">
                        <c:v>4</c:v>
                      </c:pt>
                      <c:pt idx="32">
                        <c:v>1</c:v>
                      </c:pt>
                      <c:pt idx="33">
                        <c:v>1</c:v>
                      </c:pt>
                      <c:pt idx="34">
                        <c:v>1</c:v>
                      </c:pt>
                      <c:pt idx="35">
                        <c:v>1</c:v>
                      </c:pt>
                      <c:pt idx="36">
                        <c:v>1</c:v>
                      </c:pt>
                      <c:pt idx="37">
                        <c:v>2</c:v>
                      </c:pt>
                      <c:pt idx="38">
                        <c:v>1</c:v>
                      </c:pt>
                      <c:pt idx="39">
                        <c:v>1</c:v>
                      </c:pt>
                      <c:pt idx="40">
                        <c:v>2</c:v>
                      </c:pt>
                      <c:pt idx="41">
                        <c:v>2</c:v>
                      </c:pt>
                      <c:pt idx="42">
                        <c:v>1</c:v>
                      </c:pt>
                      <c:pt idx="43">
                        <c:v>1</c:v>
                      </c:pt>
                      <c:pt idx="44">
                        <c:v>3</c:v>
                      </c:pt>
                      <c:pt idx="45">
                        <c:v>1</c:v>
                      </c:pt>
                      <c:pt idx="46">
                        <c:v>2</c:v>
                      </c:pt>
                      <c:pt idx="47">
                        <c:v>1</c:v>
                      </c:pt>
                      <c:pt idx="48">
                        <c:v>1</c:v>
                      </c:pt>
                      <c:pt idx="49">
                        <c:v>2</c:v>
                      </c:pt>
                      <c:pt idx="50">
                        <c:v>1</c:v>
                      </c:pt>
                      <c:pt idx="51">
                        <c:v>1</c:v>
                      </c:pt>
                      <c:pt idx="52">
                        <c:v>1</c:v>
                      </c:pt>
                      <c:pt idx="53">
                        <c:v>1</c:v>
                      </c:pt>
                      <c:pt idx="54">
                        <c:v>2</c:v>
                      </c:pt>
                      <c:pt idx="55">
                        <c:v>1</c:v>
                      </c:pt>
                      <c:pt idx="56">
                        <c:v>1</c:v>
                      </c:pt>
                      <c:pt idx="57">
                        <c:v>2</c:v>
                      </c:pt>
                      <c:pt idx="58">
                        <c:v>1</c:v>
                      </c:pt>
                      <c:pt idx="59">
                        <c:v>1</c:v>
                      </c:pt>
                      <c:pt idx="60">
                        <c:v>2</c:v>
                      </c:pt>
                      <c:pt idx="61">
                        <c:v>1</c:v>
                      </c:pt>
                      <c:pt idx="62">
                        <c:v>1</c:v>
                      </c:pt>
                      <c:pt idx="63">
                        <c:v>1</c:v>
                      </c:pt>
                      <c:pt idx="64">
                        <c:v>1</c:v>
                      </c:pt>
                      <c:pt idx="65">
                        <c:v>1</c:v>
                      </c:pt>
                      <c:pt idx="66">
                        <c:v>1</c:v>
                      </c:pt>
                      <c:pt idx="67">
                        <c:v>1</c:v>
                      </c:pt>
                      <c:pt idx="68">
                        <c:v>1</c:v>
                      </c:pt>
                      <c:pt idx="69">
                        <c:v>1</c:v>
                      </c:pt>
                      <c:pt idx="70">
                        <c:v>3</c:v>
                      </c:pt>
                      <c:pt idx="71">
                        <c:v>2</c:v>
                      </c:pt>
                      <c:pt idx="72">
                        <c:v>1</c:v>
                      </c:pt>
                      <c:pt idx="73">
                        <c:v>1</c:v>
                      </c:pt>
                      <c:pt idx="74">
                        <c:v>1</c:v>
                      </c:pt>
                      <c:pt idx="75">
                        <c:v>1</c:v>
                      </c:pt>
                      <c:pt idx="76">
                        <c:v>1</c:v>
                      </c:pt>
                    </c:numCache>
                  </c:numRef>
                </c:val>
                <c:extLst xmlns:c15="http://schemas.microsoft.com/office/drawing/2012/chart">
                  <c:ext xmlns:c16="http://schemas.microsoft.com/office/drawing/2014/chart" uri="{C3380CC4-5D6E-409C-BE32-E72D297353CC}">
                    <c16:uniqueId val="{00000006-630F-4C85-9C73-FB7089ED1FDF}"/>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acum_porc!$J$1</c15:sqref>
                        </c15:formulaRef>
                      </c:ext>
                    </c:extLst>
                    <c:strCache>
                      <c:ptCount val="1"/>
                      <c:pt idx="0">
                        <c:v>Clasificación</c:v>
                      </c:pt>
                    </c:strCache>
                  </c:strRef>
                </c:tx>
                <c:spPr>
                  <a:solidFill>
                    <a:schemeClr val="accent1">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ormulaRef>
                          <c15:sqref>acum_porc!$J$2:$J$33</c15:sqref>
                        </c15:formulaRef>
                      </c:ext>
                    </c:extLst>
                    <c:strCache>
                      <c:ptCount val="32"/>
                      <c:pt idx="0">
                        <c:v>Javier Revuelta Alonso (6)</c:v>
                      </c:pt>
                      <c:pt idx="1">
                        <c:v>Juan Luis Jarillo Gómez (4)</c:v>
                      </c:pt>
                      <c:pt idx="2">
                        <c:v>Jose F Vidal (6)</c:v>
                      </c:pt>
                      <c:pt idx="3">
                        <c:v>Alfonso Lezcano (6)</c:v>
                      </c:pt>
                      <c:pt idx="4">
                        <c:v>Roberto Cavero García (4)</c:v>
                      </c:pt>
                      <c:pt idx="5">
                        <c:v>Javier Pérez Salazar (6)</c:v>
                      </c:pt>
                      <c:pt idx="6">
                        <c:v>Roberto Parro Cortés (5)</c:v>
                      </c:pt>
                      <c:pt idx="7">
                        <c:v>Gladys Rocha Blanco (6)</c:v>
                      </c:pt>
                      <c:pt idx="8">
                        <c:v>Julián Mateo Muñoz (6)</c:v>
                      </c:pt>
                      <c:pt idx="9">
                        <c:v>Carlos Callejón (4)</c:v>
                      </c:pt>
                      <c:pt idx="10">
                        <c:v>Sergio Lopez Oliver (4)</c:v>
                      </c:pt>
                      <c:pt idx="11">
                        <c:v>Roque Alonso Alonso (6)</c:v>
                      </c:pt>
                      <c:pt idx="12">
                        <c:v>Javier Colón Cortegoso (4)</c:v>
                      </c:pt>
                      <c:pt idx="13">
                        <c:v>Alejandro A. Díaz González (5)</c:v>
                      </c:pt>
                      <c:pt idx="14">
                        <c:v>Inés Monroy (6)</c:v>
                      </c:pt>
                      <c:pt idx="15">
                        <c:v>Jaime Larrañaga Juez (5)</c:v>
                      </c:pt>
                      <c:pt idx="16">
                        <c:v>Carles Estruch Puig (5)</c:v>
                      </c:pt>
                      <c:pt idx="17">
                        <c:v>Alfonso Zárate Conde (6)</c:v>
                      </c:pt>
                      <c:pt idx="18">
                        <c:v>Jorge Antonio González Sánchez (6)</c:v>
                      </c:pt>
                      <c:pt idx="19">
                        <c:v>Fernando Sánchez-Rey Maeso (6)</c:v>
                      </c:pt>
                      <c:pt idx="20">
                        <c:v>Laura Gómez López (5)</c:v>
                      </c:pt>
                      <c:pt idx="21">
                        <c:v>Elena Muñoz Vioque (6)</c:v>
                      </c:pt>
                      <c:pt idx="22">
                        <c:v>Javier Espelta (4)</c:v>
                      </c:pt>
                      <c:pt idx="23">
                        <c:v>Marcos Fortea Escolano (5)</c:v>
                      </c:pt>
                      <c:pt idx="24">
                        <c:v>Jose Manuel Otero López (6)</c:v>
                      </c:pt>
                      <c:pt idx="25">
                        <c:v>Aitor Folch (4)</c:v>
                      </c:pt>
                      <c:pt idx="26">
                        <c:v>Juan Pedro Conejo Sanchez (6)</c:v>
                      </c:pt>
                      <c:pt idx="27">
                        <c:v>Jonathan Pazmiño Espinoza (4)</c:v>
                      </c:pt>
                      <c:pt idx="28">
                        <c:v>Oscar Mulas Crespo (4)</c:v>
                      </c:pt>
                      <c:pt idx="29">
                        <c:v>Vicente Fayos Gavila (4)</c:v>
                      </c:pt>
                      <c:pt idx="30">
                        <c:v>Francisco Valverde Sánchez (4)</c:v>
                      </c:pt>
                      <c:pt idx="31">
                        <c:v>Luis Angel Garzon Velasco (4)</c:v>
                      </c:pt>
                    </c:strCache>
                  </c:strRef>
                </c:cat>
                <c:val>
                  <c:numRef>
                    <c:extLst xmlns:c15="http://schemas.microsoft.com/office/drawing/2012/chart">
                      <c:ext xmlns:c15="http://schemas.microsoft.com/office/drawing/2012/chart" uri="{02D57815-91ED-43cb-92C2-25804820EDAC}">
                        <c15:formulaRef>
                          <c15:sqref>acum_porc!$J$2:$J$78</c15:sqref>
                        </c15:formulaRef>
                      </c:ext>
                    </c:extLst>
                    <c:numCache>
                      <c:formatCode>General</c:formatCode>
                      <c:ptCount val="7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numCache>
                  </c:numRef>
                </c:val>
                <c:extLst xmlns:c15="http://schemas.microsoft.com/office/drawing/2012/chart">
                  <c:ext xmlns:c16="http://schemas.microsoft.com/office/drawing/2014/chart" uri="{C3380CC4-5D6E-409C-BE32-E72D297353CC}">
                    <c16:uniqueId val="{00000000-630F-4C85-9C73-FB7089ED1FDF}"/>
                  </c:ext>
                </c:extLst>
              </c15:ser>
            </c15:filteredBarSeries>
          </c:ext>
        </c:extLst>
      </c:barChart>
      <c:catAx>
        <c:axId val="1284702623"/>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low"/>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Arial Narrow" panose="020B0606020202030204" pitchFamily="34" charset="0"/>
                <a:ea typeface="+mn-ea"/>
                <a:cs typeface="+mn-cs"/>
              </a:defRPr>
            </a:pPr>
            <a:endParaRPr lang="es-ES"/>
          </a:p>
        </c:txPr>
        <c:crossAx val="1284701183"/>
        <c:crosses val="autoZero"/>
        <c:auto val="1"/>
        <c:lblAlgn val="ctr"/>
        <c:lblOffset val="100"/>
        <c:noMultiLvlLbl val="0"/>
      </c:catAx>
      <c:valAx>
        <c:axId val="1284701183"/>
        <c:scaling>
          <c:orientation val="minMax"/>
        </c:scaling>
        <c:delete val="0"/>
        <c:axPos val="t"/>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400" b="0" i="0" u="none" strike="noStrike" kern="1200" baseline="0">
                    <a:solidFill>
                      <a:schemeClr val="tx1">
                        <a:lumMod val="65000"/>
                        <a:lumOff val="35000"/>
                      </a:schemeClr>
                    </a:solidFill>
                    <a:latin typeface="Arial Narrow" panose="020B0606020202030204" pitchFamily="34" charset="0"/>
                    <a:ea typeface="+mn-ea"/>
                    <a:cs typeface="+mn-cs"/>
                  </a:defRPr>
                </a:pPr>
                <a:r>
                  <a:rPr lang="es-ES" sz="1400">
                    <a:latin typeface="Arial Narrow" panose="020B0606020202030204" pitchFamily="34" charset="0"/>
                  </a:rPr>
                  <a:t>Desvío (%)</a:t>
                </a:r>
              </a:p>
            </c:rich>
          </c:tx>
          <c:layout>
            <c:manualLayout>
              <c:xMode val="edge"/>
              <c:yMode val="edge"/>
              <c:x val="0.52176078880347676"/>
              <c:y val="0.12606935146322565"/>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title>
        <c:numFmt formatCode="0%" sourceLinked="0"/>
        <c:majorTickMark val="out"/>
        <c:minorTickMark val="out"/>
        <c:tickLblPos val="nextTo"/>
        <c:spPr>
          <a:noFill/>
          <a:ln>
            <a:solidFill>
              <a:schemeClr val="tx1">
                <a:lumMod val="50000"/>
                <a:lumOff val="50000"/>
              </a:schemeClr>
            </a:solid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8470262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38100" cap="flat" cmpd="sng" algn="ctr">
      <a:solidFill>
        <a:schemeClr val="tx1">
          <a:lumMod val="50000"/>
          <a:lumOff val="50000"/>
        </a:schemeClr>
      </a:solidFill>
      <a:round/>
    </a:ln>
    <a:effectLst/>
  </c:spPr>
  <c:txPr>
    <a:bodyPr/>
    <a:lstStyle/>
    <a:p>
      <a:pPr>
        <a:defRPr/>
      </a:pPr>
      <a:endParaRPr lang="es-ES"/>
    </a:p>
  </c:txPr>
  <c:printSettings>
    <c:headerFooter/>
    <c:pageMargins b="0.75" l="0.7" r="0.7" t="0.75" header="0.3" footer="0.3"/>
    <c:pageSetup/>
  </c:printSettings>
  <c:userShapes r:id="rId3"/>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645216621704191"/>
          <c:y val="0.17897949980921987"/>
          <c:w val="0.80023368308659804"/>
          <c:h val="0.77881288517349423"/>
        </c:manualLayout>
      </c:layout>
      <c:barChart>
        <c:barDir val="bar"/>
        <c:grouping val="clustered"/>
        <c:varyColors val="0"/>
        <c:ser>
          <c:idx val="4"/>
          <c:order val="4"/>
          <c:tx>
            <c:strRef>
              <c:f>acum_abs!$I$1</c:f>
              <c:strCache>
                <c:ptCount val="1"/>
                <c:pt idx="0">
                  <c:v>min</c:v>
                </c:pt>
              </c:strCache>
            </c:strRef>
          </c:tx>
          <c:spPr>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0800000" scaled="1"/>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s-E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acum_abs!$A$2:$A$78</c:f>
              <c:strCache>
                <c:ptCount val="32"/>
                <c:pt idx="0">
                  <c:v>Javier Revuelta Alonso</c:v>
                </c:pt>
                <c:pt idx="1">
                  <c:v>Jose F Vidal</c:v>
                </c:pt>
                <c:pt idx="2">
                  <c:v>Juan Luis Jarillo Gómez</c:v>
                </c:pt>
                <c:pt idx="3">
                  <c:v>Roberto Parro Cortés</c:v>
                </c:pt>
                <c:pt idx="4">
                  <c:v>Alfonso Lezcano</c:v>
                </c:pt>
                <c:pt idx="5">
                  <c:v>Alejandro A. Díaz González</c:v>
                </c:pt>
                <c:pt idx="6">
                  <c:v>Javier Pérez Salazar</c:v>
                </c:pt>
                <c:pt idx="7">
                  <c:v>Inés Monroy</c:v>
                </c:pt>
                <c:pt idx="8">
                  <c:v>Javier Colón Cortegoso</c:v>
                </c:pt>
                <c:pt idx="9">
                  <c:v>Julián Mateo Muñoz</c:v>
                </c:pt>
                <c:pt idx="10">
                  <c:v>Roberto Cavero García</c:v>
                </c:pt>
                <c:pt idx="11">
                  <c:v>Laura Gómez López</c:v>
                </c:pt>
                <c:pt idx="12">
                  <c:v>Roque Alonso Alonso</c:v>
                </c:pt>
                <c:pt idx="13">
                  <c:v>Gladys Rocha Blanco</c:v>
                </c:pt>
                <c:pt idx="14">
                  <c:v>Carlos Callejón</c:v>
                </c:pt>
                <c:pt idx="15">
                  <c:v>Sergio Lopez Oliver</c:v>
                </c:pt>
                <c:pt idx="16">
                  <c:v>Jaime Larrañaga Juez</c:v>
                </c:pt>
                <c:pt idx="17">
                  <c:v>Elena Muñoz Vioque</c:v>
                </c:pt>
                <c:pt idx="18">
                  <c:v>Marcos Fortea Escolano</c:v>
                </c:pt>
                <c:pt idx="19">
                  <c:v>Jorge Antonio González Sánchez</c:v>
                </c:pt>
                <c:pt idx="20">
                  <c:v>Aitor Folch</c:v>
                </c:pt>
                <c:pt idx="21">
                  <c:v>Carles Estruch Puig</c:v>
                </c:pt>
                <c:pt idx="22">
                  <c:v>Oscar Mulas Crespo</c:v>
                </c:pt>
                <c:pt idx="23">
                  <c:v>Fernando Sánchez-Rey Maeso</c:v>
                </c:pt>
                <c:pt idx="24">
                  <c:v>Luis Angel Garzon Velasco</c:v>
                </c:pt>
                <c:pt idx="25">
                  <c:v>Javier Espelta</c:v>
                </c:pt>
                <c:pt idx="26">
                  <c:v>Alfonso Zárate Conde</c:v>
                </c:pt>
                <c:pt idx="27">
                  <c:v>Francisco Valverde Sánchez</c:v>
                </c:pt>
                <c:pt idx="28">
                  <c:v>Vicente Fayos Gavila</c:v>
                </c:pt>
                <c:pt idx="29">
                  <c:v>Jose Manuel Otero López</c:v>
                </c:pt>
                <c:pt idx="30">
                  <c:v>Jonathan Pazmiño Espinoza</c:v>
                </c:pt>
                <c:pt idx="31">
                  <c:v>Juan Pedro Conejo Sanchez</c:v>
                </c:pt>
              </c:strCache>
            </c:strRef>
          </c:cat>
          <c:val>
            <c:numRef>
              <c:f>acum_abs!$I$2:$I$34</c:f>
              <c:numCache>
                <c:formatCode>General</c:formatCode>
                <c:ptCount val="32"/>
                <c:pt idx="0">
                  <c:v>6.8599999999999852</c:v>
                </c:pt>
                <c:pt idx="1">
                  <c:v>13.959999999999988</c:v>
                </c:pt>
                <c:pt idx="2">
                  <c:v>14.010000000000012</c:v>
                </c:pt>
                <c:pt idx="3">
                  <c:v>16.899999999999991</c:v>
                </c:pt>
                <c:pt idx="4">
                  <c:v>18.690000000000005</c:v>
                </c:pt>
                <c:pt idx="5">
                  <c:v>20.619999999999997</c:v>
                </c:pt>
                <c:pt idx="6">
                  <c:v>20.970000000000006</c:v>
                </c:pt>
                <c:pt idx="7">
                  <c:v>22.769999999999996</c:v>
                </c:pt>
                <c:pt idx="8">
                  <c:v>23.449999999999996</c:v>
                </c:pt>
                <c:pt idx="9">
                  <c:v>24.36999999999999</c:v>
                </c:pt>
                <c:pt idx="10">
                  <c:v>26.150000000000013</c:v>
                </c:pt>
                <c:pt idx="11">
                  <c:v>28.340000000000003</c:v>
                </c:pt>
                <c:pt idx="12">
                  <c:v>30.749999999999996</c:v>
                </c:pt>
                <c:pt idx="13">
                  <c:v>32.629999999999995</c:v>
                </c:pt>
                <c:pt idx="14">
                  <c:v>38.270000000000003</c:v>
                </c:pt>
                <c:pt idx="15">
                  <c:v>40</c:v>
                </c:pt>
                <c:pt idx="16">
                  <c:v>40.140000000000008</c:v>
                </c:pt>
                <c:pt idx="17">
                  <c:v>41.41</c:v>
                </c:pt>
                <c:pt idx="18">
                  <c:v>43.95</c:v>
                </c:pt>
                <c:pt idx="19">
                  <c:v>44.650000000000006</c:v>
                </c:pt>
                <c:pt idx="20">
                  <c:v>46.480000000000004</c:v>
                </c:pt>
                <c:pt idx="21">
                  <c:v>46.750000000000014</c:v>
                </c:pt>
                <c:pt idx="22">
                  <c:v>47.669999999999995</c:v>
                </c:pt>
                <c:pt idx="23">
                  <c:v>49.309999999999988</c:v>
                </c:pt>
                <c:pt idx="24">
                  <c:v>49.330000000000013</c:v>
                </c:pt>
                <c:pt idx="25">
                  <c:v>50.379999999999988</c:v>
                </c:pt>
                <c:pt idx="26">
                  <c:v>52.27</c:v>
                </c:pt>
                <c:pt idx="27">
                  <c:v>52.470000000000006</c:v>
                </c:pt>
                <c:pt idx="28">
                  <c:v>64.600000000000009</c:v>
                </c:pt>
                <c:pt idx="29">
                  <c:v>67.150000000000006</c:v>
                </c:pt>
                <c:pt idx="30">
                  <c:v>69.88000000000001</c:v>
                </c:pt>
                <c:pt idx="31">
                  <c:v>70.81</c:v>
                </c:pt>
              </c:numCache>
            </c:numRef>
          </c:val>
          <c:extLst>
            <c:ext xmlns:c16="http://schemas.microsoft.com/office/drawing/2014/chart" uri="{C3380CC4-5D6E-409C-BE32-E72D297353CC}">
              <c16:uniqueId val="{00000001-09D5-438C-937B-0CC6758186A3}"/>
            </c:ext>
          </c:extLst>
        </c:ser>
        <c:dLbls>
          <c:dLblPos val="outEnd"/>
          <c:showLegendKey val="0"/>
          <c:showVal val="1"/>
          <c:showCatName val="0"/>
          <c:showSerName val="0"/>
          <c:showPercent val="0"/>
          <c:showBubbleSize val="0"/>
        </c:dLbls>
        <c:gapWidth val="150"/>
        <c:axId val="1277874879"/>
        <c:axId val="1277876799"/>
        <c:extLst>
          <c:ext xmlns:c15="http://schemas.microsoft.com/office/drawing/2012/chart" uri="{02D57815-91ED-43cb-92C2-25804820EDAC}">
            <c15:filteredBarSeries>
              <c15:ser>
                <c:idx val="0"/>
                <c:order val="0"/>
                <c:tx>
                  <c:strRef>
                    <c:extLst>
                      <c:ext uri="{02D57815-91ED-43cb-92C2-25804820EDAC}">
                        <c15:formulaRef>
                          <c15:sqref>acum_abs!$B$1</c15:sqref>
                        </c15:formulaRef>
                      </c:ext>
                    </c:extLst>
                    <c:strCache>
                      <c:ptCount val="1"/>
                      <c:pt idx="0">
                        <c:v>Ene 2024</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ormulaRef>
                          <c15:sqref>acum_abs!$A$2:$A$34</c15:sqref>
                        </c15:formulaRef>
                      </c:ext>
                    </c:extLst>
                    <c:strCache>
                      <c:ptCount val="32"/>
                      <c:pt idx="0">
                        <c:v>Javier Revuelta Alonso</c:v>
                      </c:pt>
                      <c:pt idx="1">
                        <c:v>Jose F Vidal</c:v>
                      </c:pt>
                      <c:pt idx="2">
                        <c:v>Juan Luis Jarillo Gómez</c:v>
                      </c:pt>
                      <c:pt idx="3">
                        <c:v>Roberto Parro Cortés</c:v>
                      </c:pt>
                      <c:pt idx="4">
                        <c:v>Alfonso Lezcano</c:v>
                      </c:pt>
                      <c:pt idx="5">
                        <c:v>Alejandro A. Díaz González</c:v>
                      </c:pt>
                      <c:pt idx="6">
                        <c:v>Javier Pérez Salazar</c:v>
                      </c:pt>
                      <c:pt idx="7">
                        <c:v>Inés Monroy</c:v>
                      </c:pt>
                      <c:pt idx="8">
                        <c:v>Javier Colón Cortegoso</c:v>
                      </c:pt>
                      <c:pt idx="9">
                        <c:v>Julián Mateo Muñoz</c:v>
                      </c:pt>
                      <c:pt idx="10">
                        <c:v>Roberto Cavero García</c:v>
                      </c:pt>
                      <c:pt idx="11">
                        <c:v>Laura Gómez López</c:v>
                      </c:pt>
                      <c:pt idx="12">
                        <c:v>Roque Alonso Alonso</c:v>
                      </c:pt>
                      <c:pt idx="13">
                        <c:v>Gladys Rocha Blanco</c:v>
                      </c:pt>
                      <c:pt idx="14">
                        <c:v>Carlos Callejón</c:v>
                      </c:pt>
                      <c:pt idx="15">
                        <c:v>Sergio Lopez Oliver</c:v>
                      </c:pt>
                      <c:pt idx="16">
                        <c:v>Jaime Larrañaga Juez</c:v>
                      </c:pt>
                      <c:pt idx="17">
                        <c:v>Elena Muñoz Vioque</c:v>
                      </c:pt>
                      <c:pt idx="18">
                        <c:v>Marcos Fortea Escolano</c:v>
                      </c:pt>
                      <c:pt idx="19">
                        <c:v>Jorge Antonio González Sánchez</c:v>
                      </c:pt>
                      <c:pt idx="20">
                        <c:v>Aitor Folch</c:v>
                      </c:pt>
                      <c:pt idx="21">
                        <c:v>Carles Estruch Puig</c:v>
                      </c:pt>
                      <c:pt idx="22">
                        <c:v>Oscar Mulas Crespo</c:v>
                      </c:pt>
                      <c:pt idx="23">
                        <c:v>Fernando Sánchez-Rey Maeso</c:v>
                      </c:pt>
                      <c:pt idx="24">
                        <c:v>Luis Angel Garzon Velasco</c:v>
                      </c:pt>
                      <c:pt idx="25">
                        <c:v>Javier Espelta</c:v>
                      </c:pt>
                      <c:pt idx="26">
                        <c:v>Alfonso Zárate Conde</c:v>
                      </c:pt>
                      <c:pt idx="27">
                        <c:v>Francisco Valverde Sánchez</c:v>
                      </c:pt>
                      <c:pt idx="28">
                        <c:v>Vicente Fayos Gavila</c:v>
                      </c:pt>
                      <c:pt idx="29">
                        <c:v>Jose Manuel Otero López</c:v>
                      </c:pt>
                      <c:pt idx="30">
                        <c:v>Jonathan Pazmiño Espinoza</c:v>
                      </c:pt>
                      <c:pt idx="31">
                        <c:v>Juan Pedro Conejo Sanchez</c:v>
                      </c:pt>
                    </c:strCache>
                  </c:strRef>
                </c:cat>
                <c:val>
                  <c:numRef>
                    <c:extLst>
                      <c:ext uri="{02D57815-91ED-43cb-92C2-25804820EDAC}">
                        <c15:formulaRef>
                          <c15:sqref>acum_abs!$B$2:$B$78</c15:sqref>
                        </c15:formulaRef>
                      </c:ext>
                    </c:extLst>
                    <c:numCache>
                      <c:formatCode>General</c:formatCode>
                      <c:ptCount val="32"/>
                      <c:pt idx="0">
                        <c:v>2.3999999999999915</c:v>
                      </c:pt>
                      <c:pt idx="1">
                        <c:v>0.64999999999999147</c:v>
                      </c:pt>
                      <c:pt idx="2">
                        <c:v>0.18000000000000682</c:v>
                      </c:pt>
                      <c:pt idx="4">
                        <c:v>4.1800000000000068</c:v>
                      </c:pt>
                      <c:pt idx="5">
                        <c:v>1.25</c:v>
                      </c:pt>
                      <c:pt idx="6">
                        <c:v>0.90000000000000568</c:v>
                      </c:pt>
                      <c:pt idx="7">
                        <c:v>0.20000000000000284</c:v>
                      </c:pt>
                      <c:pt idx="9">
                        <c:v>2.8699999999999903</c:v>
                      </c:pt>
                      <c:pt idx="10">
                        <c:v>2.4000000000000057</c:v>
                      </c:pt>
                      <c:pt idx="12">
                        <c:v>3.2999999999999972</c:v>
                      </c:pt>
                      <c:pt idx="13">
                        <c:v>7.5900000000000034</c:v>
                      </c:pt>
                      <c:pt idx="14">
                        <c:v>5.2000000000000028</c:v>
                      </c:pt>
                      <c:pt idx="15">
                        <c:v>0.46000000000000796</c:v>
                      </c:pt>
                      <c:pt idx="16">
                        <c:v>13.980000000000004</c:v>
                      </c:pt>
                      <c:pt idx="17">
                        <c:v>11.219999999999999</c:v>
                      </c:pt>
                      <c:pt idx="19">
                        <c:v>11.300000000000011</c:v>
                      </c:pt>
                      <c:pt idx="21">
                        <c:v>3.6000000000000085</c:v>
                      </c:pt>
                      <c:pt idx="23">
                        <c:v>14.599999999999994</c:v>
                      </c:pt>
                      <c:pt idx="24">
                        <c:v>14.400000000000006</c:v>
                      </c:pt>
                      <c:pt idx="25">
                        <c:v>13.599999999999994</c:v>
                      </c:pt>
                      <c:pt idx="26">
                        <c:v>5.9000000000000057</c:v>
                      </c:pt>
                      <c:pt idx="28">
                        <c:v>1.5500000000000114</c:v>
                      </c:pt>
                      <c:pt idx="29">
                        <c:v>6.980000000000004</c:v>
                      </c:pt>
                      <c:pt idx="30">
                        <c:v>28.680000000000007</c:v>
                      </c:pt>
                      <c:pt idx="31">
                        <c:v>13</c:v>
                      </c:pt>
                    </c:numCache>
                  </c:numRef>
                </c:val>
                <c:extLst>
                  <c:ext xmlns:c16="http://schemas.microsoft.com/office/drawing/2014/chart" uri="{C3380CC4-5D6E-409C-BE32-E72D297353CC}">
                    <c16:uniqueId val="{00000002-09D5-438C-937B-0CC6758186A3}"/>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acum_abs!$C$1</c15:sqref>
                        </c15:formulaRef>
                      </c:ext>
                    </c:extLst>
                    <c:strCache>
                      <c:ptCount val="1"/>
                      <c:pt idx="0">
                        <c:v>Feb 2024</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acum_abs!$A$2:$A$34</c15:sqref>
                        </c15:formulaRef>
                      </c:ext>
                    </c:extLst>
                    <c:strCache>
                      <c:ptCount val="32"/>
                      <c:pt idx="0">
                        <c:v>Javier Revuelta Alonso</c:v>
                      </c:pt>
                      <c:pt idx="1">
                        <c:v>Jose F Vidal</c:v>
                      </c:pt>
                      <c:pt idx="2">
                        <c:v>Juan Luis Jarillo Gómez</c:v>
                      </c:pt>
                      <c:pt idx="3">
                        <c:v>Roberto Parro Cortés</c:v>
                      </c:pt>
                      <c:pt idx="4">
                        <c:v>Alfonso Lezcano</c:v>
                      </c:pt>
                      <c:pt idx="5">
                        <c:v>Alejandro A. Díaz González</c:v>
                      </c:pt>
                      <c:pt idx="6">
                        <c:v>Javier Pérez Salazar</c:v>
                      </c:pt>
                      <c:pt idx="7">
                        <c:v>Inés Monroy</c:v>
                      </c:pt>
                      <c:pt idx="8">
                        <c:v>Javier Colón Cortegoso</c:v>
                      </c:pt>
                      <c:pt idx="9">
                        <c:v>Julián Mateo Muñoz</c:v>
                      </c:pt>
                      <c:pt idx="10">
                        <c:v>Roberto Cavero García</c:v>
                      </c:pt>
                      <c:pt idx="11">
                        <c:v>Laura Gómez López</c:v>
                      </c:pt>
                      <c:pt idx="12">
                        <c:v>Roque Alonso Alonso</c:v>
                      </c:pt>
                      <c:pt idx="13">
                        <c:v>Gladys Rocha Blanco</c:v>
                      </c:pt>
                      <c:pt idx="14">
                        <c:v>Carlos Callejón</c:v>
                      </c:pt>
                      <c:pt idx="15">
                        <c:v>Sergio Lopez Oliver</c:v>
                      </c:pt>
                      <c:pt idx="16">
                        <c:v>Jaime Larrañaga Juez</c:v>
                      </c:pt>
                      <c:pt idx="17">
                        <c:v>Elena Muñoz Vioque</c:v>
                      </c:pt>
                      <c:pt idx="18">
                        <c:v>Marcos Fortea Escolano</c:v>
                      </c:pt>
                      <c:pt idx="19">
                        <c:v>Jorge Antonio González Sánchez</c:v>
                      </c:pt>
                      <c:pt idx="20">
                        <c:v>Aitor Folch</c:v>
                      </c:pt>
                      <c:pt idx="21">
                        <c:v>Carles Estruch Puig</c:v>
                      </c:pt>
                      <c:pt idx="22">
                        <c:v>Oscar Mulas Crespo</c:v>
                      </c:pt>
                      <c:pt idx="23">
                        <c:v>Fernando Sánchez-Rey Maeso</c:v>
                      </c:pt>
                      <c:pt idx="24">
                        <c:v>Luis Angel Garzon Velasco</c:v>
                      </c:pt>
                      <c:pt idx="25">
                        <c:v>Javier Espelta</c:v>
                      </c:pt>
                      <c:pt idx="26">
                        <c:v>Alfonso Zárate Conde</c:v>
                      </c:pt>
                      <c:pt idx="27">
                        <c:v>Francisco Valverde Sánchez</c:v>
                      </c:pt>
                      <c:pt idx="28">
                        <c:v>Vicente Fayos Gavila</c:v>
                      </c:pt>
                      <c:pt idx="29">
                        <c:v>Jose Manuel Otero López</c:v>
                      </c:pt>
                      <c:pt idx="30">
                        <c:v>Jonathan Pazmiño Espinoza</c:v>
                      </c:pt>
                      <c:pt idx="31">
                        <c:v>Juan Pedro Conejo Sanchez</c:v>
                      </c:pt>
                    </c:strCache>
                  </c:strRef>
                </c:cat>
                <c:val>
                  <c:numRef>
                    <c:extLst xmlns:c15="http://schemas.microsoft.com/office/drawing/2012/chart">
                      <c:ext xmlns:c15="http://schemas.microsoft.com/office/drawing/2012/chart" uri="{02D57815-91ED-43cb-92C2-25804820EDAC}">
                        <c15:formulaRef>
                          <c15:sqref>acum_abs!$C$2:$C$78</c15:sqref>
                        </c15:formulaRef>
                      </c:ext>
                    </c:extLst>
                    <c:numCache>
                      <c:formatCode>General</c:formatCode>
                      <c:ptCount val="32"/>
                      <c:pt idx="0">
                        <c:v>29.200000000000003</c:v>
                      </c:pt>
                      <c:pt idx="1">
                        <c:v>33.879999999999995</c:v>
                      </c:pt>
                      <c:pt idx="2">
                        <c:v>13.54</c:v>
                      </c:pt>
                      <c:pt idx="3">
                        <c:v>27.200000000000003</c:v>
                      </c:pt>
                      <c:pt idx="4">
                        <c:v>19.299999999999997</c:v>
                      </c:pt>
                      <c:pt idx="5">
                        <c:v>22.5</c:v>
                      </c:pt>
                      <c:pt idx="6">
                        <c:v>25</c:v>
                      </c:pt>
                      <c:pt idx="7">
                        <c:v>29.849999999999994</c:v>
                      </c:pt>
                      <c:pt idx="9">
                        <c:v>35.730000000000004</c:v>
                      </c:pt>
                      <c:pt idx="10">
                        <c:v>20.020000000000003</c:v>
                      </c:pt>
                      <c:pt idx="11">
                        <c:v>24.349999999999994</c:v>
                      </c:pt>
                      <c:pt idx="12">
                        <c:v>25.400000000000006</c:v>
                      </c:pt>
                      <c:pt idx="13">
                        <c:v>29.620000000000005</c:v>
                      </c:pt>
                      <c:pt idx="14">
                        <c:v>28.099999999999994</c:v>
                      </c:pt>
                      <c:pt idx="15">
                        <c:v>25.86</c:v>
                      </c:pt>
                      <c:pt idx="16">
                        <c:v>29.689999999999998</c:v>
                      </c:pt>
                      <c:pt idx="17">
                        <c:v>32.25</c:v>
                      </c:pt>
                      <c:pt idx="18">
                        <c:v>31.010000000000005</c:v>
                      </c:pt>
                      <c:pt idx="19">
                        <c:v>24.459999999999994</c:v>
                      </c:pt>
                      <c:pt idx="20">
                        <c:v>25.200000000000003</c:v>
                      </c:pt>
                      <c:pt idx="21">
                        <c:v>28.950000000000003</c:v>
                      </c:pt>
                      <c:pt idx="22">
                        <c:v>20.100000000000001</c:v>
                      </c:pt>
                      <c:pt idx="23">
                        <c:v>29.959999999999994</c:v>
                      </c:pt>
                      <c:pt idx="26">
                        <c:v>28</c:v>
                      </c:pt>
                      <c:pt idx="27">
                        <c:v>20.060000000000002</c:v>
                      </c:pt>
                      <c:pt idx="28">
                        <c:v>30.22</c:v>
                      </c:pt>
                      <c:pt idx="29">
                        <c:v>39.799999999999997</c:v>
                      </c:pt>
                      <c:pt idx="31">
                        <c:v>35</c:v>
                      </c:pt>
                    </c:numCache>
                  </c:numRef>
                </c:val>
                <c:extLst xmlns:c15="http://schemas.microsoft.com/office/drawing/2012/chart">
                  <c:ext xmlns:c16="http://schemas.microsoft.com/office/drawing/2014/chart" uri="{C3380CC4-5D6E-409C-BE32-E72D297353CC}">
                    <c16:uniqueId val="{00000003-09D5-438C-937B-0CC6758186A3}"/>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acum_abs!$D$1</c15:sqref>
                        </c15:formulaRef>
                      </c:ext>
                    </c:extLst>
                    <c:strCache>
                      <c:ptCount val="1"/>
                      <c:pt idx="0">
                        <c:v>Mar 2024</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acum_abs!$A$2:$A$34</c15:sqref>
                        </c15:formulaRef>
                      </c:ext>
                    </c:extLst>
                    <c:strCache>
                      <c:ptCount val="32"/>
                      <c:pt idx="0">
                        <c:v>Javier Revuelta Alonso</c:v>
                      </c:pt>
                      <c:pt idx="1">
                        <c:v>Jose F Vidal</c:v>
                      </c:pt>
                      <c:pt idx="2">
                        <c:v>Juan Luis Jarillo Gómez</c:v>
                      </c:pt>
                      <c:pt idx="3">
                        <c:v>Roberto Parro Cortés</c:v>
                      </c:pt>
                      <c:pt idx="4">
                        <c:v>Alfonso Lezcano</c:v>
                      </c:pt>
                      <c:pt idx="5">
                        <c:v>Alejandro A. Díaz González</c:v>
                      </c:pt>
                      <c:pt idx="6">
                        <c:v>Javier Pérez Salazar</c:v>
                      </c:pt>
                      <c:pt idx="7">
                        <c:v>Inés Monroy</c:v>
                      </c:pt>
                      <c:pt idx="8">
                        <c:v>Javier Colón Cortegoso</c:v>
                      </c:pt>
                      <c:pt idx="9">
                        <c:v>Julián Mateo Muñoz</c:v>
                      </c:pt>
                      <c:pt idx="10">
                        <c:v>Roberto Cavero García</c:v>
                      </c:pt>
                      <c:pt idx="11">
                        <c:v>Laura Gómez López</c:v>
                      </c:pt>
                      <c:pt idx="12">
                        <c:v>Roque Alonso Alonso</c:v>
                      </c:pt>
                      <c:pt idx="13">
                        <c:v>Gladys Rocha Blanco</c:v>
                      </c:pt>
                      <c:pt idx="14">
                        <c:v>Carlos Callejón</c:v>
                      </c:pt>
                      <c:pt idx="15">
                        <c:v>Sergio Lopez Oliver</c:v>
                      </c:pt>
                      <c:pt idx="16">
                        <c:v>Jaime Larrañaga Juez</c:v>
                      </c:pt>
                      <c:pt idx="17">
                        <c:v>Elena Muñoz Vioque</c:v>
                      </c:pt>
                      <c:pt idx="18">
                        <c:v>Marcos Fortea Escolano</c:v>
                      </c:pt>
                      <c:pt idx="19">
                        <c:v>Jorge Antonio González Sánchez</c:v>
                      </c:pt>
                      <c:pt idx="20">
                        <c:v>Aitor Folch</c:v>
                      </c:pt>
                      <c:pt idx="21">
                        <c:v>Carles Estruch Puig</c:v>
                      </c:pt>
                      <c:pt idx="22">
                        <c:v>Oscar Mulas Crespo</c:v>
                      </c:pt>
                      <c:pt idx="23">
                        <c:v>Fernando Sánchez-Rey Maeso</c:v>
                      </c:pt>
                      <c:pt idx="24">
                        <c:v>Luis Angel Garzon Velasco</c:v>
                      </c:pt>
                      <c:pt idx="25">
                        <c:v>Javier Espelta</c:v>
                      </c:pt>
                      <c:pt idx="26">
                        <c:v>Alfonso Zárate Conde</c:v>
                      </c:pt>
                      <c:pt idx="27">
                        <c:v>Francisco Valverde Sánchez</c:v>
                      </c:pt>
                      <c:pt idx="28">
                        <c:v>Vicente Fayos Gavila</c:v>
                      </c:pt>
                      <c:pt idx="29">
                        <c:v>Jose Manuel Otero López</c:v>
                      </c:pt>
                      <c:pt idx="30">
                        <c:v>Jonathan Pazmiño Espinoza</c:v>
                      </c:pt>
                      <c:pt idx="31">
                        <c:v>Juan Pedro Conejo Sanchez</c:v>
                      </c:pt>
                    </c:strCache>
                  </c:strRef>
                </c:cat>
                <c:val>
                  <c:numRef>
                    <c:extLst xmlns:c15="http://schemas.microsoft.com/office/drawing/2012/chart">
                      <c:ext xmlns:c15="http://schemas.microsoft.com/office/drawing/2012/chart" uri="{02D57815-91ED-43cb-92C2-25804820EDAC}">
                        <c15:formulaRef>
                          <c15:sqref>acum_abs!$D$2:$D$78</c15:sqref>
                        </c15:formulaRef>
                      </c:ext>
                    </c:extLst>
                    <c:numCache>
                      <c:formatCode>General</c:formatCode>
                      <c:ptCount val="32"/>
                      <c:pt idx="0">
                        <c:v>3.4199999999999982</c:v>
                      </c:pt>
                      <c:pt idx="1">
                        <c:v>10.219999999999999</c:v>
                      </c:pt>
                      <c:pt idx="3">
                        <c:v>6.9599999999999973</c:v>
                      </c:pt>
                      <c:pt idx="4">
                        <c:v>3.2099999999999973</c:v>
                      </c:pt>
                      <c:pt idx="5">
                        <c:v>4.5199999999999996</c:v>
                      </c:pt>
                      <c:pt idx="6">
                        <c:v>11.719999999999999</c:v>
                      </c:pt>
                      <c:pt idx="7">
                        <c:v>15.32</c:v>
                      </c:pt>
                      <c:pt idx="8">
                        <c:v>0.11999999999999744</c:v>
                      </c:pt>
                      <c:pt idx="9">
                        <c:v>13.030000000000001</c:v>
                      </c:pt>
                      <c:pt idx="11">
                        <c:v>15.049999999999997</c:v>
                      </c:pt>
                      <c:pt idx="12">
                        <c:v>9.52</c:v>
                      </c:pt>
                      <c:pt idx="13">
                        <c:v>35.409999999999997</c:v>
                      </c:pt>
                      <c:pt idx="16">
                        <c:v>16.379999999999995</c:v>
                      </c:pt>
                      <c:pt idx="17">
                        <c:v>25.949999999999996</c:v>
                      </c:pt>
                      <c:pt idx="18">
                        <c:v>27.39</c:v>
                      </c:pt>
                      <c:pt idx="19">
                        <c:v>6.2199999999999989</c:v>
                      </c:pt>
                      <c:pt idx="22">
                        <c:v>9.1199999999999974</c:v>
                      </c:pt>
                      <c:pt idx="23">
                        <c:v>24.729999999999997</c:v>
                      </c:pt>
                      <c:pt idx="26">
                        <c:v>24.72</c:v>
                      </c:pt>
                      <c:pt idx="28">
                        <c:v>27.439999999999998</c:v>
                      </c:pt>
                      <c:pt idx="29">
                        <c:v>41.4</c:v>
                      </c:pt>
                      <c:pt idx="31">
                        <c:v>34.72</c:v>
                      </c:pt>
                    </c:numCache>
                  </c:numRef>
                </c:val>
                <c:extLst xmlns:c15="http://schemas.microsoft.com/office/drawing/2012/chart">
                  <c:ext xmlns:c16="http://schemas.microsoft.com/office/drawing/2014/chart" uri="{C3380CC4-5D6E-409C-BE32-E72D297353CC}">
                    <c16:uniqueId val="{00000004-09D5-438C-937B-0CC6758186A3}"/>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acum_abs!$E$1</c15:sqref>
                        </c15:formulaRef>
                      </c:ext>
                    </c:extLst>
                    <c:strCache>
                      <c:ptCount val="1"/>
                      <c:pt idx="0">
                        <c:v>Abr 2024</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acum_abs!$A$2:$A$34</c15:sqref>
                        </c15:formulaRef>
                      </c:ext>
                    </c:extLst>
                    <c:strCache>
                      <c:ptCount val="32"/>
                      <c:pt idx="0">
                        <c:v>Javier Revuelta Alonso</c:v>
                      </c:pt>
                      <c:pt idx="1">
                        <c:v>Jose F Vidal</c:v>
                      </c:pt>
                      <c:pt idx="2">
                        <c:v>Juan Luis Jarillo Gómez</c:v>
                      </c:pt>
                      <c:pt idx="3">
                        <c:v>Roberto Parro Cortés</c:v>
                      </c:pt>
                      <c:pt idx="4">
                        <c:v>Alfonso Lezcano</c:v>
                      </c:pt>
                      <c:pt idx="5">
                        <c:v>Alejandro A. Díaz González</c:v>
                      </c:pt>
                      <c:pt idx="6">
                        <c:v>Javier Pérez Salazar</c:v>
                      </c:pt>
                      <c:pt idx="7">
                        <c:v>Inés Monroy</c:v>
                      </c:pt>
                      <c:pt idx="8">
                        <c:v>Javier Colón Cortegoso</c:v>
                      </c:pt>
                      <c:pt idx="9">
                        <c:v>Julián Mateo Muñoz</c:v>
                      </c:pt>
                      <c:pt idx="10">
                        <c:v>Roberto Cavero García</c:v>
                      </c:pt>
                      <c:pt idx="11">
                        <c:v>Laura Gómez López</c:v>
                      </c:pt>
                      <c:pt idx="12">
                        <c:v>Roque Alonso Alonso</c:v>
                      </c:pt>
                      <c:pt idx="13">
                        <c:v>Gladys Rocha Blanco</c:v>
                      </c:pt>
                      <c:pt idx="14">
                        <c:v>Carlos Callejón</c:v>
                      </c:pt>
                      <c:pt idx="15">
                        <c:v>Sergio Lopez Oliver</c:v>
                      </c:pt>
                      <c:pt idx="16">
                        <c:v>Jaime Larrañaga Juez</c:v>
                      </c:pt>
                      <c:pt idx="17">
                        <c:v>Elena Muñoz Vioque</c:v>
                      </c:pt>
                      <c:pt idx="18">
                        <c:v>Marcos Fortea Escolano</c:v>
                      </c:pt>
                      <c:pt idx="19">
                        <c:v>Jorge Antonio González Sánchez</c:v>
                      </c:pt>
                      <c:pt idx="20">
                        <c:v>Aitor Folch</c:v>
                      </c:pt>
                      <c:pt idx="21">
                        <c:v>Carles Estruch Puig</c:v>
                      </c:pt>
                      <c:pt idx="22">
                        <c:v>Oscar Mulas Crespo</c:v>
                      </c:pt>
                      <c:pt idx="23">
                        <c:v>Fernando Sánchez-Rey Maeso</c:v>
                      </c:pt>
                      <c:pt idx="24">
                        <c:v>Luis Angel Garzon Velasco</c:v>
                      </c:pt>
                      <c:pt idx="25">
                        <c:v>Javier Espelta</c:v>
                      </c:pt>
                      <c:pt idx="26">
                        <c:v>Alfonso Zárate Conde</c:v>
                      </c:pt>
                      <c:pt idx="27">
                        <c:v>Francisco Valverde Sánchez</c:v>
                      </c:pt>
                      <c:pt idx="28">
                        <c:v>Vicente Fayos Gavila</c:v>
                      </c:pt>
                      <c:pt idx="29">
                        <c:v>Jose Manuel Otero López</c:v>
                      </c:pt>
                      <c:pt idx="30">
                        <c:v>Jonathan Pazmiño Espinoza</c:v>
                      </c:pt>
                      <c:pt idx="31">
                        <c:v>Juan Pedro Conejo Sanchez</c:v>
                      </c:pt>
                    </c:strCache>
                  </c:strRef>
                </c:cat>
                <c:val>
                  <c:numRef>
                    <c:extLst xmlns:c15="http://schemas.microsoft.com/office/drawing/2012/chart">
                      <c:ext xmlns:c15="http://schemas.microsoft.com/office/drawing/2012/chart" uri="{02D57815-91ED-43cb-92C2-25804820EDAC}">
                        <c15:formulaRef>
                          <c15:sqref>acum_abs!$E$2:$E$78</c15:sqref>
                        </c15:formulaRef>
                      </c:ext>
                    </c:extLst>
                    <c:numCache>
                      <c:formatCode>General</c:formatCode>
                      <c:ptCount val="32"/>
                      <c:pt idx="0">
                        <c:v>6.83</c:v>
                      </c:pt>
                      <c:pt idx="1">
                        <c:v>4.83</c:v>
                      </c:pt>
                      <c:pt idx="3">
                        <c:v>5.4</c:v>
                      </c:pt>
                      <c:pt idx="4">
                        <c:v>5.83</c:v>
                      </c:pt>
                      <c:pt idx="5">
                        <c:v>8.8400000000000016</c:v>
                      </c:pt>
                      <c:pt idx="6">
                        <c:v>14.83</c:v>
                      </c:pt>
                      <c:pt idx="7">
                        <c:v>10.53</c:v>
                      </c:pt>
                      <c:pt idx="8">
                        <c:v>8.83</c:v>
                      </c:pt>
                      <c:pt idx="9">
                        <c:v>10.56</c:v>
                      </c:pt>
                      <c:pt idx="11">
                        <c:v>9.8400000000000016</c:v>
                      </c:pt>
                      <c:pt idx="12">
                        <c:v>9.1300000000000008</c:v>
                      </c:pt>
                      <c:pt idx="13">
                        <c:v>23.879999999999995</c:v>
                      </c:pt>
                      <c:pt idx="17">
                        <c:v>9.65</c:v>
                      </c:pt>
                      <c:pt idx="18">
                        <c:v>11.040000000000001</c:v>
                      </c:pt>
                      <c:pt idx="19">
                        <c:v>12.229999999999999</c:v>
                      </c:pt>
                      <c:pt idx="20">
                        <c:v>13.930000000000001</c:v>
                      </c:pt>
                      <c:pt idx="21">
                        <c:v>30.83</c:v>
                      </c:pt>
                      <c:pt idx="22">
                        <c:v>10.229999999999999</c:v>
                      </c:pt>
                      <c:pt idx="23">
                        <c:v>19.659999999999997</c:v>
                      </c:pt>
                      <c:pt idx="24">
                        <c:v>26.58</c:v>
                      </c:pt>
                      <c:pt idx="25">
                        <c:v>8.33</c:v>
                      </c:pt>
                      <c:pt idx="26">
                        <c:v>26.33</c:v>
                      </c:pt>
                      <c:pt idx="27">
                        <c:v>19.670000000000002</c:v>
                      </c:pt>
                      <c:pt idx="29">
                        <c:v>75.23</c:v>
                      </c:pt>
                      <c:pt idx="30">
                        <c:v>10.220000000000001</c:v>
                      </c:pt>
                      <c:pt idx="31">
                        <c:v>33.78</c:v>
                      </c:pt>
                    </c:numCache>
                  </c:numRef>
                </c:val>
                <c:extLst xmlns:c15="http://schemas.microsoft.com/office/drawing/2012/chart">
                  <c:ext xmlns:c16="http://schemas.microsoft.com/office/drawing/2014/chart" uri="{C3380CC4-5D6E-409C-BE32-E72D297353CC}">
                    <c16:uniqueId val="{00000005-09D5-438C-937B-0CC6758186A3}"/>
                  </c:ext>
                </c:extLst>
              </c15:ser>
            </c15:filteredBarSeries>
          </c:ext>
        </c:extLst>
      </c:barChart>
      <c:catAx>
        <c:axId val="1277874879"/>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77876799"/>
        <c:crosses val="autoZero"/>
        <c:auto val="1"/>
        <c:lblAlgn val="ctr"/>
        <c:lblOffset val="100"/>
        <c:noMultiLvlLbl val="0"/>
      </c:catAx>
      <c:valAx>
        <c:axId val="1277876799"/>
        <c:scaling>
          <c:orientation val="minMax"/>
        </c:scaling>
        <c:delete val="0"/>
        <c:axPos val="t"/>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r>
                  <a:rPr lang="es-ES" sz="1200">
                    <a:latin typeface="Arial Narrow" panose="020B0606020202030204" pitchFamily="34" charset="0"/>
                  </a:rPr>
                  <a:t>Desvío (€)</a:t>
                </a:r>
              </a:p>
            </c:rich>
          </c:tx>
          <c:layout>
            <c:manualLayout>
              <c:xMode val="edge"/>
              <c:yMode val="edge"/>
              <c:x val="0.54589051078591977"/>
              <c:y val="0.11142194780718488"/>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title>
        <c:numFmt formatCode="General" sourceLinked="1"/>
        <c:majorTickMark val="out"/>
        <c:minorTickMark val="out"/>
        <c:tickLblPos val="nextTo"/>
        <c:spPr>
          <a:noFill/>
          <a:ln>
            <a:solidFill>
              <a:schemeClr val="tx1">
                <a:lumMod val="50000"/>
                <a:lumOff val="50000"/>
              </a:schemeClr>
            </a:solid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77874879"/>
        <c:crosses val="autoZero"/>
        <c:crossBetween val="between"/>
        <c:minorUnit val="2"/>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38100" cap="flat" cmpd="sng" algn="ctr">
      <a:solidFill>
        <a:schemeClr val="tx1">
          <a:lumMod val="50000"/>
          <a:lumOff val="50000"/>
        </a:schemeClr>
      </a:solidFill>
      <a:round/>
    </a:ln>
    <a:effectLst/>
  </c:spPr>
  <c:txPr>
    <a:bodyPr/>
    <a:lstStyle/>
    <a:p>
      <a:pPr>
        <a:defRPr/>
      </a:pPr>
      <a:endParaRPr lang="es-ES"/>
    </a:p>
  </c:txPr>
  <c:printSettings>
    <c:headerFooter/>
    <c:pageMargins b="0.75" l="0.7" r="0.7" t="0.75" header="0.3" footer="0.3"/>
    <c:pageSetup/>
  </c:printSettings>
  <c:userShapes r:id="rId3"/>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_xlchart.v1.0</cx:f>
      </cx:numDim>
    </cx:data>
  </cx:chartData>
  <cx:chart>
    <cx:title pos="t" align="ctr" overlay="0"/>
    <cx:plotArea>
      <cx:plotAreaRegion>
        <cx:series layoutId="boxWhisker" uniqueId="{5AF82949-9E7C-42DE-AEC4-9EF477CA0A0E}">
          <cx:dataLabels pos="r">
            <cx:visibility seriesName="0" categoryName="0" value="1"/>
          </cx:dataLabels>
          <cx:dataId val="0"/>
          <cx:layoutPr>
            <cx:visibility meanLine="0" meanMarker="1" nonoutliers="0" outliers="1"/>
            <cx:statistics quartileMethod="exclusive"/>
          </cx:layoutPr>
        </cx:series>
      </cx:plotAreaRegion>
      <cx:axis id="0">
        <cx:catScaling gapWidth="1"/>
        <cx:tickLabels/>
      </cx:axis>
      <cx:axis id="1">
        <cx:valScaling/>
        <cx:majorGridlines/>
        <cx:tickLabels/>
        <cx:numFmt formatCode="0" sourceLinked="0"/>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Spin" dx="22" fmlaLink="$H$1" max="31" min="1" page="10" val="3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Spin" dx="22" fmlaLink="$H$1" max="31" min="1" page="10" val="29"/>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Spin" dx="22" fmlaLink="$H$1" max="31" min="1" page="10" val="3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Spin" dx="22" fmlaLink="$H$1" max="31" min="1" page="10" val="30"/>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Spin" dx="22" fmlaLink="$H$1" max="31" min="1" page="10" val="3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Spin" dx="22" fmlaLink="$H$1" max="31" min="1" page="10" val="10"/>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image" Target="../media/image3.png"/><Relationship Id="rId3" Type="http://schemas.openxmlformats.org/officeDocument/2006/relationships/image" Target="../media/image1.png"/><Relationship Id="rId7" Type="http://schemas.openxmlformats.org/officeDocument/2006/relationships/chart" Target="../charts/chart5.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2.png"/><Relationship Id="rId11" Type="http://schemas.openxmlformats.org/officeDocument/2006/relationships/image" Target="../media/image5.png"/><Relationship Id="rId5" Type="http://schemas.openxmlformats.org/officeDocument/2006/relationships/chart" Target="../charts/chart4.xml"/><Relationship Id="rId10" Type="http://schemas.openxmlformats.org/officeDocument/2006/relationships/image" Target="../media/image4.png"/><Relationship Id="rId4" Type="http://schemas.openxmlformats.org/officeDocument/2006/relationships/chart" Target="../charts/chart3.xml"/><Relationship Id="rId9" Type="http://schemas.openxmlformats.org/officeDocument/2006/relationships/chart" Target="../charts/chart6.xml"/></Relationships>
</file>

<file path=xl/drawings/_rels/drawing3.xml.rels><?xml version="1.0" encoding="UTF-8" standalone="yes"?>
<Relationships xmlns="http://schemas.openxmlformats.org/package/2006/relationships"><Relationship Id="rId8" Type="http://schemas.openxmlformats.org/officeDocument/2006/relationships/chart" Target="../charts/chart11.xml"/><Relationship Id="rId3" Type="http://schemas.openxmlformats.org/officeDocument/2006/relationships/image" Target="../media/image2.png"/><Relationship Id="rId7" Type="http://schemas.openxmlformats.org/officeDocument/2006/relationships/chart" Target="../charts/chart10.xml"/><Relationship Id="rId12" Type="http://schemas.openxmlformats.org/officeDocument/2006/relationships/image" Target="../media/image8.png"/><Relationship Id="rId2" Type="http://schemas.openxmlformats.org/officeDocument/2006/relationships/image" Target="../media/image1.png"/><Relationship Id="rId1" Type="http://schemas.openxmlformats.org/officeDocument/2006/relationships/chart" Target="../charts/chart7.xml"/><Relationship Id="rId6" Type="http://schemas.openxmlformats.org/officeDocument/2006/relationships/image" Target="../media/image6.png"/><Relationship Id="rId11" Type="http://schemas.openxmlformats.org/officeDocument/2006/relationships/image" Target="../media/image7.png"/><Relationship Id="rId5" Type="http://schemas.openxmlformats.org/officeDocument/2006/relationships/chart" Target="../charts/chart9.xml"/><Relationship Id="rId10" Type="http://schemas.openxmlformats.org/officeDocument/2006/relationships/chart" Target="../charts/chart13.xml"/><Relationship Id="rId4" Type="http://schemas.openxmlformats.org/officeDocument/2006/relationships/chart" Target="../charts/chart8.xml"/><Relationship Id="rId9" Type="http://schemas.openxmlformats.org/officeDocument/2006/relationships/chart" Target="../charts/chart12.xml"/></Relationships>
</file>

<file path=xl/drawings/_rels/drawing4.xml.rels><?xml version="1.0" encoding="UTF-8" standalone="yes"?>
<Relationships xmlns="http://schemas.openxmlformats.org/package/2006/relationships"><Relationship Id="rId8" Type="http://schemas.openxmlformats.org/officeDocument/2006/relationships/chart" Target="../charts/chart18.xml"/><Relationship Id="rId3" Type="http://schemas.openxmlformats.org/officeDocument/2006/relationships/image" Target="../media/image2.png"/><Relationship Id="rId7" Type="http://schemas.openxmlformats.org/officeDocument/2006/relationships/chart" Target="../charts/chart17.xml"/><Relationship Id="rId12" Type="http://schemas.openxmlformats.org/officeDocument/2006/relationships/image" Target="../media/image9.png"/><Relationship Id="rId2" Type="http://schemas.openxmlformats.org/officeDocument/2006/relationships/image" Target="../media/image1.png"/><Relationship Id="rId1" Type="http://schemas.openxmlformats.org/officeDocument/2006/relationships/chart" Target="../charts/chart14.xml"/><Relationship Id="rId6" Type="http://schemas.openxmlformats.org/officeDocument/2006/relationships/image" Target="../media/image6.png"/><Relationship Id="rId11" Type="http://schemas.openxmlformats.org/officeDocument/2006/relationships/chart" Target="../charts/chart21.xml"/><Relationship Id="rId5" Type="http://schemas.openxmlformats.org/officeDocument/2006/relationships/chart" Target="../charts/chart16.xml"/><Relationship Id="rId10" Type="http://schemas.openxmlformats.org/officeDocument/2006/relationships/chart" Target="../charts/chart20.xml"/><Relationship Id="rId4" Type="http://schemas.openxmlformats.org/officeDocument/2006/relationships/chart" Target="../charts/chart15.xml"/><Relationship Id="rId9" Type="http://schemas.openxmlformats.org/officeDocument/2006/relationships/chart" Target="../charts/chart19.xml"/></Relationships>
</file>

<file path=xl/drawings/_rels/drawing5.xml.rels><?xml version="1.0" encoding="UTF-8" standalone="yes"?>
<Relationships xmlns="http://schemas.openxmlformats.org/package/2006/relationships"><Relationship Id="rId1" Type="http://schemas.openxmlformats.org/officeDocument/2006/relationships/image" Target="../media/image7.png"/></Relationships>
</file>

<file path=xl/drawings/_rels/drawing6.xml.rels><?xml version="1.0" encoding="UTF-8" standalone="yes"?>
<Relationships xmlns="http://schemas.openxmlformats.org/package/2006/relationships"><Relationship Id="rId8" Type="http://schemas.openxmlformats.org/officeDocument/2006/relationships/chart" Target="../charts/chart26.xml"/><Relationship Id="rId3" Type="http://schemas.openxmlformats.org/officeDocument/2006/relationships/image" Target="../media/image2.png"/><Relationship Id="rId7" Type="http://schemas.openxmlformats.org/officeDocument/2006/relationships/chart" Target="../charts/chart25.xml"/><Relationship Id="rId12" Type="http://schemas.openxmlformats.org/officeDocument/2006/relationships/image" Target="../media/image10.png"/><Relationship Id="rId2" Type="http://schemas.openxmlformats.org/officeDocument/2006/relationships/image" Target="../media/image1.png"/><Relationship Id="rId1" Type="http://schemas.openxmlformats.org/officeDocument/2006/relationships/chart" Target="../charts/chart22.xml"/><Relationship Id="rId6" Type="http://schemas.openxmlformats.org/officeDocument/2006/relationships/image" Target="../media/image6.png"/><Relationship Id="rId11" Type="http://schemas.openxmlformats.org/officeDocument/2006/relationships/chart" Target="../charts/chart29.xml"/><Relationship Id="rId5" Type="http://schemas.openxmlformats.org/officeDocument/2006/relationships/chart" Target="../charts/chart24.xml"/><Relationship Id="rId10" Type="http://schemas.openxmlformats.org/officeDocument/2006/relationships/chart" Target="../charts/chart28.xml"/><Relationship Id="rId4" Type="http://schemas.openxmlformats.org/officeDocument/2006/relationships/chart" Target="../charts/chart23.xml"/><Relationship Id="rId9" Type="http://schemas.openxmlformats.org/officeDocument/2006/relationships/chart" Target="../charts/chart27.xml"/></Relationships>
</file>

<file path=xl/drawings/_rels/drawing8.xml.rels><?xml version="1.0" encoding="UTF-8" standalone="yes"?>
<Relationships xmlns="http://schemas.openxmlformats.org/package/2006/relationships"><Relationship Id="rId8" Type="http://schemas.openxmlformats.org/officeDocument/2006/relationships/chart" Target="../charts/chart33.xml"/><Relationship Id="rId13" Type="http://schemas.openxmlformats.org/officeDocument/2006/relationships/image" Target="../media/image12.png"/><Relationship Id="rId3" Type="http://schemas.openxmlformats.org/officeDocument/2006/relationships/image" Target="../media/image1.png"/><Relationship Id="rId7" Type="http://schemas.openxmlformats.org/officeDocument/2006/relationships/image" Target="../media/image6.png"/><Relationship Id="rId12" Type="http://schemas.openxmlformats.org/officeDocument/2006/relationships/chart" Target="../charts/chart37.xml"/><Relationship Id="rId2" Type="http://schemas.openxmlformats.org/officeDocument/2006/relationships/chart" Target="../charts/chart30.xml"/><Relationship Id="rId1" Type="http://schemas.openxmlformats.org/officeDocument/2006/relationships/image" Target="../media/image11.png"/><Relationship Id="rId6" Type="http://schemas.openxmlformats.org/officeDocument/2006/relationships/chart" Target="../charts/chart32.xml"/><Relationship Id="rId11" Type="http://schemas.openxmlformats.org/officeDocument/2006/relationships/chart" Target="../charts/chart36.xml"/><Relationship Id="rId5" Type="http://schemas.openxmlformats.org/officeDocument/2006/relationships/chart" Target="../charts/chart31.xml"/><Relationship Id="rId10" Type="http://schemas.openxmlformats.org/officeDocument/2006/relationships/chart" Target="../charts/chart35.xml"/><Relationship Id="rId4" Type="http://schemas.openxmlformats.org/officeDocument/2006/relationships/image" Target="../media/image2.png"/><Relationship Id="rId9" Type="http://schemas.openxmlformats.org/officeDocument/2006/relationships/chart" Target="../charts/chart34.xml"/></Relationships>
</file>

<file path=xl/drawings/_rels/drawing10.xml.rels><?xml version="1.0" encoding="UTF-8" standalone="yes"?>
<Relationships xmlns="http://schemas.openxmlformats.org/package/2006/relationships"><Relationship Id="rId8" Type="http://schemas.openxmlformats.org/officeDocument/2006/relationships/chart" Target="../charts/chart42.xml"/><Relationship Id="rId13" Type="http://schemas.openxmlformats.org/officeDocument/2006/relationships/chart" Target="../charts/chart46.xml"/><Relationship Id="rId3" Type="http://schemas.openxmlformats.org/officeDocument/2006/relationships/image" Target="../media/image2.png"/><Relationship Id="rId7" Type="http://schemas.openxmlformats.org/officeDocument/2006/relationships/chart" Target="../charts/chart41.xml"/><Relationship Id="rId12" Type="http://schemas.openxmlformats.org/officeDocument/2006/relationships/image" Target="../media/image13.png"/><Relationship Id="rId2" Type="http://schemas.openxmlformats.org/officeDocument/2006/relationships/image" Target="../media/image1.png"/><Relationship Id="rId1" Type="http://schemas.openxmlformats.org/officeDocument/2006/relationships/chart" Target="../charts/chart38.xml"/><Relationship Id="rId6" Type="http://schemas.openxmlformats.org/officeDocument/2006/relationships/image" Target="../media/image6.png"/><Relationship Id="rId11" Type="http://schemas.openxmlformats.org/officeDocument/2006/relationships/chart" Target="../charts/chart45.xml"/><Relationship Id="rId5" Type="http://schemas.openxmlformats.org/officeDocument/2006/relationships/chart" Target="../charts/chart40.xml"/><Relationship Id="rId10" Type="http://schemas.openxmlformats.org/officeDocument/2006/relationships/chart" Target="../charts/chart44.xml"/><Relationship Id="rId4" Type="http://schemas.openxmlformats.org/officeDocument/2006/relationships/chart" Target="../charts/chart39.xml"/><Relationship Id="rId9" Type="http://schemas.openxmlformats.org/officeDocument/2006/relationships/chart" Target="../charts/chart43.xml"/><Relationship Id="rId14" Type="http://schemas.openxmlformats.org/officeDocument/2006/relationships/image" Target="../media/image14.png"/></Relationships>
</file>

<file path=xl/drawings/_rels/drawing12.xml.rels><?xml version="1.0" encoding="UTF-8" standalone="yes"?>
<Relationships xmlns="http://schemas.openxmlformats.org/package/2006/relationships"><Relationship Id="rId2" Type="http://schemas.microsoft.com/office/2014/relationships/chartEx" Target="../charts/chartEx1.xml"/><Relationship Id="rId1" Type="http://schemas.openxmlformats.org/officeDocument/2006/relationships/chart" Target="../charts/chart47.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48.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49.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21</xdr:col>
          <xdr:colOff>38100</xdr:colOff>
          <xdr:row>10</xdr:row>
          <xdr:rowOff>9525</xdr:rowOff>
        </xdr:from>
        <xdr:to>
          <xdr:col>23</xdr:col>
          <xdr:colOff>304800</xdr:colOff>
          <xdr:row>13</xdr:row>
          <xdr:rowOff>85725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datos y  tabla</a:t>
              </a:r>
            </a:p>
          </xdr:txBody>
        </xdr:sp>
        <xdr:clientData fPrintsWithSheet="0"/>
      </xdr:twoCellAnchor>
    </mc:Choice>
    <mc:Fallback/>
  </mc:AlternateContent>
  <xdr:twoCellAnchor>
    <xdr:from>
      <xdr:col>21</xdr:col>
      <xdr:colOff>36635</xdr:colOff>
      <xdr:row>1</xdr:row>
      <xdr:rowOff>58616</xdr:rowOff>
    </xdr:from>
    <xdr:to>
      <xdr:col>25</xdr:col>
      <xdr:colOff>542193</xdr:colOff>
      <xdr:row>9</xdr:row>
      <xdr:rowOff>43962</xdr:rowOff>
    </xdr:to>
    <xdr:sp macro="" textlink="">
      <xdr:nvSpPr>
        <xdr:cNvPr id="2" name="CuadroTexto 1">
          <a:extLst>
            <a:ext uri="{FF2B5EF4-FFF2-40B4-BE49-F238E27FC236}">
              <a16:creationId xmlns:a16="http://schemas.microsoft.com/office/drawing/2014/main" id="{00000000-0008-0000-0100-000002000000}"/>
            </a:ext>
          </a:extLst>
        </xdr:cNvPr>
        <xdr:cNvSpPr txBox="1"/>
      </xdr:nvSpPr>
      <xdr:spPr>
        <a:xfrm>
          <a:off x="12814789" y="212481"/>
          <a:ext cx="3553558" cy="121626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t>DE</a:t>
          </a:r>
          <a:r>
            <a:rPr lang="es-ES" sz="1100" baseline="0"/>
            <a:t> MOMENTO, NO DARLE AL BOTON DE </a:t>
          </a:r>
        </a:p>
        <a:p>
          <a:endParaRPr lang="es-ES" sz="1100" baseline="0"/>
        </a:p>
        <a:p>
          <a:r>
            <a:rPr lang="es-ES" sz="1100" baseline="0"/>
            <a:t>ACTUALIZAR DATOS Y TABLA </a:t>
          </a:r>
        </a:p>
        <a:p>
          <a:endParaRPr lang="es-ES" sz="1100" baseline="0"/>
        </a:p>
        <a:p>
          <a:r>
            <a:rPr lang="es-ES" sz="1100" baseline="0"/>
            <a:t>HASTA QUE COMPRUEBE LAS TAREAS PROGRAMADAS DE WINDOWS</a:t>
          </a:r>
          <a:endParaRPr lang="es-E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19</xdr:col>
      <xdr:colOff>747345</xdr:colOff>
      <xdr:row>6</xdr:row>
      <xdr:rowOff>29308</xdr:rowOff>
    </xdr:from>
    <xdr:to>
      <xdr:col>21</xdr:col>
      <xdr:colOff>58615</xdr:colOff>
      <xdr:row>14</xdr:row>
      <xdr:rowOff>51288</xdr:rowOff>
    </xdr:to>
    <xdr:graphicFrame macro="">
      <xdr:nvGraphicFramePr>
        <xdr:cNvPr id="3" name="Gráfico 2">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5953</xdr:colOff>
      <xdr:row>12</xdr:row>
      <xdr:rowOff>11906</xdr:rowOff>
    </xdr:from>
    <xdr:to>
      <xdr:col>20</xdr:col>
      <xdr:colOff>0</xdr:colOff>
      <xdr:row>14</xdr:row>
      <xdr:rowOff>154781</xdr:rowOff>
    </xdr:to>
    <xdr:sp macro="" textlink="">
      <xdr:nvSpPr>
        <xdr:cNvPr id="13" name="CuadroTexto 12">
          <a:extLst>
            <a:ext uri="{FF2B5EF4-FFF2-40B4-BE49-F238E27FC236}">
              <a16:creationId xmlns:a16="http://schemas.microsoft.com/office/drawing/2014/main" id="{00000000-0008-0000-0200-00000D000000}"/>
            </a:ext>
          </a:extLst>
        </xdr:cNvPr>
        <xdr:cNvSpPr txBox="1"/>
      </xdr:nvSpPr>
      <xdr:spPr>
        <a:xfrm>
          <a:off x="12864703" y="2184797"/>
          <a:ext cx="2315766" cy="452437"/>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Precio medio marcado por las principales tecnologías (€/MWh)</a:t>
          </a:r>
        </a:p>
      </xdr:txBody>
    </xdr:sp>
    <xdr:clientData/>
  </xdr:twoCellAnchor>
  <mc:AlternateContent xmlns:mc="http://schemas.openxmlformats.org/markup-compatibility/2006">
    <mc:Choice xmlns:a14="http://schemas.microsoft.com/office/drawing/2010/main" Requires="a14">
      <xdr:twoCellAnchor>
        <xdr:from>
          <xdr:col>3</xdr:col>
          <xdr:colOff>0</xdr:colOff>
          <xdr:row>0</xdr:row>
          <xdr:rowOff>0</xdr:rowOff>
        </xdr:from>
        <xdr:to>
          <xdr:col>4</xdr:col>
          <xdr:colOff>0</xdr:colOff>
          <xdr:row>3</xdr:row>
          <xdr:rowOff>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200-00000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809625</xdr:colOff>
          <xdr:row>0</xdr:row>
          <xdr:rowOff>9525</xdr:rowOff>
        </xdr:from>
        <xdr:to>
          <xdr:col>5</xdr:col>
          <xdr:colOff>561975</xdr:colOff>
          <xdr:row>3</xdr:row>
          <xdr:rowOff>0</xdr:rowOff>
        </xdr:to>
        <xdr:sp macro="" textlink="">
          <xdr:nvSpPr>
            <xdr:cNvPr id="7171" name="Spinner 3" hidden="1">
              <a:extLst>
                <a:ext uri="{63B3BB69-23CF-44E3-9099-C40C66FF867C}">
                  <a14:compatExt spid="_x0000_s7171"/>
                </a:ext>
                <a:ext uri="{FF2B5EF4-FFF2-40B4-BE49-F238E27FC236}">
                  <a16:creationId xmlns:a16="http://schemas.microsoft.com/office/drawing/2014/main" id="{00000000-0008-0000-0200-0000031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17</xdr:col>
      <xdr:colOff>0</xdr:colOff>
      <xdr:row>5</xdr:row>
      <xdr:rowOff>1</xdr:rowOff>
    </xdr:from>
    <xdr:to>
      <xdr:col>20</xdr:col>
      <xdr:colOff>0</xdr:colOff>
      <xdr:row>6</xdr:row>
      <xdr:rowOff>1</xdr:rowOff>
    </xdr:to>
    <xdr:sp macro="" textlink="">
      <xdr:nvSpPr>
        <xdr:cNvPr id="7" name="CuadroTexto 6">
          <a:extLst>
            <a:ext uri="{FF2B5EF4-FFF2-40B4-BE49-F238E27FC236}">
              <a16:creationId xmlns:a16="http://schemas.microsoft.com/office/drawing/2014/main" id="{00000000-0008-0000-0200-000007000000}"/>
            </a:ext>
          </a:extLst>
        </xdr:cNvPr>
        <xdr:cNvSpPr txBox="1"/>
      </xdr:nvSpPr>
      <xdr:spPr>
        <a:xfrm>
          <a:off x="12858750" y="773907"/>
          <a:ext cx="2321719" cy="464344"/>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marcadas</a:t>
          </a:r>
          <a:r>
            <a:rPr lang="es-ES" sz="1200" baseline="0">
              <a:latin typeface="Arial Narrow" panose="020B0606020202030204" pitchFamily="34" charset="0"/>
            </a:rPr>
            <a:t> por las principales tecnologías (%)</a:t>
          </a:r>
          <a:endParaRPr lang="es-ES" sz="1200">
            <a:latin typeface="Arial Narrow" panose="020B0606020202030204" pitchFamily="34" charset="0"/>
          </a:endParaRPr>
        </a:p>
      </xdr:txBody>
    </xdr:sp>
    <xdr:clientData/>
  </xdr:twoCellAnchor>
  <xdr:twoCellAnchor>
    <xdr:from>
      <xdr:col>17</xdr:col>
      <xdr:colOff>0</xdr:colOff>
      <xdr:row>11</xdr:row>
      <xdr:rowOff>153864</xdr:rowOff>
    </xdr:from>
    <xdr:to>
      <xdr:col>20</xdr:col>
      <xdr:colOff>0</xdr:colOff>
      <xdr:row>26</xdr:row>
      <xdr:rowOff>0</xdr:rowOff>
    </xdr:to>
    <xdr:sp macro="" textlink="">
      <xdr:nvSpPr>
        <xdr:cNvPr id="9" name="Rectángulo 8">
          <a:extLst>
            <a:ext uri="{FF2B5EF4-FFF2-40B4-BE49-F238E27FC236}">
              <a16:creationId xmlns:a16="http://schemas.microsoft.com/office/drawing/2014/main" id="{00000000-0008-0000-0200-000009000000}"/>
            </a:ext>
          </a:extLst>
        </xdr:cNvPr>
        <xdr:cNvSpPr/>
      </xdr:nvSpPr>
      <xdr:spPr>
        <a:xfrm>
          <a:off x="12866077" y="2168768"/>
          <a:ext cx="2322635" cy="215411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16</xdr:col>
      <xdr:colOff>0</xdr:colOff>
      <xdr:row>0</xdr:row>
      <xdr:rowOff>1</xdr:rowOff>
    </xdr:from>
    <xdr:to>
      <xdr:col>19</xdr:col>
      <xdr:colOff>0</xdr:colOff>
      <xdr:row>5</xdr:row>
      <xdr:rowOff>1</xdr:rowOff>
    </xdr:to>
    <xdr:sp macro="" textlink="">
      <xdr:nvSpPr>
        <xdr:cNvPr id="10" name="Rectángulo 9">
          <a:extLst>
            <a:ext uri="{FF2B5EF4-FFF2-40B4-BE49-F238E27FC236}">
              <a16:creationId xmlns:a16="http://schemas.microsoft.com/office/drawing/2014/main" id="{00000000-0008-0000-0200-00000A000000}"/>
            </a:ext>
          </a:extLst>
        </xdr:cNvPr>
        <xdr:cNvSpPr/>
      </xdr:nvSpPr>
      <xdr:spPr>
        <a:xfrm>
          <a:off x="12997962" y="1"/>
          <a:ext cx="2322634" cy="76932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xdr:col>
      <xdr:colOff>0</xdr:colOff>
      <xdr:row>0</xdr:row>
      <xdr:rowOff>0</xdr:rowOff>
    </xdr:from>
    <xdr:to>
      <xdr:col>11</xdr:col>
      <xdr:colOff>0</xdr:colOff>
      <xdr:row>5</xdr:row>
      <xdr:rowOff>0</xdr:rowOff>
    </xdr:to>
    <xdr:sp macro="" textlink="">
      <xdr:nvSpPr>
        <xdr:cNvPr id="11" name="Rectángulo 10">
          <a:extLst>
            <a:ext uri="{FF2B5EF4-FFF2-40B4-BE49-F238E27FC236}">
              <a16:creationId xmlns:a16="http://schemas.microsoft.com/office/drawing/2014/main" id="{00000000-0008-0000-0200-00000B000000}"/>
            </a:ext>
          </a:extLst>
        </xdr:cNvPr>
        <xdr:cNvSpPr/>
      </xdr:nvSpPr>
      <xdr:spPr>
        <a:xfrm>
          <a:off x="6905625" y="0"/>
          <a:ext cx="2428875" cy="77390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1</xdr:colOff>
      <xdr:row>0</xdr:row>
      <xdr:rowOff>0</xdr:rowOff>
    </xdr:from>
    <xdr:to>
      <xdr:col>14</xdr:col>
      <xdr:colOff>1</xdr:colOff>
      <xdr:row>5</xdr:row>
      <xdr:rowOff>0</xdr:rowOff>
    </xdr:to>
    <xdr:sp macro="" textlink="">
      <xdr:nvSpPr>
        <xdr:cNvPr id="12" name="Rectángulo 11">
          <a:extLst>
            <a:ext uri="{FF2B5EF4-FFF2-40B4-BE49-F238E27FC236}">
              <a16:creationId xmlns:a16="http://schemas.microsoft.com/office/drawing/2014/main" id="{00000000-0008-0000-0200-00000C000000}"/>
            </a:ext>
          </a:extLst>
        </xdr:cNvPr>
        <xdr:cNvSpPr/>
      </xdr:nvSpPr>
      <xdr:spPr>
        <a:xfrm>
          <a:off x="9334501" y="0"/>
          <a:ext cx="2286000" cy="77390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107156</xdr:colOff>
      <xdr:row>6</xdr:row>
      <xdr:rowOff>0</xdr:rowOff>
    </xdr:from>
    <xdr:to>
      <xdr:col>19</xdr:col>
      <xdr:colOff>684609</xdr:colOff>
      <xdr:row>6</xdr:row>
      <xdr:rowOff>0</xdr:rowOff>
    </xdr:to>
    <xdr:cxnSp macro="">
      <xdr:nvCxnSpPr>
        <xdr:cNvPr id="16" name="Conector recto 15">
          <a:extLst>
            <a:ext uri="{FF2B5EF4-FFF2-40B4-BE49-F238E27FC236}">
              <a16:creationId xmlns:a16="http://schemas.microsoft.com/office/drawing/2014/main" id="{00000000-0008-0000-0200-000010000000}"/>
            </a:ext>
          </a:extLst>
        </xdr:cNvPr>
        <xdr:cNvCxnSpPr/>
      </xdr:nvCxnSpPr>
      <xdr:spPr>
        <a:xfrm>
          <a:off x="12965906" y="1238250"/>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80962</xdr:colOff>
      <xdr:row>14</xdr:row>
      <xdr:rowOff>152400</xdr:rowOff>
    </xdr:from>
    <xdr:to>
      <xdr:col>19</xdr:col>
      <xdr:colOff>658415</xdr:colOff>
      <xdr:row>14</xdr:row>
      <xdr:rowOff>152400</xdr:rowOff>
    </xdr:to>
    <xdr:cxnSp macro="">
      <xdr:nvCxnSpPr>
        <xdr:cNvPr id="18" name="Conector recto 17">
          <a:extLst>
            <a:ext uri="{FF2B5EF4-FFF2-40B4-BE49-F238E27FC236}">
              <a16:creationId xmlns:a16="http://schemas.microsoft.com/office/drawing/2014/main" id="{00000000-0008-0000-0200-000012000000}"/>
            </a:ext>
          </a:extLst>
        </xdr:cNvPr>
        <xdr:cNvCxnSpPr/>
      </xdr:nvCxnSpPr>
      <xdr:spPr>
        <a:xfrm>
          <a:off x="12939712" y="2634853"/>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26</xdr:row>
      <xdr:rowOff>10990</xdr:rowOff>
    </xdr:from>
    <xdr:to>
      <xdr:col>19</xdr:col>
      <xdr:colOff>792682</xdr:colOff>
      <xdr:row>29</xdr:row>
      <xdr:rowOff>0</xdr:rowOff>
    </xdr:to>
    <xdr:sp macro="" textlink="">
      <xdr:nvSpPr>
        <xdr:cNvPr id="17" name="CuadroTexto 16">
          <a:extLst>
            <a:ext uri="{FF2B5EF4-FFF2-40B4-BE49-F238E27FC236}">
              <a16:creationId xmlns:a16="http://schemas.microsoft.com/office/drawing/2014/main" id="{00000000-0008-0000-0200-000011000000}"/>
            </a:ext>
          </a:extLst>
        </xdr:cNvPr>
        <xdr:cNvSpPr txBox="1"/>
      </xdr:nvSpPr>
      <xdr:spPr>
        <a:xfrm>
          <a:off x="12866077" y="4333875"/>
          <a:ext cx="2316682" cy="45060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a:t>
          </a:r>
          <a:br>
            <a:rPr lang="es-ES" sz="1200" baseline="0">
              <a:latin typeface="Arial Narrow" panose="020B0606020202030204" pitchFamily="34" charset="0"/>
            </a:rPr>
          </a:br>
          <a:r>
            <a:rPr lang="es-ES" sz="1200" baseline="0">
              <a:latin typeface="Arial Narrow" panose="020B0606020202030204" pitchFamily="34" charset="0"/>
            </a:rPr>
            <a:t>(%)</a:t>
          </a:r>
          <a:endParaRPr lang="es-ES" sz="1200">
            <a:latin typeface="Arial Narrow" panose="020B0606020202030204" pitchFamily="34" charset="0"/>
          </a:endParaRPr>
        </a:p>
      </xdr:txBody>
    </xdr:sp>
    <xdr:clientData/>
  </xdr:twoCellAnchor>
  <xdr:twoCellAnchor>
    <xdr:from>
      <xdr:col>17</xdr:col>
      <xdr:colOff>0</xdr:colOff>
      <xdr:row>26</xdr:row>
      <xdr:rowOff>0</xdr:rowOff>
    </xdr:from>
    <xdr:to>
      <xdr:col>20</xdr:col>
      <xdr:colOff>0</xdr:colOff>
      <xdr:row>41</xdr:row>
      <xdr:rowOff>1</xdr:rowOff>
    </xdr:to>
    <xdr:sp macro="" textlink="">
      <xdr:nvSpPr>
        <xdr:cNvPr id="19" name="Rectángulo 18">
          <a:extLst>
            <a:ext uri="{FF2B5EF4-FFF2-40B4-BE49-F238E27FC236}">
              <a16:creationId xmlns:a16="http://schemas.microsoft.com/office/drawing/2014/main" id="{00000000-0008-0000-0200-000013000000}"/>
            </a:ext>
          </a:extLst>
        </xdr:cNvPr>
        <xdr:cNvSpPr/>
      </xdr:nvSpPr>
      <xdr:spPr>
        <a:xfrm>
          <a:off x="12866077" y="4322885"/>
          <a:ext cx="2322635" cy="2307981"/>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72170</xdr:colOff>
      <xdr:row>29</xdr:row>
      <xdr:rowOff>10349</xdr:rowOff>
    </xdr:from>
    <xdr:to>
      <xdr:col>19</xdr:col>
      <xdr:colOff>649623</xdr:colOff>
      <xdr:row>29</xdr:row>
      <xdr:rowOff>10349</xdr:rowOff>
    </xdr:to>
    <xdr:cxnSp macro="">
      <xdr:nvCxnSpPr>
        <xdr:cNvPr id="14" name="Conector recto 13">
          <a:extLst>
            <a:ext uri="{FF2B5EF4-FFF2-40B4-BE49-F238E27FC236}">
              <a16:creationId xmlns:a16="http://schemas.microsoft.com/office/drawing/2014/main" id="{00000000-0008-0000-0200-00000E000000}"/>
            </a:ext>
          </a:extLst>
        </xdr:cNvPr>
        <xdr:cNvCxnSpPr/>
      </xdr:nvCxnSpPr>
      <xdr:spPr>
        <a:xfrm>
          <a:off x="12938247" y="4794830"/>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468923</xdr:colOff>
      <xdr:row>7</xdr:row>
      <xdr:rowOff>1</xdr:rowOff>
    </xdr:from>
    <xdr:to>
      <xdr:col>19</xdr:col>
      <xdr:colOff>490904</xdr:colOff>
      <xdr:row>17</xdr:row>
      <xdr:rowOff>139211</xdr:rowOff>
    </xdr:to>
    <xdr:graphicFrame macro="">
      <xdr:nvGraphicFramePr>
        <xdr:cNvPr id="4" name="Gráfico 3">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twoCellAnchor>
  <xdr:twoCellAnchor>
    <xdr:from>
      <xdr:col>18</xdr:col>
      <xdr:colOff>117229</xdr:colOff>
      <xdr:row>6</xdr:row>
      <xdr:rowOff>153864</xdr:rowOff>
    </xdr:from>
    <xdr:to>
      <xdr:col>19</xdr:col>
      <xdr:colOff>29307</xdr:colOff>
      <xdr:row>8</xdr:row>
      <xdr:rowOff>131883</xdr:rowOff>
    </xdr:to>
    <xdr:sp macro="" textlink="[1]omie_dinamic_dia!$J$5">
      <xdr:nvSpPr>
        <xdr:cNvPr id="5" name="CuadroTexto 1">
          <a:extLst>
            <a:ext uri="{FF2B5EF4-FFF2-40B4-BE49-F238E27FC236}">
              <a16:creationId xmlns:a16="http://schemas.microsoft.com/office/drawing/2014/main" id="{00000000-0008-0000-0200-000005000000}"/>
            </a:ext>
          </a:extLst>
        </xdr:cNvPr>
        <xdr:cNvSpPr txBox="1"/>
      </xdr:nvSpPr>
      <xdr:spPr>
        <a:xfrm>
          <a:off x="13745306" y="1392114"/>
          <a:ext cx="674078" cy="293077"/>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3961BA83-3DA1-47DD-9018-0B0069D98943}" type="TxLink">
            <a:rPr lang="en-US" sz="1200" b="1" i="0" u="none" strike="noStrike">
              <a:solidFill>
                <a:schemeClr val="accent2"/>
              </a:solidFill>
              <a:latin typeface="Arial"/>
              <a:ea typeface="+mn-ea"/>
              <a:cs typeface="Arial"/>
            </a:rPr>
            <a:pPr marL="0" indent="0" algn="ctr"/>
            <a:t>% Horas TCC</a:t>
          </a:fld>
          <a:endParaRPr lang="es-ES" sz="2000" b="1" i="0" u="none" strike="noStrike">
            <a:solidFill>
              <a:schemeClr val="accent2"/>
            </a:solidFill>
            <a:latin typeface="Arial"/>
            <a:ea typeface="+mn-ea"/>
            <a:cs typeface="Arial"/>
          </a:endParaRPr>
        </a:p>
      </xdr:txBody>
    </xdr:sp>
    <xdr:clientData/>
  </xdr:twoCellAnchor>
  <xdr:twoCellAnchor editAs="oneCell">
    <xdr:from>
      <xdr:col>17</xdr:col>
      <xdr:colOff>65944</xdr:colOff>
      <xdr:row>6</xdr:row>
      <xdr:rowOff>51289</xdr:rowOff>
    </xdr:from>
    <xdr:to>
      <xdr:col>19</xdr:col>
      <xdr:colOff>703385</xdr:colOff>
      <xdr:row>7</xdr:row>
      <xdr:rowOff>60893</xdr:rowOff>
    </xdr:to>
    <xdr:pic>
      <xdr:nvPicPr>
        <xdr:cNvPr id="20" name="Imagen 19">
          <a:extLst>
            <a:ext uri="{FF2B5EF4-FFF2-40B4-BE49-F238E27FC236}">
              <a16:creationId xmlns:a16="http://schemas.microsoft.com/office/drawing/2014/main" id="{00000000-0008-0000-0200-000014000000}"/>
            </a:ext>
          </a:extLst>
        </xdr:cNvPr>
        <xdr:cNvPicPr>
          <a:picLocks noChangeAspect="1"/>
        </xdr:cNvPicPr>
      </xdr:nvPicPr>
      <xdr:blipFill>
        <a:blip xmlns:r="http://schemas.openxmlformats.org/officeDocument/2006/relationships" r:embed="rId3"/>
        <a:stretch>
          <a:fillRect/>
        </a:stretch>
      </xdr:blipFill>
      <xdr:spPr>
        <a:xfrm>
          <a:off x="12932021" y="1289539"/>
          <a:ext cx="2198076" cy="170796"/>
        </a:xfrm>
        <a:prstGeom prst="rect">
          <a:avLst/>
        </a:prstGeom>
      </xdr:spPr>
    </xdr:pic>
    <xdr:clientData/>
  </xdr:twoCellAnchor>
  <xdr:twoCellAnchor>
    <xdr:from>
      <xdr:col>16</xdr:col>
      <xdr:colOff>388328</xdr:colOff>
      <xdr:row>6</xdr:row>
      <xdr:rowOff>110622</xdr:rowOff>
    </xdr:from>
    <xdr:to>
      <xdr:col>18</xdr:col>
      <xdr:colOff>505559</xdr:colOff>
      <xdr:row>18</xdr:row>
      <xdr:rowOff>50425</xdr:rowOff>
    </xdr:to>
    <xdr:graphicFrame macro="">
      <xdr:nvGraphicFramePr>
        <xdr:cNvPr id="21" name="Gráfico 20">
          <a:extLst>
            <a:ext uri="{FF2B5EF4-FFF2-40B4-BE49-F238E27FC236}">
              <a16:creationId xmlns:a16="http://schemas.microsoft.com/office/drawing/2014/main" id="{00000000-0008-0000-0200-000015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twoCellAnchor>
  <xdr:twoCellAnchor>
    <xdr:from>
      <xdr:col>17</xdr:col>
      <xdr:colOff>71803</xdr:colOff>
      <xdr:row>6</xdr:row>
      <xdr:rowOff>145072</xdr:rowOff>
    </xdr:from>
    <xdr:to>
      <xdr:col>17</xdr:col>
      <xdr:colOff>745881</xdr:colOff>
      <xdr:row>8</xdr:row>
      <xdr:rowOff>123091</xdr:rowOff>
    </xdr:to>
    <xdr:sp macro="" textlink="[1]omie_dinamic_dia!$H$5">
      <xdr:nvSpPr>
        <xdr:cNvPr id="22" name="CuadroTexto 1">
          <a:extLst>
            <a:ext uri="{FF2B5EF4-FFF2-40B4-BE49-F238E27FC236}">
              <a16:creationId xmlns:a16="http://schemas.microsoft.com/office/drawing/2014/main" id="{00000000-0008-0000-0200-000016000000}"/>
            </a:ext>
          </a:extLst>
        </xdr:cNvPr>
        <xdr:cNvSpPr txBox="1"/>
      </xdr:nvSpPr>
      <xdr:spPr>
        <a:xfrm>
          <a:off x="12937880" y="1383322"/>
          <a:ext cx="674078" cy="293077"/>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07AF26F7-F7A7-4F70-8209-8C02C92C5A5D}" type="TxLink">
            <a:rPr lang="en-US" sz="1200" b="1" i="0" u="none" strike="noStrike">
              <a:solidFill>
                <a:schemeClr val="accent6"/>
              </a:solidFill>
              <a:latin typeface="Arial"/>
              <a:ea typeface="+mn-ea"/>
              <a:cs typeface="Arial"/>
            </a:rPr>
            <a:pPr marL="0" indent="0" algn="ctr"/>
            <a:t>% Horas RE</a:t>
          </a:fld>
          <a:endParaRPr lang="es-ES" sz="1200" b="1" i="0" u="none" strike="noStrike">
            <a:solidFill>
              <a:schemeClr val="accent6"/>
            </a:solidFill>
            <a:latin typeface="Arial"/>
            <a:ea typeface="+mn-ea"/>
            <a:cs typeface="Arial"/>
          </a:endParaRPr>
        </a:p>
      </xdr:txBody>
    </xdr:sp>
    <xdr:clientData/>
  </xdr:twoCellAnchor>
  <xdr:twoCellAnchor>
    <xdr:from>
      <xdr:col>18</xdr:col>
      <xdr:colOff>315059</xdr:colOff>
      <xdr:row>7</xdr:row>
      <xdr:rowOff>65943</xdr:rowOff>
    </xdr:from>
    <xdr:to>
      <xdr:col>20</xdr:col>
      <xdr:colOff>622951</xdr:colOff>
      <xdr:row>17</xdr:row>
      <xdr:rowOff>68032</xdr:rowOff>
    </xdr:to>
    <xdr:graphicFrame macro="">
      <xdr:nvGraphicFramePr>
        <xdr:cNvPr id="23" name="Gráfico 22">
          <a:extLst>
            <a:ext uri="{FF2B5EF4-FFF2-40B4-BE49-F238E27FC236}">
              <a16:creationId xmlns:a16="http://schemas.microsoft.com/office/drawing/2014/main" id="{00000000-0008-0000-0200-000017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twoCellAnchor>
  <xdr:twoCellAnchor>
    <xdr:from>
      <xdr:col>19</xdr:col>
      <xdr:colOff>79129</xdr:colOff>
      <xdr:row>6</xdr:row>
      <xdr:rowOff>152398</xdr:rowOff>
    </xdr:from>
    <xdr:to>
      <xdr:col>19</xdr:col>
      <xdr:colOff>732692</xdr:colOff>
      <xdr:row>8</xdr:row>
      <xdr:rowOff>124557</xdr:rowOff>
    </xdr:to>
    <xdr:sp macro="" textlink="[1]omie_dinamic_dia!$L$5">
      <xdr:nvSpPr>
        <xdr:cNvPr id="24" name="CuadroTexto 1">
          <a:extLst>
            <a:ext uri="{FF2B5EF4-FFF2-40B4-BE49-F238E27FC236}">
              <a16:creationId xmlns:a16="http://schemas.microsoft.com/office/drawing/2014/main" id="{00000000-0008-0000-0200-000018000000}"/>
            </a:ext>
          </a:extLst>
        </xdr:cNvPr>
        <xdr:cNvSpPr txBox="1"/>
      </xdr:nvSpPr>
      <xdr:spPr>
        <a:xfrm>
          <a:off x="14601091" y="1390648"/>
          <a:ext cx="653563" cy="287217"/>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06FC44FB-D328-41A0-BF17-C3A48EAB4095}" type="TxLink">
            <a:rPr lang="en-US" sz="1200" b="1" i="0" u="none" strike="noStrike">
              <a:solidFill>
                <a:schemeClr val="accent1"/>
              </a:solidFill>
              <a:latin typeface="Arial"/>
              <a:ea typeface="+mn-ea"/>
              <a:cs typeface="Arial"/>
            </a:rPr>
            <a:pPr marL="0" indent="0" algn="ctr"/>
            <a:t>% Horas HI</a:t>
          </a:fld>
          <a:endParaRPr lang="es-ES" sz="2000" b="1" i="0" u="none" strike="noStrike">
            <a:solidFill>
              <a:schemeClr val="accent1"/>
            </a:solidFill>
            <a:latin typeface="Arial"/>
            <a:ea typeface="+mn-ea"/>
            <a:cs typeface="Arial"/>
          </a:endParaRPr>
        </a:p>
      </xdr:txBody>
    </xdr:sp>
    <xdr:clientData/>
  </xdr:twoCellAnchor>
  <xdr:oneCellAnchor>
    <xdr:from>
      <xdr:col>17</xdr:col>
      <xdr:colOff>129577</xdr:colOff>
      <xdr:row>16</xdr:row>
      <xdr:rowOff>16294</xdr:rowOff>
    </xdr:from>
    <xdr:ext cx="569836" cy="269369"/>
    <xdr:sp macro="" textlink="[1]curva_precios_tec_2024!$V$2">
      <xdr:nvSpPr>
        <xdr:cNvPr id="25" name="CuadroTexto 1">
          <a:extLst>
            <a:ext uri="{FF2B5EF4-FFF2-40B4-BE49-F238E27FC236}">
              <a16:creationId xmlns:a16="http://schemas.microsoft.com/office/drawing/2014/main" id="{00000000-0008-0000-0200-000019000000}"/>
            </a:ext>
          </a:extLst>
        </xdr:cNvPr>
        <xdr:cNvSpPr txBox="1"/>
      </xdr:nvSpPr>
      <xdr:spPr>
        <a:xfrm>
          <a:off x="13896865" y="2800525"/>
          <a:ext cx="56983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5CB5AD5-F300-4BB2-BA29-A82CA49DD408}" type="TxLink">
            <a:rPr lang="en-US" sz="1200" b="1" i="0" u="none" strike="noStrike">
              <a:solidFill>
                <a:schemeClr val="accent6"/>
              </a:solidFill>
              <a:latin typeface="Arial"/>
              <a:ea typeface="+mn-ea"/>
              <a:cs typeface="Arial"/>
            </a:rPr>
            <a:pPr marL="0" indent="0" algn="r"/>
            <a:t>23,08</a:t>
          </a:fld>
          <a:endParaRPr lang="es-ES" sz="1200" b="1" i="0" u="none" strike="noStrike">
            <a:solidFill>
              <a:schemeClr val="accent6"/>
            </a:solidFill>
            <a:latin typeface="Arial"/>
            <a:ea typeface="+mn-ea"/>
            <a:cs typeface="Arial"/>
          </a:endParaRPr>
        </a:p>
      </xdr:txBody>
    </xdr:sp>
    <xdr:clientData/>
  </xdr:oneCellAnchor>
  <xdr:oneCellAnchor>
    <xdr:from>
      <xdr:col>17</xdr:col>
      <xdr:colOff>760550</xdr:colOff>
      <xdr:row>16</xdr:row>
      <xdr:rowOff>22155</xdr:rowOff>
    </xdr:from>
    <xdr:ext cx="655436" cy="269369"/>
    <xdr:sp macro="" textlink="[1]curva_precios_tec_2024!$W$2">
      <xdr:nvSpPr>
        <xdr:cNvPr id="34" name="CuadroTexto 1">
          <a:extLst>
            <a:ext uri="{FF2B5EF4-FFF2-40B4-BE49-F238E27FC236}">
              <a16:creationId xmlns:a16="http://schemas.microsoft.com/office/drawing/2014/main" id="{00000000-0008-0000-0200-000022000000}"/>
            </a:ext>
          </a:extLst>
        </xdr:cNvPr>
        <xdr:cNvSpPr txBox="1"/>
      </xdr:nvSpPr>
      <xdr:spPr>
        <a:xfrm>
          <a:off x="14527838" y="2806386"/>
          <a:ext cx="65543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BE2D409-6E2D-4FF7-B74B-12A1A656BBE8}" type="TxLink">
            <a:rPr lang="en-US" sz="1200" b="1" i="0" u="none" strike="noStrike">
              <a:solidFill>
                <a:schemeClr val="accent2"/>
              </a:solidFill>
              <a:latin typeface="Arial"/>
              <a:ea typeface="+mn-ea"/>
              <a:cs typeface="Arial"/>
            </a:rPr>
            <a:pPr marL="0" indent="0" algn="r"/>
            <a:t>128,61</a:t>
          </a:fld>
          <a:endParaRPr lang="es-ES" sz="1200" b="1" i="0" u="none" strike="noStrike">
            <a:solidFill>
              <a:schemeClr val="accent2"/>
            </a:solidFill>
            <a:latin typeface="Arial"/>
            <a:ea typeface="+mn-ea"/>
            <a:cs typeface="Arial"/>
          </a:endParaRPr>
        </a:p>
      </xdr:txBody>
    </xdr:sp>
    <xdr:clientData/>
  </xdr:oneCellAnchor>
  <xdr:oneCellAnchor>
    <xdr:from>
      <xdr:col>19</xdr:col>
      <xdr:colOff>10879</xdr:colOff>
      <xdr:row>16</xdr:row>
      <xdr:rowOff>14829</xdr:rowOff>
    </xdr:from>
    <xdr:ext cx="569836" cy="269369"/>
    <xdr:sp macro="" textlink="[1]curva_precios_tec_2024!$X$2">
      <xdr:nvSpPr>
        <xdr:cNvPr id="35" name="CuadroTexto 1">
          <a:extLst>
            <a:ext uri="{FF2B5EF4-FFF2-40B4-BE49-F238E27FC236}">
              <a16:creationId xmlns:a16="http://schemas.microsoft.com/office/drawing/2014/main" id="{00000000-0008-0000-0200-000023000000}"/>
            </a:ext>
          </a:extLst>
        </xdr:cNvPr>
        <xdr:cNvSpPr txBox="1"/>
      </xdr:nvSpPr>
      <xdr:spPr>
        <a:xfrm>
          <a:off x="15338802" y="2799060"/>
          <a:ext cx="56983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693FD3DD-EB52-4EA4-B4F6-2FF9279FA19A}" type="TxLink">
            <a:rPr lang="en-US" sz="1200" b="1" i="0" u="none" strike="noStrike">
              <a:solidFill>
                <a:schemeClr val="accent1"/>
              </a:solidFill>
              <a:latin typeface="Arial"/>
              <a:ea typeface="+mn-ea"/>
              <a:cs typeface="Arial"/>
            </a:rPr>
            <a:pPr marL="0" indent="0" algn="r"/>
            <a:t>75,78</a:t>
          </a:fld>
          <a:endParaRPr lang="es-ES" sz="1200" b="1" i="0" u="none" strike="noStrike">
            <a:solidFill>
              <a:schemeClr val="accent1"/>
            </a:solidFill>
            <a:latin typeface="Arial"/>
            <a:ea typeface="+mn-ea"/>
            <a:cs typeface="Arial"/>
          </a:endParaRPr>
        </a:p>
      </xdr:txBody>
    </xdr:sp>
    <xdr:clientData/>
  </xdr:oneCellAnchor>
  <xdr:twoCellAnchor editAs="oneCell">
    <xdr:from>
      <xdr:col>17</xdr:col>
      <xdr:colOff>183174</xdr:colOff>
      <xdr:row>15</xdr:row>
      <xdr:rowOff>65943</xdr:rowOff>
    </xdr:from>
    <xdr:to>
      <xdr:col>19</xdr:col>
      <xdr:colOff>490904</xdr:colOff>
      <xdr:row>16</xdr:row>
      <xdr:rowOff>46599</xdr:rowOff>
    </xdr:to>
    <xdr:pic>
      <xdr:nvPicPr>
        <xdr:cNvPr id="36" name="Imagen 35">
          <a:extLst>
            <a:ext uri="{FF2B5EF4-FFF2-40B4-BE49-F238E27FC236}">
              <a16:creationId xmlns:a16="http://schemas.microsoft.com/office/drawing/2014/main" id="{00000000-0008-0000-0200-000024000000}"/>
            </a:ext>
          </a:extLst>
        </xdr:cNvPr>
        <xdr:cNvPicPr>
          <a:picLocks noChangeAspect="1"/>
        </xdr:cNvPicPr>
      </xdr:nvPicPr>
      <xdr:blipFill>
        <a:blip xmlns:r="http://schemas.openxmlformats.org/officeDocument/2006/relationships" r:embed="rId6"/>
        <a:stretch>
          <a:fillRect/>
        </a:stretch>
      </xdr:blipFill>
      <xdr:spPr>
        <a:xfrm>
          <a:off x="13049251" y="2696308"/>
          <a:ext cx="1868365" cy="134522"/>
        </a:xfrm>
        <a:prstGeom prst="rect">
          <a:avLst/>
        </a:prstGeom>
      </xdr:spPr>
    </xdr:pic>
    <xdr:clientData/>
  </xdr:twoCellAnchor>
  <xdr:twoCellAnchor>
    <xdr:from>
      <xdr:col>16</xdr:col>
      <xdr:colOff>637442</xdr:colOff>
      <xdr:row>17</xdr:row>
      <xdr:rowOff>7328</xdr:rowOff>
    </xdr:from>
    <xdr:to>
      <xdr:col>20</xdr:col>
      <xdr:colOff>73269</xdr:colOff>
      <xdr:row>26</xdr:row>
      <xdr:rowOff>65943</xdr:rowOff>
    </xdr:to>
    <xdr:graphicFrame macro="">
      <xdr:nvGraphicFramePr>
        <xdr:cNvPr id="38" name="Gráfico 37">
          <a:extLst>
            <a:ext uri="{FF2B5EF4-FFF2-40B4-BE49-F238E27FC236}">
              <a16:creationId xmlns:a16="http://schemas.microsoft.com/office/drawing/2014/main" id="{00000000-0008-0000-02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17</xdr:col>
      <xdr:colOff>36636</xdr:colOff>
      <xdr:row>29</xdr:row>
      <xdr:rowOff>96322</xdr:rowOff>
    </xdr:from>
    <xdr:to>
      <xdr:col>19</xdr:col>
      <xdr:colOff>709472</xdr:colOff>
      <xdr:row>40</xdr:row>
      <xdr:rowOff>29309</xdr:rowOff>
    </xdr:to>
    <xdr:pic>
      <xdr:nvPicPr>
        <xdr:cNvPr id="2" name="Imagen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8"/>
        <a:stretch>
          <a:fillRect/>
        </a:stretch>
      </xdr:blipFill>
      <xdr:spPr>
        <a:xfrm>
          <a:off x="13034598" y="4880803"/>
          <a:ext cx="2233471" cy="1625506"/>
        </a:xfrm>
        <a:prstGeom prst="rect">
          <a:avLst/>
        </a:prstGeom>
      </xdr:spPr>
    </xdr:pic>
    <xdr:clientData/>
  </xdr:twoCellAnchor>
  <xdr:twoCellAnchor>
    <xdr:from>
      <xdr:col>20</xdr:col>
      <xdr:colOff>2</xdr:colOff>
      <xdr:row>5</xdr:row>
      <xdr:rowOff>0</xdr:rowOff>
    </xdr:from>
    <xdr:to>
      <xdr:col>21</xdr:col>
      <xdr:colOff>1</xdr:colOff>
      <xdr:row>6</xdr:row>
      <xdr:rowOff>0</xdr:rowOff>
    </xdr:to>
    <xdr:sp macro="" textlink="">
      <xdr:nvSpPr>
        <xdr:cNvPr id="28" name="CuadroTexto 27">
          <a:extLst>
            <a:ext uri="{FF2B5EF4-FFF2-40B4-BE49-F238E27FC236}">
              <a16:creationId xmlns:a16="http://schemas.microsoft.com/office/drawing/2014/main" id="{00000000-0008-0000-0200-00001C000000}"/>
            </a:ext>
          </a:extLst>
        </xdr:cNvPr>
        <xdr:cNvSpPr txBox="1"/>
      </xdr:nvSpPr>
      <xdr:spPr>
        <a:xfrm>
          <a:off x="15320598" y="769327"/>
          <a:ext cx="2051538" cy="468923"/>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EOD GDAES_D+1</a:t>
          </a:r>
          <a:br>
            <a:rPr lang="es-ES" sz="1200" baseline="0">
              <a:latin typeface="Arial Narrow" panose="020B0606020202030204" pitchFamily="34" charset="0"/>
            </a:rPr>
          </a:br>
          <a:r>
            <a:rPr lang="es-ES" sz="1200" baseline="0">
              <a:latin typeface="Arial Narrow" panose="020B0606020202030204" pitchFamily="34" charset="0"/>
            </a:rPr>
            <a:t>(€/MWh)</a:t>
          </a:r>
          <a:endParaRPr lang="es-ES" sz="1200">
            <a:latin typeface="Arial Narrow" panose="020B0606020202030204" pitchFamily="34" charset="0"/>
          </a:endParaRPr>
        </a:p>
      </xdr:txBody>
    </xdr:sp>
    <xdr:clientData/>
  </xdr:twoCellAnchor>
  <xdr:twoCellAnchor>
    <xdr:from>
      <xdr:col>17</xdr:col>
      <xdr:colOff>0</xdr:colOff>
      <xdr:row>5</xdr:row>
      <xdr:rowOff>0</xdr:rowOff>
    </xdr:from>
    <xdr:to>
      <xdr:col>20</xdr:col>
      <xdr:colOff>0</xdr:colOff>
      <xdr:row>12</xdr:row>
      <xdr:rowOff>0</xdr:rowOff>
    </xdr:to>
    <xdr:sp macro="" textlink="">
      <xdr:nvSpPr>
        <xdr:cNvPr id="29" name="Rectángulo 28">
          <a:extLst>
            <a:ext uri="{FF2B5EF4-FFF2-40B4-BE49-F238E27FC236}">
              <a16:creationId xmlns:a16="http://schemas.microsoft.com/office/drawing/2014/main" id="{00000000-0008-0000-0200-00001D000000}"/>
            </a:ext>
          </a:extLst>
        </xdr:cNvPr>
        <xdr:cNvSpPr/>
      </xdr:nvSpPr>
      <xdr:spPr>
        <a:xfrm>
          <a:off x="12997962" y="769327"/>
          <a:ext cx="2322634" cy="1399442"/>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0</xdr:colOff>
      <xdr:row>4</xdr:row>
      <xdr:rowOff>153864</xdr:rowOff>
    </xdr:from>
    <xdr:to>
      <xdr:col>20</xdr:col>
      <xdr:colOff>7326</xdr:colOff>
      <xdr:row>13</xdr:row>
      <xdr:rowOff>153864</xdr:rowOff>
    </xdr:to>
    <xdr:sp macro="" textlink="">
      <xdr:nvSpPr>
        <xdr:cNvPr id="30" name="Rectángulo 29">
          <a:extLst>
            <a:ext uri="{FF2B5EF4-FFF2-40B4-BE49-F238E27FC236}">
              <a16:creationId xmlns:a16="http://schemas.microsoft.com/office/drawing/2014/main" id="{00000000-0008-0000-0200-00001E000000}"/>
            </a:ext>
          </a:extLst>
        </xdr:cNvPr>
        <xdr:cNvSpPr/>
      </xdr:nvSpPr>
      <xdr:spPr>
        <a:xfrm>
          <a:off x="15320596" y="769326"/>
          <a:ext cx="2058865" cy="1707173"/>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1201615</xdr:colOff>
      <xdr:row>7</xdr:row>
      <xdr:rowOff>55684</xdr:rowOff>
    </xdr:from>
    <xdr:to>
      <xdr:col>20</xdr:col>
      <xdr:colOff>1941635</xdr:colOff>
      <xdr:row>9</xdr:row>
      <xdr:rowOff>35170</xdr:rowOff>
    </xdr:to>
    <xdr:sp macro="" textlink="[1]gas!$F$5">
      <xdr:nvSpPr>
        <xdr:cNvPr id="32" name="CuadroTexto 1">
          <a:extLst>
            <a:ext uri="{FF2B5EF4-FFF2-40B4-BE49-F238E27FC236}">
              <a16:creationId xmlns:a16="http://schemas.microsoft.com/office/drawing/2014/main" id="{00000000-0008-0000-0200-000020000000}"/>
            </a:ext>
          </a:extLst>
        </xdr:cNvPr>
        <xdr:cNvSpPr txBox="1"/>
      </xdr:nvSpPr>
      <xdr:spPr>
        <a:xfrm>
          <a:off x="16522211" y="1455126"/>
          <a:ext cx="740020" cy="287217"/>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A5C7D6D-184B-49E3-B106-12047537AD4D}" type="TxLink">
            <a:rPr lang="en-US" sz="1200" b="1" i="0" u="none" strike="noStrike">
              <a:solidFill>
                <a:srgbClr val="7030A0"/>
              </a:solidFill>
              <a:latin typeface="Arial"/>
              <a:ea typeface="+mn-ea"/>
              <a:cs typeface="Arial"/>
            </a:rPr>
            <a:pPr marL="0" indent="0" algn="r"/>
            <a:t>34,35</a:t>
          </a:fld>
          <a:endParaRPr lang="es-ES" sz="1200" b="1" i="0" u="none" strike="noStrike">
            <a:solidFill>
              <a:srgbClr val="7030A0"/>
            </a:solidFill>
            <a:latin typeface="Arial"/>
            <a:ea typeface="+mn-ea"/>
            <a:cs typeface="Arial"/>
          </a:endParaRPr>
        </a:p>
      </xdr:txBody>
    </xdr:sp>
    <xdr:clientData/>
  </xdr:twoCellAnchor>
  <xdr:twoCellAnchor>
    <xdr:from>
      <xdr:col>20</xdr:col>
      <xdr:colOff>58615</xdr:colOff>
      <xdr:row>5</xdr:row>
      <xdr:rowOff>461596</xdr:rowOff>
    </xdr:from>
    <xdr:to>
      <xdr:col>20</xdr:col>
      <xdr:colOff>1919654</xdr:colOff>
      <xdr:row>6</xdr:row>
      <xdr:rowOff>0</xdr:rowOff>
    </xdr:to>
    <xdr:cxnSp macro="">
      <xdr:nvCxnSpPr>
        <xdr:cNvPr id="33" name="Conector recto 32">
          <a:extLst>
            <a:ext uri="{FF2B5EF4-FFF2-40B4-BE49-F238E27FC236}">
              <a16:creationId xmlns:a16="http://schemas.microsoft.com/office/drawing/2014/main" id="{00000000-0008-0000-0200-000021000000}"/>
            </a:ext>
          </a:extLst>
        </xdr:cNvPr>
        <xdr:cNvCxnSpPr/>
      </xdr:nvCxnSpPr>
      <xdr:spPr>
        <a:xfrm>
          <a:off x="15379211" y="1230923"/>
          <a:ext cx="1861039" cy="7327"/>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14</xdr:row>
      <xdr:rowOff>0</xdr:rowOff>
    </xdr:from>
    <xdr:to>
      <xdr:col>21</xdr:col>
      <xdr:colOff>0</xdr:colOff>
      <xdr:row>16</xdr:row>
      <xdr:rowOff>0</xdr:rowOff>
    </xdr:to>
    <xdr:sp macro="" textlink="">
      <xdr:nvSpPr>
        <xdr:cNvPr id="40" name="CuadroTexto 39">
          <a:extLst>
            <a:ext uri="{FF2B5EF4-FFF2-40B4-BE49-F238E27FC236}">
              <a16:creationId xmlns:a16="http://schemas.microsoft.com/office/drawing/2014/main" id="{00000000-0008-0000-0200-000028000000}"/>
            </a:ext>
          </a:extLst>
        </xdr:cNvPr>
        <xdr:cNvSpPr txBox="1"/>
      </xdr:nvSpPr>
      <xdr:spPr>
        <a:xfrm>
          <a:off x="15320596" y="2476500"/>
          <a:ext cx="2051539" cy="30773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14</xdr:row>
      <xdr:rowOff>0</xdr:rowOff>
    </xdr:from>
    <xdr:to>
      <xdr:col>21</xdr:col>
      <xdr:colOff>7326</xdr:colOff>
      <xdr:row>25</xdr:row>
      <xdr:rowOff>0</xdr:rowOff>
    </xdr:to>
    <xdr:sp macro="" textlink="">
      <xdr:nvSpPr>
        <xdr:cNvPr id="41" name="Rectángulo 40">
          <a:extLst>
            <a:ext uri="{FF2B5EF4-FFF2-40B4-BE49-F238E27FC236}">
              <a16:creationId xmlns:a16="http://schemas.microsoft.com/office/drawing/2014/main" id="{00000000-0008-0000-0200-000029000000}"/>
            </a:ext>
          </a:extLst>
        </xdr:cNvPr>
        <xdr:cNvSpPr/>
      </xdr:nvSpPr>
      <xdr:spPr>
        <a:xfrm>
          <a:off x="15320596" y="2476500"/>
          <a:ext cx="2058865" cy="169251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117229</xdr:colOff>
      <xdr:row>15</xdr:row>
      <xdr:rowOff>146539</xdr:rowOff>
    </xdr:from>
    <xdr:to>
      <xdr:col>20</xdr:col>
      <xdr:colOff>1890345</xdr:colOff>
      <xdr:row>16</xdr:row>
      <xdr:rowOff>1</xdr:rowOff>
    </xdr:to>
    <xdr:cxnSp macro="">
      <xdr:nvCxnSpPr>
        <xdr:cNvPr id="43" name="Conector recto 42">
          <a:extLst>
            <a:ext uri="{FF2B5EF4-FFF2-40B4-BE49-F238E27FC236}">
              <a16:creationId xmlns:a16="http://schemas.microsoft.com/office/drawing/2014/main" id="{00000000-0008-0000-0200-00002B000000}"/>
            </a:ext>
          </a:extLst>
        </xdr:cNvPr>
        <xdr:cNvCxnSpPr/>
      </xdr:nvCxnSpPr>
      <xdr:spPr>
        <a:xfrm flipV="1">
          <a:off x="15437825" y="2776904"/>
          <a:ext cx="1773116" cy="7328"/>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0</xdr:row>
      <xdr:rowOff>0</xdr:rowOff>
    </xdr:from>
    <xdr:to>
      <xdr:col>20</xdr:col>
      <xdr:colOff>0</xdr:colOff>
      <xdr:row>5</xdr:row>
      <xdr:rowOff>0</xdr:rowOff>
    </xdr:to>
    <xdr:sp macro="" textlink="">
      <xdr:nvSpPr>
        <xdr:cNvPr id="51" name="Rectángulo 50">
          <a:extLst>
            <a:ext uri="{FF2B5EF4-FFF2-40B4-BE49-F238E27FC236}">
              <a16:creationId xmlns:a16="http://schemas.microsoft.com/office/drawing/2014/main" id="{00000000-0008-0000-0200-000033000000}"/>
            </a:ext>
          </a:extLst>
        </xdr:cNvPr>
        <xdr:cNvSpPr/>
      </xdr:nvSpPr>
      <xdr:spPr>
        <a:xfrm>
          <a:off x="15320596" y="0"/>
          <a:ext cx="2051539" cy="76932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109904</xdr:colOff>
      <xdr:row>0</xdr:row>
      <xdr:rowOff>65942</xdr:rowOff>
    </xdr:from>
    <xdr:to>
      <xdr:col>19</xdr:col>
      <xdr:colOff>2007577</xdr:colOff>
      <xdr:row>2</xdr:row>
      <xdr:rowOff>51288</xdr:rowOff>
    </xdr:to>
    <xdr:sp macro="" textlink="">
      <xdr:nvSpPr>
        <xdr:cNvPr id="52" name="CuadroTexto 51">
          <a:extLst>
            <a:ext uri="{FF2B5EF4-FFF2-40B4-BE49-F238E27FC236}">
              <a16:creationId xmlns:a16="http://schemas.microsoft.com/office/drawing/2014/main" id="{00000000-0008-0000-0200-000034000000}"/>
            </a:ext>
          </a:extLst>
        </xdr:cNvPr>
        <xdr:cNvSpPr txBox="1"/>
      </xdr:nvSpPr>
      <xdr:spPr>
        <a:xfrm>
          <a:off x="15430500" y="65942"/>
          <a:ext cx="1897673" cy="2930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latin typeface="Arial Black" panose="020B0A04020102020204" pitchFamily="34" charset="0"/>
            </a:rPr>
            <a:t>#superporraomie2024</a:t>
          </a:r>
        </a:p>
      </xdr:txBody>
    </xdr:sp>
    <xdr:clientData/>
  </xdr:twoCellAnchor>
  <xdr:twoCellAnchor>
    <xdr:from>
      <xdr:col>19</xdr:col>
      <xdr:colOff>108438</xdr:colOff>
      <xdr:row>2</xdr:row>
      <xdr:rowOff>71803</xdr:rowOff>
    </xdr:from>
    <xdr:to>
      <xdr:col>19</xdr:col>
      <xdr:colOff>2006111</xdr:colOff>
      <xdr:row>4</xdr:row>
      <xdr:rowOff>57149</xdr:rowOff>
    </xdr:to>
    <xdr:sp macro="" textlink="">
      <xdr:nvSpPr>
        <xdr:cNvPr id="53" name="CuadroTexto 52">
          <a:extLst>
            <a:ext uri="{FF2B5EF4-FFF2-40B4-BE49-F238E27FC236}">
              <a16:creationId xmlns:a16="http://schemas.microsoft.com/office/drawing/2014/main" id="{00000000-0008-0000-0200-000035000000}"/>
            </a:ext>
          </a:extLst>
        </xdr:cNvPr>
        <xdr:cNvSpPr txBox="1"/>
      </xdr:nvSpPr>
      <xdr:spPr>
        <a:xfrm>
          <a:off x="15429034" y="379534"/>
          <a:ext cx="1897673" cy="2930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latin typeface="Arial Black" panose="020B0A04020102020204" pitchFamily="34" charset="0"/>
            </a:rPr>
            <a:t>#miniporraenero2024</a:t>
          </a:r>
        </a:p>
      </xdr:txBody>
    </xdr:sp>
    <xdr:clientData/>
  </xdr:twoCellAnchor>
  <xdr:twoCellAnchor>
    <xdr:from>
      <xdr:col>20</xdr:col>
      <xdr:colOff>36636</xdr:colOff>
      <xdr:row>15</xdr:row>
      <xdr:rowOff>109905</xdr:rowOff>
    </xdr:from>
    <xdr:to>
      <xdr:col>21</xdr:col>
      <xdr:colOff>1</xdr:colOff>
      <xdr:row>24</xdr:row>
      <xdr:rowOff>124558</xdr:rowOff>
    </xdr:to>
    <xdr:graphicFrame macro="">
      <xdr:nvGraphicFramePr>
        <xdr:cNvPr id="6" name="Gráfico 5">
          <a:extLst>
            <a:ext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1104902</xdr:colOff>
      <xdr:row>16</xdr:row>
      <xdr:rowOff>149468</xdr:rowOff>
    </xdr:from>
    <xdr:to>
      <xdr:col>20</xdr:col>
      <xdr:colOff>1975342</xdr:colOff>
      <xdr:row>18</xdr:row>
      <xdr:rowOff>128954</xdr:rowOff>
    </xdr:to>
    <xdr:sp macro="" textlink="[1]co2!$F$6">
      <xdr:nvSpPr>
        <xdr:cNvPr id="47" name="CuadroTexto 1">
          <a:extLst>
            <a:ext uri="{FF2B5EF4-FFF2-40B4-BE49-F238E27FC236}">
              <a16:creationId xmlns:a16="http://schemas.microsoft.com/office/drawing/2014/main" id="{00000000-0008-0000-0200-00002F000000}"/>
            </a:ext>
          </a:extLst>
        </xdr:cNvPr>
        <xdr:cNvSpPr txBox="1"/>
      </xdr:nvSpPr>
      <xdr:spPr>
        <a:xfrm>
          <a:off x="16425498" y="2933699"/>
          <a:ext cx="870440" cy="287217"/>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4C71EA8-E455-4BC4-8148-EDD2FD2E021B}" type="TxLink">
            <a:rPr lang="en-US" sz="1200" b="1" i="0" u="none" strike="noStrike">
              <a:solidFill>
                <a:srgbClr val="7030A0"/>
              </a:solidFill>
              <a:latin typeface="Arial"/>
              <a:ea typeface="+mn-ea"/>
              <a:cs typeface="Arial"/>
            </a:rPr>
            <a:pPr marL="0" indent="0" algn="r"/>
            <a:t>70,97</a:t>
          </a:fld>
          <a:endParaRPr lang="es-ES" sz="1200" b="1" i="0" u="none" strike="noStrike">
            <a:solidFill>
              <a:srgbClr val="7030A0"/>
            </a:solidFill>
            <a:latin typeface="Arial"/>
            <a:ea typeface="+mn-ea"/>
            <a:cs typeface="Arial"/>
          </a:endParaRPr>
        </a:p>
      </xdr:txBody>
    </xdr:sp>
    <xdr:clientData/>
  </xdr:twoCellAnchor>
  <xdr:twoCellAnchor editAs="oneCell">
    <xdr:from>
      <xdr:col>17</xdr:col>
      <xdr:colOff>37677</xdr:colOff>
      <xdr:row>29</xdr:row>
      <xdr:rowOff>102576</xdr:rowOff>
    </xdr:from>
    <xdr:to>
      <xdr:col>19</xdr:col>
      <xdr:colOff>105991</xdr:colOff>
      <xdr:row>40</xdr:row>
      <xdr:rowOff>36635</xdr:rowOff>
    </xdr:to>
    <xdr:pic>
      <xdr:nvPicPr>
        <xdr:cNvPr id="8" name="Imagen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10"/>
        <a:stretch>
          <a:fillRect/>
        </a:stretch>
      </xdr:blipFill>
      <xdr:spPr>
        <a:xfrm>
          <a:off x="13035639" y="4887057"/>
          <a:ext cx="1628949" cy="1626578"/>
        </a:xfrm>
        <a:prstGeom prst="rect">
          <a:avLst/>
        </a:prstGeom>
      </xdr:spPr>
    </xdr:pic>
    <xdr:clientData/>
  </xdr:twoCellAnchor>
  <xdr:twoCellAnchor editAs="oneCell">
    <xdr:from>
      <xdr:col>20</xdr:col>
      <xdr:colOff>51096</xdr:colOff>
      <xdr:row>27</xdr:row>
      <xdr:rowOff>109904</xdr:rowOff>
    </xdr:from>
    <xdr:to>
      <xdr:col>22</xdr:col>
      <xdr:colOff>522717</xdr:colOff>
      <xdr:row>35</xdr:row>
      <xdr:rowOff>87925</xdr:rowOff>
    </xdr:to>
    <xdr:pic>
      <xdr:nvPicPr>
        <xdr:cNvPr id="15" name="Imagen 14">
          <a:extLst>
            <a:ext uri="{FF2B5EF4-FFF2-40B4-BE49-F238E27FC236}">
              <a16:creationId xmlns:a16="http://schemas.microsoft.com/office/drawing/2014/main" id="{00000000-0008-0000-0200-00000F000000}"/>
            </a:ext>
          </a:extLst>
        </xdr:cNvPr>
        <xdr:cNvPicPr>
          <a:picLocks noChangeAspect="1"/>
        </xdr:cNvPicPr>
      </xdr:nvPicPr>
      <xdr:blipFill>
        <a:blip xmlns:r="http://schemas.openxmlformats.org/officeDocument/2006/relationships" r:embed="rId11"/>
        <a:stretch>
          <a:fillRect/>
        </a:stretch>
      </xdr:blipFill>
      <xdr:spPr>
        <a:xfrm>
          <a:off x="15371692" y="4586654"/>
          <a:ext cx="1995621" cy="1208944"/>
        </a:xfrm>
        <a:prstGeom prst="rect">
          <a:avLst/>
        </a:prstGeom>
      </xdr:spPr>
    </xdr:pic>
    <xdr:clientData/>
  </xdr:twoCellAnchor>
  <xdr:twoCellAnchor>
    <xdr:from>
      <xdr:col>20</xdr:col>
      <xdr:colOff>0</xdr:colOff>
      <xdr:row>25</xdr:row>
      <xdr:rowOff>0</xdr:rowOff>
    </xdr:from>
    <xdr:to>
      <xdr:col>21</xdr:col>
      <xdr:colOff>0</xdr:colOff>
      <xdr:row>35</xdr:row>
      <xdr:rowOff>153865</xdr:rowOff>
    </xdr:to>
    <xdr:sp macro="" textlink="">
      <xdr:nvSpPr>
        <xdr:cNvPr id="26" name="Rectángulo 25">
          <a:extLst>
            <a:ext uri="{FF2B5EF4-FFF2-40B4-BE49-F238E27FC236}">
              <a16:creationId xmlns:a16="http://schemas.microsoft.com/office/drawing/2014/main" id="{00000000-0008-0000-0200-00001A000000}"/>
            </a:ext>
          </a:extLst>
        </xdr:cNvPr>
        <xdr:cNvSpPr/>
      </xdr:nvSpPr>
      <xdr:spPr>
        <a:xfrm>
          <a:off x="15320596" y="4169019"/>
          <a:ext cx="2051539" cy="169251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0</xdr:colOff>
      <xdr:row>25</xdr:row>
      <xdr:rowOff>0</xdr:rowOff>
    </xdr:from>
    <xdr:to>
      <xdr:col>21</xdr:col>
      <xdr:colOff>0</xdr:colOff>
      <xdr:row>27</xdr:row>
      <xdr:rowOff>0</xdr:rowOff>
    </xdr:to>
    <xdr:sp macro="" textlink="">
      <xdr:nvSpPr>
        <xdr:cNvPr id="27" name="CuadroTexto 26">
          <a:extLst>
            <a:ext uri="{FF2B5EF4-FFF2-40B4-BE49-F238E27FC236}">
              <a16:creationId xmlns:a16="http://schemas.microsoft.com/office/drawing/2014/main" id="{00000000-0008-0000-0200-00001B000000}"/>
            </a:ext>
          </a:extLst>
        </xdr:cNvPr>
        <xdr:cNvSpPr txBox="1"/>
      </xdr:nvSpPr>
      <xdr:spPr>
        <a:xfrm>
          <a:off x="15320596" y="4169019"/>
          <a:ext cx="2051539" cy="30773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baseline="0">
              <a:latin typeface="Arial Narrow" panose="020B0606020202030204" pitchFamily="34" charset="0"/>
            </a:rPr>
            <a:t>Omie Evolution </a:t>
          </a:r>
          <a:endParaRPr lang="es-ES" sz="1200">
            <a:latin typeface="Arial Narrow" panose="020B0606020202030204" pitchFamily="34" charset="0"/>
          </a:endParaRPr>
        </a:p>
      </xdr:txBody>
    </xdr:sp>
    <xdr:clientData/>
  </xdr:twoCellAnchor>
  <xdr:twoCellAnchor>
    <xdr:from>
      <xdr:col>20</xdr:col>
      <xdr:colOff>0</xdr:colOff>
      <xdr:row>35</xdr:row>
      <xdr:rowOff>153865</xdr:rowOff>
    </xdr:from>
    <xdr:to>
      <xdr:col>21</xdr:col>
      <xdr:colOff>0</xdr:colOff>
      <xdr:row>41</xdr:row>
      <xdr:rowOff>0</xdr:rowOff>
    </xdr:to>
    <xdr:sp macro="" textlink="">
      <xdr:nvSpPr>
        <xdr:cNvPr id="31" name="Rectángulo 30">
          <a:extLst>
            <a:ext uri="{FF2B5EF4-FFF2-40B4-BE49-F238E27FC236}">
              <a16:creationId xmlns:a16="http://schemas.microsoft.com/office/drawing/2014/main" id="{00000000-0008-0000-0200-00001F000000}"/>
            </a:ext>
          </a:extLst>
        </xdr:cNvPr>
        <xdr:cNvSpPr/>
      </xdr:nvSpPr>
      <xdr:spPr>
        <a:xfrm>
          <a:off x="15320596" y="5861538"/>
          <a:ext cx="2051539" cy="76932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71804</xdr:colOff>
      <xdr:row>36</xdr:row>
      <xdr:rowOff>86458</xdr:rowOff>
    </xdr:from>
    <xdr:to>
      <xdr:col>20</xdr:col>
      <xdr:colOff>1969477</xdr:colOff>
      <xdr:row>38</xdr:row>
      <xdr:rowOff>71804</xdr:rowOff>
    </xdr:to>
    <xdr:sp macro="" textlink="">
      <xdr:nvSpPr>
        <xdr:cNvPr id="37" name="CuadroTexto 36">
          <a:extLst>
            <a:ext uri="{FF2B5EF4-FFF2-40B4-BE49-F238E27FC236}">
              <a16:creationId xmlns:a16="http://schemas.microsoft.com/office/drawing/2014/main" id="{00000000-0008-0000-0200-000025000000}"/>
            </a:ext>
          </a:extLst>
        </xdr:cNvPr>
        <xdr:cNvSpPr txBox="1"/>
      </xdr:nvSpPr>
      <xdr:spPr>
        <a:xfrm>
          <a:off x="15392400" y="5947996"/>
          <a:ext cx="1897673" cy="2930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latin typeface="Arial Black" panose="020B0A04020102020204" pitchFamily="34" charset="0"/>
            </a:rPr>
            <a:t>#superporraomie2024</a:t>
          </a:r>
        </a:p>
      </xdr:txBody>
    </xdr:sp>
    <xdr:clientData/>
  </xdr:twoCellAnchor>
  <xdr:twoCellAnchor>
    <xdr:from>
      <xdr:col>20</xdr:col>
      <xdr:colOff>70338</xdr:colOff>
      <xdr:row>38</xdr:row>
      <xdr:rowOff>92319</xdr:rowOff>
    </xdr:from>
    <xdr:to>
      <xdr:col>20</xdr:col>
      <xdr:colOff>1968011</xdr:colOff>
      <xdr:row>40</xdr:row>
      <xdr:rowOff>77665</xdr:rowOff>
    </xdr:to>
    <xdr:sp macro="" textlink="">
      <xdr:nvSpPr>
        <xdr:cNvPr id="39" name="CuadroTexto 38">
          <a:extLst>
            <a:ext uri="{FF2B5EF4-FFF2-40B4-BE49-F238E27FC236}">
              <a16:creationId xmlns:a16="http://schemas.microsoft.com/office/drawing/2014/main" id="{00000000-0008-0000-0200-000027000000}"/>
            </a:ext>
          </a:extLst>
        </xdr:cNvPr>
        <xdr:cNvSpPr txBox="1"/>
      </xdr:nvSpPr>
      <xdr:spPr>
        <a:xfrm>
          <a:off x="15390934" y="6261588"/>
          <a:ext cx="1897673" cy="2930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latin typeface="Arial Black" panose="020B0A04020102020204" pitchFamily="34" charset="0"/>
            </a:rPr>
            <a:t>#miniporraenero2024</a:t>
          </a:r>
        </a:p>
      </xdr:txBody>
    </xdr:sp>
    <xdr:clientData/>
  </xdr:twoCellAnchor>
  <xdr:twoCellAnchor>
    <xdr:from>
      <xdr:col>15</xdr:col>
      <xdr:colOff>0</xdr:colOff>
      <xdr:row>37</xdr:row>
      <xdr:rowOff>0</xdr:rowOff>
    </xdr:from>
    <xdr:to>
      <xdr:col>17</xdr:col>
      <xdr:colOff>0</xdr:colOff>
      <xdr:row>41</xdr:row>
      <xdr:rowOff>0</xdr:rowOff>
    </xdr:to>
    <xdr:sp macro="" textlink="">
      <xdr:nvSpPr>
        <xdr:cNvPr id="42" name="Rectángulo 41">
          <a:extLst>
            <a:ext uri="{FF2B5EF4-FFF2-40B4-BE49-F238E27FC236}">
              <a16:creationId xmlns:a16="http://schemas.microsoft.com/office/drawing/2014/main" id="{00000000-0008-0000-0200-00002A000000}"/>
            </a:ext>
          </a:extLst>
        </xdr:cNvPr>
        <xdr:cNvSpPr/>
      </xdr:nvSpPr>
      <xdr:spPr>
        <a:xfrm>
          <a:off x="11759712" y="6015404"/>
          <a:ext cx="1238250" cy="615461"/>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19</xdr:col>
      <xdr:colOff>747345</xdr:colOff>
      <xdr:row>6</xdr:row>
      <xdr:rowOff>29308</xdr:rowOff>
    </xdr:from>
    <xdr:to>
      <xdr:col>21</xdr:col>
      <xdr:colOff>58615</xdr:colOff>
      <xdr:row>14</xdr:row>
      <xdr:rowOff>51288</xdr:rowOff>
    </xdr:to>
    <xdr:graphicFrame macro="">
      <xdr:nvGraphicFramePr>
        <xdr:cNvPr id="2" name="Gráfico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5953</xdr:colOff>
      <xdr:row>12</xdr:row>
      <xdr:rowOff>11906</xdr:rowOff>
    </xdr:from>
    <xdr:to>
      <xdr:col>20</xdr:col>
      <xdr:colOff>0</xdr:colOff>
      <xdr:row>14</xdr:row>
      <xdr:rowOff>154781</xdr:rowOff>
    </xdr:to>
    <xdr:sp macro="" textlink="">
      <xdr:nvSpPr>
        <xdr:cNvPr id="3" name="CuadroTexto 2">
          <a:extLst>
            <a:ext uri="{FF2B5EF4-FFF2-40B4-BE49-F238E27FC236}">
              <a16:creationId xmlns:a16="http://schemas.microsoft.com/office/drawing/2014/main" id="{00000000-0008-0000-0300-000003000000}"/>
            </a:ext>
          </a:extLst>
        </xdr:cNvPr>
        <xdr:cNvSpPr txBox="1"/>
      </xdr:nvSpPr>
      <xdr:spPr>
        <a:xfrm>
          <a:off x="12998053" y="2164556"/>
          <a:ext cx="2318147" cy="44767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Precio horario medio marcado por las principales tecnologías (€/MWh)</a:t>
          </a:r>
        </a:p>
      </xdr:txBody>
    </xdr:sp>
    <xdr:clientData/>
  </xdr:twoCellAnchor>
  <mc:AlternateContent xmlns:mc="http://schemas.openxmlformats.org/markup-compatibility/2006">
    <mc:Choice xmlns:a14="http://schemas.microsoft.com/office/drawing/2010/main" Requires="a14">
      <xdr:twoCellAnchor>
        <xdr:from>
          <xdr:col>3</xdr:col>
          <xdr:colOff>0</xdr:colOff>
          <xdr:row>0</xdr:row>
          <xdr:rowOff>0</xdr:rowOff>
        </xdr:from>
        <xdr:to>
          <xdr:col>4</xdr:col>
          <xdr:colOff>0</xdr:colOff>
          <xdr:row>3</xdr:row>
          <xdr:rowOff>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300-000001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809625</xdr:colOff>
          <xdr:row>0</xdr:row>
          <xdr:rowOff>9525</xdr:rowOff>
        </xdr:from>
        <xdr:to>
          <xdr:col>5</xdr:col>
          <xdr:colOff>561975</xdr:colOff>
          <xdr:row>3</xdr:row>
          <xdr:rowOff>0</xdr:rowOff>
        </xdr:to>
        <xdr:sp macro="" textlink="">
          <xdr:nvSpPr>
            <xdr:cNvPr id="13314" name="Spinner 2" hidden="1">
              <a:extLst>
                <a:ext uri="{63B3BB69-23CF-44E3-9099-C40C66FF867C}">
                  <a14:compatExt spid="_x0000_s13314"/>
                </a:ext>
                <a:ext uri="{FF2B5EF4-FFF2-40B4-BE49-F238E27FC236}">
                  <a16:creationId xmlns:a16="http://schemas.microsoft.com/office/drawing/2014/main" id="{00000000-0008-0000-0300-0000023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17</xdr:col>
      <xdr:colOff>0</xdr:colOff>
      <xdr:row>5</xdr:row>
      <xdr:rowOff>1</xdr:rowOff>
    </xdr:from>
    <xdr:to>
      <xdr:col>20</xdr:col>
      <xdr:colOff>0</xdr:colOff>
      <xdr:row>6</xdr:row>
      <xdr:rowOff>1</xdr:rowOff>
    </xdr:to>
    <xdr:sp macro="" textlink="">
      <xdr:nvSpPr>
        <xdr:cNvPr id="4" name="CuadroTexto 3">
          <a:extLst>
            <a:ext uri="{FF2B5EF4-FFF2-40B4-BE49-F238E27FC236}">
              <a16:creationId xmlns:a16="http://schemas.microsoft.com/office/drawing/2014/main" id="{00000000-0008-0000-0300-000004000000}"/>
            </a:ext>
          </a:extLst>
        </xdr:cNvPr>
        <xdr:cNvSpPr txBox="1"/>
      </xdr:nvSpPr>
      <xdr:spPr>
        <a:xfrm>
          <a:off x="12992100" y="762001"/>
          <a:ext cx="2324100" cy="4667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marcadas</a:t>
          </a:r>
          <a:r>
            <a:rPr lang="es-ES" sz="1200" baseline="0">
              <a:latin typeface="Arial Narrow" panose="020B0606020202030204" pitchFamily="34" charset="0"/>
            </a:rPr>
            <a:t> por las principales tecnologías (%)</a:t>
          </a:r>
          <a:endParaRPr lang="es-ES" sz="1200">
            <a:latin typeface="Arial Narrow" panose="020B0606020202030204" pitchFamily="34" charset="0"/>
          </a:endParaRPr>
        </a:p>
      </xdr:txBody>
    </xdr:sp>
    <xdr:clientData/>
  </xdr:twoCellAnchor>
  <xdr:twoCellAnchor>
    <xdr:from>
      <xdr:col>17</xdr:col>
      <xdr:colOff>0</xdr:colOff>
      <xdr:row>11</xdr:row>
      <xdr:rowOff>153864</xdr:rowOff>
    </xdr:from>
    <xdr:to>
      <xdr:col>20</xdr:col>
      <xdr:colOff>0</xdr:colOff>
      <xdr:row>26</xdr:row>
      <xdr:rowOff>0</xdr:rowOff>
    </xdr:to>
    <xdr:sp macro="" textlink="">
      <xdr:nvSpPr>
        <xdr:cNvPr id="5" name="Rectángulo 4">
          <a:extLst>
            <a:ext uri="{FF2B5EF4-FFF2-40B4-BE49-F238E27FC236}">
              <a16:creationId xmlns:a16="http://schemas.microsoft.com/office/drawing/2014/main" id="{00000000-0008-0000-0300-000005000000}"/>
            </a:ext>
          </a:extLst>
        </xdr:cNvPr>
        <xdr:cNvSpPr/>
      </xdr:nvSpPr>
      <xdr:spPr>
        <a:xfrm>
          <a:off x="12992100" y="2154114"/>
          <a:ext cx="2324100" cy="213213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16</xdr:col>
      <xdr:colOff>0</xdr:colOff>
      <xdr:row>0</xdr:row>
      <xdr:rowOff>1</xdr:rowOff>
    </xdr:from>
    <xdr:to>
      <xdr:col>19</xdr:col>
      <xdr:colOff>0</xdr:colOff>
      <xdr:row>5</xdr:row>
      <xdr:rowOff>1</xdr:rowOff>
    </xdr:to>
    <xdr:sp macro="" textlink="">
      <xdr:nvSpPr>
        <xdr:cNvPr id="6" name="Rectángulo 5">
          <a:extLst>
            <a:ext uri="{FF2B5EF4-FFF2-40B4-BE49-F238E27FC236}">
              <a16:creationId xmlns:a16="http://schemas.microsoft.com/office/drawing/2014/main" id="{00000000-0008-0000-0300-000006000000}"/>
            </a:ext>
          </a:extLst>
        </xdr:cNvPr>
        <xdr:cNvSpPr/>
      </xdr:nvSpPr>
      <xdr:spPr>
        <a:xfrm>
          <a:off x="12992100" y="1"/>
          <a:ext cx="23241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xdr:col>
      <xdr:colOff>0</xdr:colOff>
      <xdr:row>0</xdr:row>
      <xdr:rowOff>0</xdr:rowOff>
    </xdr:from>
    <xdr:to>
      <xdr:col>11</xdr:col>
      <xdr:colOff>0</xdr:colOff>
      <xdr:row>5</xdr:row>
      <xdr:rowOff>0</xdr:rowOff>
    </xdr:to>
    <xdr:sp macro="" textlink="">
      <xdr:nvSpPr>
        <xdr:cNvPr id="7" name="Rectángulo 6">
          <a:extLst>
            <a:ext uri="{FF2B5EF4-FFF2-40B4-BE49-F238E27FC236}">
              <a16:creationId xmlns:a16="http://schemas.microsoft.com/office/drawing/2014/main" id="{00000000-0008-0000-0300-000007000000}"/>
            </a:ext>
          </a:extLst>
        </xdr:cNvPr>
        <xdr:cNvSpPr/>
      </xdr:nvSpPr>
      <xdr:spPr>
        <a:xfrm>
          <a:off x="7038975" y="0"/>
          <a:ext cx="24288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1</xdr:colOff>
      <xdr:row>0</xdr:row>
      <xdr:rowOff>0</xdr:rowOff>
    </xdr:from>
    <xdr:to>
      <xdr:col>14</xdr:col>
      <xdr:colOff>1</xdr:colOff>
      <xdr:row>5</xdr:row>
      <xdr:rowOff>0</xdr:rowOff>
    </xdr:to>
    <xdr:sp macro="" textlink="">
      <xdr:nvSpPr>
        <xdr:cNvPr id="8" name="Rectángulo 7">
          <a:extLst>
            <a:ext uri="{FF2B5EF4-FFF2-40B4-BE49-F238E27FC236}">
              <a16:creationId xmlns:a16="http://schemas.microsoft.com/office/drawing/2014/main" id="{00000000-0008-0000-0300-000008000000}"/>
            </a:ext>
          </a:extLst>
        </xdr:cNvPr>
        <xdr:cNvSpPr/>
      </xdr:nvSpPr>
      <xdr:spPr>
        <a:xfrm>
          <a:off x="9467851" y="0"/>
          <a:ext cx="22860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107156</xdr:colOff>
      <xdr:row>6</xdr:row>
      <xdr:rowOff>0</xdr:rowOff>
    </xdr:from>
    <xdr:to>
      <xdr:col>19</xdr:col>
      <xdr:colOff>684609</xdr:colOff>
      <xdr:row>6</xdr:row>
      <xdr:rowOff>0</xdr:rowOff>
    </xdr:to>
    <xdr:cxnSp macro="">
      <xdr:nvCxnSpPr>
        <xdr:cNvPr id="9" name="Conector recto 8">
          <a:extLst>
            <a:ext uri="{FF2B5EF4-FFF2-40B4-BE49-F238E27FC236}">
              <a16:creationId xmlns:a16="http://schemas.microsoft.com/office/drawing/2014/main" id="{00000000-0008-0000-0300-000009000000}"/>
            </a:ext>
          </a:extLst>
        </xdr:cNvPr>
        <xdr:cNvCxnSpPr/>
      </xdr:nvCxnSpPr>
      <xdr:spPr>
        <a:xfrm>
          <a:off x="13099256" y="1228725"/>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80962</xdr:colOff>
      <xdr:row>14</xdr:row>
      <xdr:rowOff>152400</xdr:rowOff>
    </xdr:from>
    <xdr:to>
      <xdr:col>19</xdr:col>
      <xdr:colOff>658415</xdr:colOff>
      <xdr:row>14</xdr:row>
      <xdr:rowOff>152400</xdr:rowOff>
    </xdr:to>
    <xdr:cxnSp macro="">
      <xdr:nvCxnSpPr>
        <xdr:cNvPr id="10" name="Conector recto 9">
          <a:extLst>
            <a:ext uri="{FF2B5EF4-FFF2-40B4-BE49-F238E27FC236}">
              <a16:creationId xmlns:a16="http://schemas.microsoft.com/office/drawing/2014/main" id="{00000000-0008-0000-0300-00000A000000}"/>
            </a:ext>
          </a:extLst>
        </xdr:cNvPr>
        <xdr:cNvCxnSpPr/>
      </xdr:nvCxnSpPr>
      <xdr:spPr>
        <a:xfrm>
          <a:off x="13073062" y="2609850"/>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26</xdr:row>
      <xdr:rowOff>10990</xdr:rowOff>
    </xdr:from>
    <xdr:to>
      <xdr:col>19</xdr:col>
      <xdr:colOff>792682</xdr:colOff>
      <xdr:row>29</xdr:row>
      <xdr:rowOff>0</xdr:rowOff>
    </xdr:to>
    <xdr:sp macro="" textlink="">
      <xdr:nvSpPr>
        <xdr:cNvPr id="11" name="CuadroTexto 10">
          <a:extLst>
            <a:ext uri="{FF2B5EF4-FFF2-40B4-BE49-F238E27FC236}">
              <a16:creationId xmlns:a16="http://schemas.microsoft.com/office/drawing/2014/main" id="{00000000-0008-0000-0300-00000B000000}"/>
            </a:ext>
          </a:extLst>
        </xdr:cNvPr>
        <xdr:cNvSpPr txBox="1"/>
      </xdr:nvSpPr>
      <xdr:spPr>
        <a:xfrm>
          <a:off x="12992100" y="4297240"/>
          <a:ext cx="2316682" cy="44621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a:t>
          </a:r>
          <a:br>
            <a:rPr lang="es-ES" sz="1200" baseline="0">
              <a:latin typeface="Arial Narrow" panose="020B0606020202030204" pitchFamily="34" charset="0"/>
            </a:rPr>
          </a:br>
          <a:r>
            <a:rPr lang="es-ES" sz="1200" baseline="0">
              <a:latin typeface="Arial Narrow" panose="020B0606020202030204" pitchFamily="34" charset="0"/>
            </a:rPr>
            <a:t>(%)</a:t>
          </a:r>
          <a:endParaRPr lang="es-ES" sz="1200">
            <a:latin typeface="Arial Narrow" panose="020B0606020202030204" pitchFamily="34" charset="0"/>
          </a:endParaRPr>
        </a:p>
      </xdr:txBody>
    </xdr:sp>
    <xdr:clientData/>
  </xdr:twoCellAnchor>
  <xdr:twoCellAnchor>
    <xdr:from>
      <xdr:col>17</xdr:col>
      <xdr:colOff>0</xdr:colOff>
      <xdr:row>26</xdr:row>
      <xdr:rowOff>0</xdr:rowOff>
    </xdr:from>
    <xdr:to>
      <xdr:col>20</xdr:col>
      <xdr:colOff>0</xdr:colOff>
      <xdr:row>41</xdr:row>
      <xdr:rowOff>0</xdr:rowOff>
    </xdr:to>
    <xdr:sp macro="" textlink="">
      <xdr:nvSpPr>
        <xdr:cNvPr id="12" name="Rectángulo 11">
          <a:extLst>
            <a:ext uri="{FF2B5EF4-FFF2-40B4-BE49-F238E27FC236}">
              <a16:creationId xmlns:a16="http://schemas.microsoft.com/office/drawing/2014/main" id="{00000000-0008-0000-0300-00000C000000}"/>
            </a:ext>
          </a:extLst>
        </xdr:cNvPr>
        <xdr:cNvSpPr/>
      </xdr:nvSpPr>
      <xdr:spPr>
        <a:xfrm>
          <a:off x="12990635" y="4322885"/>
          <a:ext cx="2322634" cy="230798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72170</xdr:colOff>
      <xdr:row>29</xdr:row>
      <xdr:rowOff>10349</xdr:rowOff>
    </xdr:from>
    <xdr:to>
      <xdr:col>19</xdr:col>
      <xdr:colOff>649623</xdr:colOff>
      <xdr:row>29</xdr:row>
      <xdr:rowOff>10349</xdr:rowOff>
    </xdr:to>
    <xdr:cxnSp macro="">
      <xdr:nvCxnSpPr>
        <xdr:cNvPr id="13" name="Conector recto 12">
          <a:extLst>
            <a:ext uri="{FF2B5EF4-FFF2-40B4-BE49-F238E27FC236}">
              <a16:creationId xmlns:a16="http://schemas.microsoft.com/office/drawing/2014/main" id="{00000000-0008-0000-0300-00000D000000}"/>
            </a:ext>
          </a:extLst>
        </xdr:cNvPr>
        <xdr:cNvCxnSpPr/>
      </xdr:nvCxnSpPr>
      <xdr:spPr>
        <a:xfrm>
          <a:off x="13064270" y="4753799"/>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117229</xdr:colOff>
      <xdr:row>6</xdr:row>
      <xdr:rowOff>153864</xdr:rowOff>
    </xdr:from>
    <xdr:to>
      <xdr:col>19</xdr:col>
      <xdr:colOff>29307</xdr:colOff>
      <xdr:row>8</xdr:row>
      <xdr:rowOff>131883</xdr:rowOff>
    </xdr:to>
    <xdr:sp macro="" textlink="[1]omie_dinamic_dia!$K$6">
      <xdr:nvSpPr>
        <xdr:cNvPr id="15" name="CuadroTexto 1">
          <a:extLst>
            <a:ext uri="{FF2B5EF4-FFF2-40B4-BE49-F238E27FC236}">
              <a16:creationId xmlns:a16="http://schemas.microsoft.com/office/drawing/2014/main" id="{00000000-0008-0000-0300-00000F000000}"/>
            </a:ext>
          </a:extLst>
        </xdr:cNvPr>
        <xdr:cNvSpPr txBox="1"/>
      </xdr:nvSpPr>
      <xdr:spPr>
        <a:xfrm>
          <a:off x="13871329" y="1382589"/>
          <a:ext cx="674078" cy="29234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5F058528-BE17-476D-A9E3-52C422B0B3CF}" type="TxLink">
            <a:rPr lang="en-US" sz="1200" b="1" i="0" u="none" strike="noStrike">
              <a:solidFill>
                <a:schemeClr val="accent2"/>
              </a:solidFill>
              <a:latin typeface="Arial"/>
              <a:ea typeface="+mn-ea"/>
              <a:cs typeface="Arial"/>
            </a:rPr>
            <a:pPr marL="0" indent="0" algn="ctr"/>
            <a:t>2,5%</a:t>
          </a:fld>
          <a:endParaRPr lang="es-ES" sz="1200" b="1" i="0" u="none" strike="noStrike">
            <a:solidFill>
              <a:schemeClr val="accent2"/>
            </a:solidFill>
            <a:latin typeface="Arial"/>
            <a:ea typeface="+mn-ea"/>
            <a:cs typeface="Arial"/>
          </a:endParaRPr>
        </a:p>
      </xdr:txBody>
    </xdr:sp>
    <xdr:clientData/>
  </xdr:twoCellAnchor>
  <xdr:twoCellAnchor editAs="oneCell">
    <xdr:from>
      <xdr:col>17</xdr:col>
      <xdr:colOff>65944</xdr:colOff>
      <xdr:row>6</xdr:row>
      <xdr:rowOff>51289</xdr:rowOff>
    </xdr:from>
    <xdr:to>
      <xdr:col>19</xdr:col>
      <xdr:colOff>700606</xdr:colOff>
      <xdr:row>7</xdr:row>
      <xdr:rowOff>60893</xdr:rowOff>
    </xdr:to>
    <xdr:pic>
      <xdr:nvPicPr>
        <xdr:cNvPr id="16" name="Imagen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2"/>
        <a:stretch>
          <a:fillRect/>
        </a:stretch>
      </xdr:blipFill>
      <xdr:spPr>
        <a:xfrm>
          <a:off x="13058044" y="1280014"/>
          <a:ext cx="2198076" cy="171529"/>
        </a:xfrm>
        <a:prstGeom prst="rect">
          <a:avLst/>
        </a:prstGeom>
      </xdr:spPr>
    </xdr:pic>
    <xdr:clientData/>
  </xdr:twoCellAnchor>
  <xdr:twoCellAnchor>
    <xdr:from>
      <xdr:col>17</xdr:col>
      <xdr:colOff>86457</xdr:colOff>
      <xdr:row>6</xdr:row>
      <xdr:rowOff>152399</xdr:rowOff>
    </xdr:from>
    <xdr:to>
      <xdr:col>17</xdr:col>
      <xdr:colOff>760535</xdr:colOff>
      <xdr:row>8</xdr:row>
      <xdr:rowOff>130418</xdr:rowOff>
    </xdr:to>
    <xdr:sp macro="" textlink="[1]omie_dinamic_dia!$I$6">
      <xdr:nvSpPr>
        <xdr:cNvPr id="18" name="CuadroTexto 1">
          <a:extLst>
            <a:ext uri="{FF2B5EF4-FFF2-40B4-BE49-F238E27FC236}">
              <a16:creationId xmlns:a16="http://schemas.microsoft.com/office/drawing/2014/main" id="{00000000-0008-0000-0300-000012000000}"/>
            </a:ext>
          </a:extLst>
        </xdr:cNvPr>
        <xdr:cNvSpPr txBox="1"/>
      </xdr:nvSpPr>
      <xdr:spPr>
        <a:xfrm>
          <a:off x="13289572" y="1390649"/>
          <a:ext cx="674078" cy="293077"/>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4627F6AA-9CD2-4938-899E-947A01933C91}" type="TxLink">
            <a:rPr lang="en-US" sz="1200" b="1" i="0" u="none" strike="noStrike">
              <a:solidFill>
                <a:schemeClr val="accent6"/>
              </a:solidFill>
              <a:latin typeface="Arial"/>
              <a:ea typeface="+mn-ea"/>
              <a:cs typeface="Arial"/>
            </a:rPr>
            <a:pPr marL="0" indent="0" algn="ctr"/>
            <a:t>38,8%</a:t>
          </a:fld>
          <a:endParaRPr lang="es-ES" sz="1200" b="1" i="0" u="none" strike="noStrike">
            <a:solidFill>
              <a:schemeClr val="accent6"/>
            </a:solidFill>
            <a:latin typeface="Arial"/>
            <a:ea typeface="+mn-ea"/>
            <a:cs typeface="Arial"/>
          </a:endParaRPr>
        </a:p>
      </xdr:txBody>
    </xdr:sp>
    <xdr:clientData/>
  </xdr:twoCellAnchor>
  <xdr:twoCellAnchor>
    <xdr:from>
      <xdr:col>19</xdr:col>
      <xdr:colOff>79129</xdr:colOff>
      <xdr:row>6</xdr:row>
      <xdr:rowOff>152398</xdr:rowOff>
    </xdr:from>
    <xdr:to>
      <xdr:col>19</xdr:col>
      <xdr:colOff>732692</xdr:colOff>
      <xdr:row>8</xdr:row>
      <xdr:rowOff>124557</xdr:rowOff>
    </xdr:to>
    <xdr:sp macro="" textlink="[1]omie_dinamic_dia!$M$6">
      <xdr:nvSpPr>
        <xdr:cNvPr id="20" name="CuadroTexto 1">
          <a:extLst>
            <a:ext uri="{FF2B5EF4-FFF2-40B4-BE49-F238E27FC236}">
              <a16:creationId xmlns:a16="http://schemas.microsoft.com/office/drawing/2014/main" id="{00000000-0008-0000-0300-000014000000}"/>
            </a:ext>
          </a:extLst>
        </xdr:cNvPr>
        <xdr:cNvSpPr txBox="1"/>
      </xdr:nvSpPr>
      <xdr:spPr>
        <a:xfrm>
          <a:off x="14595229" y="1381123"/>
          <a:ext cx="653563" cy="28648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F09DA1D6-99D8-4D0E-A38A-6381D565D981}" type="TxLink">
            <a:rPr lang="en-US" sz="1200" b="1" i="0" u="none" strike="noStrike">
              <a:solidFill>
                <a:schemeClr val="accent1"/>
              </a:solidFill>
              <a:latin typeface="Arial"/>
              <a:ea typeface="+mn-ea"/>
              <a:cs typeface="Arial"/>
            </a:rPr>
            <a:pPr marL="0" indent="0" algn="ctr"/>
            <a:t>37,5%</a:t>
          </a:fld>
          <a:endParaRPr lang="es-ES" sz="1200" b="1" i="0" u="none" strike="noStrike">
            <a:solidFill>
              <a:schemeClr val="accent1"/>
            </a:solidFill>
            <a:latin typeface="Arial"/>
            <a:ea typeface="+mn-ea"/>
            <a:cs typeface="Arial"/>
          </a:endParaRPr>
        </a:p>
      </xdr:txBody>
    </xdr:sp>
    <xdr:clientData/>
  </xdr:twoCellAnchor>
  <xdr:oneCellAnchor>
    <xdr:from>
      <xdr:col>17</xdr:col>
      <xdr:colOff>129577</xdr:colOff>
      <xdr:row>16</xdr:row>
      <xdr:rowOff>16294</xdr:rowOff>
    </xdr:from>
    <xdr:ext cx="569836" cy="269369"/>
    <xdr:sp macro="" textlink="[1]curva_precios_tec_2024!$V$2">
      <xdr:nvSpPr>
        <xdr:cNvPr id="21" name="CuadroTexto 1">
          <a:extLst>
            <a:ext uri="{FF2B5EF4-FFF2-40B4-BE49-F238E27FC236}">
              <a16:creationId xmlns:a16="http://schemas.microsoft.com/office/drawing/2014/main" id="{00000000-0008-0000-0300-000015000000}"/>
            </a:ext>
          </a:extLst>
        </xdr:cNvPr>
        <xdr:cNvSpPr txBox="1"/>
      </xdr:nvSpPr>
      <xdr:spPr>
        <a:xfrm>
          <a:off x="13812732" y="2762122"/>
          <a:ext cx="56983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5CB5AD5-F300-4BB2-BA29-A82CA49DD408}" type="TxLink">
            <a:rPr lang="en-US" sz="1200" b="1" i="0" u="none" strike="noStrike">
              <a:solidFill>
                <a:schemeClr val="accent6"/>
              </a:solidFill>
              <a:latin typeface="Arial"/>
              <a:ea typeface="+mn-ea"/>
              <a:cs typeface="Arial"/>
            </a:rPr>
            <a:pPr marL="0" indent="0" algn="r"/>
            <a:t>23,08</a:t>
          </a:fld>
          <a:endParaRPr lang="es-ES" sz="1200" b="1" i="0" u="none" strike="noStrike">
            <a:solidFill>
              <a:schemeClr val="accent6"/>
            </a:solidFill>
            <a:latin typeface="Arial"/>
            <a:ea typeface="+mn-ea"/>
            <a:cs typeface="Arial"/>
          </a:endParaRPr>
        </a:p>
      </xdr:txBody>
    </xdr:sp>
    <xdr:clientData/>
  </xdr:oneCellAnchor>
  <xdr:oneCellAnchor>
    <xdr:from>
      <xdr:col>17</xdr:col>
      <xdr:colOff>760550</xdr:colOff>
      <xdr:row>16</xdr:row>
      <xdr:rowOff>22155</xdr:rowOff>
    </xdr:from>
    <xdr:ext cx="655436" cy="269369"/>
    <xdr:sp macro="" textlink="[1]curva_precios_tec_2024!$W$2">
      <xdr:nvSpPr>
        <xdr:cNvPr id="22" name="CuadroTexto 1">
          <a:extLst>
            <a:ext uri="{FF2B5EF4-FFF2-40B4-BE49-F238E27FC236}">
              <a16:creationId xmlns:a16="http://schemas.microsoft.com/office/drawing/2014/main" id="{00000000-0008-0000-0300-000016000000}"/>
            </a:ext>
          </a:extLst>
        </xdr:cNvPr>
        <xdr:cNvSpPr txBox="1"/>
      </xdr:nvSpPr>
      <xdr:spPr>
        <a:xfrm>
          <a:off x="14443705" y="2767983"/>
          <a:ext cx="65543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BE2D409-6E2D-4FF7-B74B-12A1A656BBE8}" type="TxLink">
            <a:rPr lang="en-US" sz="1200" b="1" i="0" u="none" strike="noStrike">
              <a:solidFill>
                <a:schemeClr val="accent2"/>
              </a:solidFill>
              <a:latin typeface="Arial"/>
              <a:ea typeface="+mn-ea"/>
              <a:cs typeface="Arial"/>
            </a:rPr>
            <a:pPr marL="0" indent="0" algn="r"/>
            <a:t>128,61</a:t>
          </a:fld>
          <a:endParaRPr lang="es-ES" sz="1200" b="1" i="0" u="none" strike="noStrike">
            <a:solidFill>
              <a:schemeClr val="accent2"/>
            </a:solidFill>
            <a:latin typeface="Arial"/>
            <a:ea typeface="+mn-ea"/>
            <a:cs typeface="Arial"/>
          </a:endParaRPr>
        </a:p>
      </xdr:txBody>
    </xdr:sp>
    <xdr:clientData/>
  </xdr:oneCellAnchor>
  <xdr:oneCellAnchor>
    <xdr:from>
      <xdr:col>19</xdr:col>
      <xdr:colOff>10879</xdr:colOff>
      <xdr:row>16</xdr:row>
      <xdr:rowOff>14829</xdr:rowOff>
    </xdr:from>
    <xdr:ext cx="569836" cy="269369"/>
    <xdr:sp macro="" textlink="[1]curva_precios_tec_2024!$X$2">
      <xdr:nvSpPr>
        <xdr:cNvPr id="23" name="CuadroTexto 1">
          <a:extLst>
            <a:ext uri="{FF2B5EF4-FFF2-40B4-BE49-F238E27FC236}">
              <a16:creationId xmlns:a16="http://schemas.microsoft.com/office/drawing/2014/main" id="{00000000-0008-0000-0300-000017000000}"/>
            </a:ext>
          </a:extLst>
        </xdr:cNvPr>
        <xdr:cNvSpPr txBox="1"/>
      </xdr:nvSpPr>
      <xdr:spPr>
        <a:xfrm>
          <a:off x="15257448" y="2760657"/>
          <a:ext cx="56983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693FD3DD-EB52-4EA4-B4F6-2FF9279FA19A}" type="TxLink">
            <a:rPr lang="en-US" sz="1200" b="1" i="0" u="none" strike="noStrike">
              <a:solidFill>
                <a:schemeClr val="accent1"/>
              </a:solidFill>
              <a:latin typeface="Arial"/>
              <a:ea typeface="+mn-ea"/>
              <a:cs typeface="Arial"/>
            </a:rPr>
            <a:pPr marL="0" indent="0" algn="r"/>
            <a:t>75,78</a:t>
          </a:fld>
          <a:endParaRPr lang="es-ES" sz="1200" b="1" i="0" u="none" strike="noStrike">
            <a:solidFill>
              <a:schemeClr val="accent1"/>
            </a:solidFill>
            <a:latin typeface="Arial"/>
            <a:ea typeface="+mn-ea"/>
            <a:cs typeface="Arial"/>
          </a:endParaRPr>
        </a:p>
      </xdr:txBody>
    </xdr:sp>
    <xdr:clientData/>
  </xdr:oneCellAnchor>
  <xdr:twoCellAnchor editAs="oneCell">
    <xdr:from>
      <xdr:col>17</xdr:col>
      <xdr:colOff>183174</xdr:colOff>
      <xdr:row>15</xdr:row>
      <xdr:rowOff>65943</xdr:rowOff>
    </xdr:from>
    <xdr:to>
      <xdr:col>19</xdr:col>
      <xdr:colOff>488125</xdr:colOff>
      <xdr:row>16</xdr:row>
      <xdr:rowOff>46599</xdr:rowOff>
    </xdr:to>
    <xdr:pic>
      <xdr:nvPicPr>
        <xdr:cNvPr id="24" name="Imagen 23">
          <a:extLst>
            <a:ext uri="{FF2B5EF4-FFF2-40B4-BE49-F238E27FC236}">
              <a16:creationId xmlns:a16="http://schemas.microsoft.com/office/drawing/2014/main" id="{00000000-0008-0000-0300-000018000000}"/>
            </a:ext>
          </a:extLst>
        </xdr:cNvPr>
        <xdr:cNvPicPr>
          <a:picLocks noChangeAspect="1"/>
        </xdr:cNvPicPr>
      </xdr:nvPicPr>
      <xdr:blipFill>
        <a:blip xmlns:r="http://schemas.openxmlformats.org/officeDocument/2006/relationships" r:embed="rId3"/>
        <a:stretch>
          <a:fillRect/>
        </a:stretch>
      </xdr:blipFill>
      <xdr:spPr>
        <a:xfrm>
          <a:off x="13175274" y="2675793"/>
          <a:ext cx="1868365" cy="133056"/>
        </a:xfrm>
        <a:prstGeom prst="rect">
          <a:avLst/>
        </a:prstGeom>
      </xdr:spPr>
    </xdr:pic>
    <xdr:clientData/>
  </xdr:twoCellAnchor>
  <xdr:twoCellAnchor>
    <xdr:from>
      <xdr:col>16</xdr:col>
      <xdr:colOff>570767</xdr:colOff>
      <xdr:row>17</xdr:row>
      <xdr:rowOff>7328</xdr:rowOff>
    </xdr:from>
    <xdr:to>
      <xdr:col>20</xdr:col>
      <xdr:colOff>73269</xdr:colOff>
      <xdr:row>26</xdr:row>
      <xdr:rowOff>65943</xdr:rowOff>
    </xdr:to>
    <xdr:graphicFrame macro="">
      <xdr:nvGraphicFramePr>
        <xdr:cNvPr id="25" name="Gráfico 24">
          <a:extLst>
            <a:ext uri="{FF2B5EF4-FFF2-40B4-BE49-F238E27FC236}">
              <a16:creationId xmlns:a16="http://schemas.microsoft.com/office/drawing/2014/main" id="{00000000-0008-0000-0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1</xdr:colOff>
      <xdr:row>5</xdr:row>
      <xdr:rowOff>0</xdr:rowOff>
    </xdr:from>
    <xdr:to>
      <xdr:col>21</xdr:col>
      <xdr:colOff>1</xdr:colOff>
      <xdr:row>6</xdr:row>
      <xdr:rowOff>0</xdr:rowOff>
    </xdr:to>
    <xdr:sp macro="" textlink="">
      <xdr:nvSpPr>
        <xdr:cNvPr id="27" name="CuadroTexto 26">
          <a:extLst>
            <a:ext uri="{FF2B5EF4-FFF2-40B4-BE49-F238E27FC236}">
              <a16:creationId xmlns:a16="http://schemas.microsoft.com/office/drawing/2014/main" id="{00000000-0008-0000-0300-00001B000000}"/>
            </a:ext>
          </a:extLst>
        </xdr:cNvPr>
        <xdr:cNvSpPr txBox="1"/>
      </xdr:nvSpPr>
      <xdr:spPr>
        <a:xfrm>
          <a:off x="15316201" y="762000"/>
          <a:ext cx="2047875" cy="4667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EOD GDAES_D+1</a:t>
          </a:r>
          <a:br>
            <a:rPr lang="es-ES" sz="1200" baseline="0">
              <a:latin typeface="Arial Narrow" panose="020B0606020202030204" pitchFamily="34" charset="0"/>
            </a:rPr>
          </a:br>
          <a:r>
            <a:rPr lang="es-ES" sz="1200" baseline="0">
              <a:latin typeface="Arial Narrow" panose="020B0606020202030204" pitchFamily="34" charset="0"/>
            </a:rPr>
            <a:t>(€/MWh)</a:t>
          </a:r>
          <a:endParaRPr lang="es-ES" sz="1200">
            <a:latin typeface="Arial Narrow" panose="020B0606020202030204" pitchFamily="34" charset="0"/>
          </a:endParaRPr>
        </a:p>
      </xdr:txBody>
    </xdr:sp>
    <xdr:clientData/>
  </xdr:twoCellAnchor>
  <xdr:twoCellAnchor>
    <xdr:from>
      <xdr:col>17</xdr:col>
      <xdr:colOff>0</xdr:colOff>
      <xdr:row>5</xdr:row>
      <xdr:rowOff>0</xdr:rowOff>
    </xdr:from>
    <xdr:to>
      <xdr:col>20</xdr:col>
      <xdr:colOff>0</xdr:colOff>
      <xdr:row>12</xdr:row>
      <xdr:rowOff>0</xdr:rowOff>
    </xdr:to>
    <xdr:sp macro="" textlink="">
      <xdr:nvSpPr>
        <xdr:cNvPr id="28" name="Rectángulo 27">
          <a:extLst>
            <a:ext uri="{FF2B5EF4-FFF2-40B4-BE49-F238E27FC236}">
              <a16:creationId xmlns:a16="http://schemas.microsoft.com/office/drawing/2014/main" id="{00000000-0008-0000-0300-00001C000000}"/>
            </a:ext>
          </a:extLst>
        </xdr:cNvPr>
        <xdr:cNvSpPr/>
      </xdr:nvSpPr>
      <xdr:spPr>
        <a:xfrm>
          <a:off x="12992100" y="762000"/>
          <a:ext cx="2324100" cy="139065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0</xdr:colOff>
      <xdr:row>4</xdr:row>
      <xdr:rowOff>153864</xdr:rowOff>
    </xdr:from>
    <xdr:to>
      <xdr:col>20</xdr:col>
      <xdr:colOff>0</xdr:colOff>
      <xdr:row>14</xdr:row>
      <xdr:rowOff>0</xdr:rowOff>
    </xdr:to>
    <xdr:sp macro="" textlink="">
      <xdr:nvSpPr>
        <xdr:cNvPr id="29" name="Rectángulo 28">
          <a:extLst>
            <a:ext uri="{FF2B5EF4-FFF2-40B4-BE49-F238E27FC236}">
              <a16:creationId xmlns:a16="http://schemas.microsoft.com/office/drawing/2014/main" id="{00000000-0008-0000-0300-00001D000000}"/>
            </a:ext>
          </a:extLst>
        </xdr:cNvPr>
        <xdr:cNvSpPr/>
      </xdr:nvSpPr>
      <xdr:spPr>
        <a:xfrm>
          <a:off x="15313269" y="769326"/>
          <a:ext cx="2242039" cy="1707174"/>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1355733</xdr:colOff>
      <xdr:row>7</xdr:row>
      <xdr:rowOff>77664</xdr:rowOff>
    </xdr:from>
    <xdr:to>
      <xdr:col>20</xdr:col>
      <xdr:colOff>2095753</xdr:colOff>
      <xdr:row>9</xdr:row>
      <xdr:rowOff>57150</xdr:rowOff>
    </xdr:to>
    <xdr:sp macro="" textlink="[1]gas!$F$5">
      <xdr:nvSpPr>
        <xdr:cNvPr id="30" name="CuadroTexto 1">
          <a:extLst>
            <a:ext uri="{FF2B5EF4-FFF2-40B4-BE49-F238E27FC236}">
              <a16:creationId xmlns:a16="http://schemas.microsoft.com/office/drawing/2014/main" id="{00000000-0008-0000-0300-00001E000000}"/>
            </a:ext>
          </a:extLst>
        </xdr:cNvPr>
        <xdr:cNvSpPr txBox="1"/>
      </xdr:nvSpPr>
      <xdr:spPr>
        <a:xfrm>
          <a:off x="16669002" y="1477106"/>
          <a:ext cx="740020" cy="287217"/>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A5C7D6D-184B-49E3-B106-12047537AD4D}" type="TxLink">
            <a:rPr lang="en-US" sz="1200" b="1" i="0" u="none" strike="noStrike">
              <a:solidFill>
                <a:srgbClr val="7030A0"/>
              </a:solidFill>
              <a:latin typeface="Arial"/>
              <a:ea typeface="+mn-ea"/>
              <a:cs typeface="Arial"/>
            </a:rPr>
            <a:pPr marL="0" indent="0" algn="r"/>
            <a:t>34,35</a:t>
          </a:fld>
          <a:endParaRPr lang="es-ES" sz="1200" b="1" i="0" u="none" strike="noStrike">
            <a:solidFill>
              <a:srgbClr val="7030A0"/>
            </a:solidFill>
            <a:latin typeface="Arial"/>
            <a:ea typeface="+mn-ea"/>
            <a:cs typeface="Arial"/>
          </a:endParaRPr>
        </a:p>
      </xdr:txBody>
    </xdr:sp>
    <xdr:clientData/>
  </xdr:twoCellAnchor>
  <xdr:twoCellAnchor>
    <xdr:from>
      <xdr:col>20</xdr:col>
      <xdr:colOff>58615</xdr:colOff>
      <xdr:row>5</xdr:row>
      <xdr:rowOff>461596</xdr:rowOff>
    </xdr:from>
    <xdr:to>
      <xdr:col>20</xdr:col>
      <xdr:colOff>1919654</xdr:colOff>
      <xdr:row>6</xdr:row>
      <xdr:rowOff>0</xdr:rowOff>
    </xdr:to>
    <xdr:cxnSp macro="">
      <xdr:nvCxnSpPr>
        <xdr:cNvPr id="31" name="Conector recto 30">
          <a:extLst>
            <a:ext uri="{FF2B5EF4-FFF2-40B4-BE49-F238E27FC236}">
              <a16:creationId xmlns:a16="http://schemas.microsoft.com/office/drawing/2014/main" id="{00000000-0008-0000-0300-00001F000000}"/>
            </a:ext>
          </a:extLst>
        </xdr:cNvPr>
        <xdr:cNvCxnSpPr/>
      </xdr:nvCxnSpPr>
      <xdr:spPr>
        <a:xfrm>
          <a:off x="15374815" y="1223596"/>
          <a:ext cx="1861039" cy="5129"/>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14</xdr:row>
      <xdr:rowOff>0</xdr:rowOff>
    </xdr:from>
    <xdr:to>
      <xdr:col>21</xdr:col>
      <xdr:colOff>0</xdr:colOff>
      <xdr:row>16</xdr:row>
      <xdr:rowOff>0</xdr:rowOff>
    </xdr:to>
    <xdr:sp macro="" textlink="">
      <xdr:nvSpPr>
        <xdr:cNvPr id="32" name="CuadroTexto 31">
          <a:extLst>
            <a:ext uri="{FF2B5EF4-FFF2-40B4-BE49-F238E27FC236}">
              <a16:creationId xmlns:a16="http://schemas.microsoft.com/office/drawing/2014/main" id="{00000000-0008-0000-0300-000020000000}"/>
            </a:ext>
          </a:extLst>
        </xdr:cNvPr>
        <xdr:cNvSpPr txBox="1"/>
      </xdr:nvSpPr>
      <xdr:spPr>
        <a:xfrm>
          <a:off x="15316200" y="2457450"/>
          <a:ext cx="2047875" cy="30480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14</xdr:row>
      <xdr:rowOff>0</xdr:rowOff>
    </xdr:from>
    <xdr:to>
      <xdr:col>21</xdr:col>
      <xdr:colOff>0</xdr:colOff>
      <xdr:row>25</xdr:row>
      <xdr:rowOff>0</xdr:rowOff>
    </xdr:to>
    <xdr:sp macro="" textlink="">
      <xdr:nvSpPr>
        <xdr:cNvPr id="33" name="Rectángulo 32">
          <a:extLst>
            <a:ext uri="{FF2B5EF4-FFF2-40B4-BE49-F238E27FC236}">
              <a16:creationId xmlns:a16="http://schemas.microsoft.com/office/drawing/2014/main" id="{00000000-0008-0000-0300-000021000000}"/>
            </a:ext>
          </a:extLst>
        </xdr:cNvPr>
        <xdr:cNvSpPr/>
      </xdr:nvSpPr>
      <xdr:spPr>
        <a:xfrm>
          <a:off x="15313269" y="2476500"/>
          <a:ext cx="2242039" cy="169251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117229</xdr:colOff>
      <xdr:row>15</xdr:row>
      <xdr:rowOff>146539</xdr:rowOff>
    </xdr:from>
    <xdr:to>
      <xdr:col>20</xdr:col>
      <xdr:colOff>1890345</xdr:colOff>
      <xdr:row>16</xdr:row>
      <xdr:rowOff>1</xdr:rowOff>
    </xdr:to>
    <xdr:cxnSp macro="">
      <xdr:nvCxnSpPr>
        <xdr:cNvPr id="34" name="Conector recto 33">
          <a:extLst>
            <a:ext uri="{FF2B5EF4-FFF2-40B4-BE49-F238E27FC236}">
              <a16:creationId xmlns:a16="http://schemas.microsoft.com/office/drawing/2014/main" id="{00000000-0008-0000-0300-000022000000}"/>
            </a:ext>
          </a:extLst>
        </xdr:cNvPr>
        <xdr:cNvCxnSpPr/>
      </xdr:nvCxnSpPr>
      <xdr:spPr>
        <a:xfrm flipV="1">
          <a:off x="15433429" y="2756389"/>
          <a:ext cx="1773116" cy="5862"/>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0</xdr:row>
      <xdr:rowOff>0</xdr:rowOff>
    </xdr:from>
    <xdr:to>
      <xdr:col>20</xdr:col>
      <xdr:colOff>0</xdr:colOff>
      <xdr:row>5</xdr:row>
      <xdr:rowOff>0</xdr:rowOff>
    </xdr:to>
    <xdr:sp macro="" textlink="">
      <xdr:nvSpPr>
        <xdr:cNvPr id="35" name="Rectángulo 34">
          <a:extLst>
            <a:ext uri="{FF2B5EF4-FFF2-40B4-BE49-F238E27FC236}">
              <a16:creationId xmlns:a16="http://schemas.microsoft.com/office/drawing/2014/main" id="{00000000-0008-0000-0300-000023000000}"/>
            </a:ext>
          </a:extLst>
        </xdr:cNvPr>
        <xdr:cNvSpPr/>
      </xdr:nvSpPr>
      <xdr:spPr>
        <a:xfrm>
          <a:off x="15316200" y="0"/>
          <a:ext cx="20478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67331</xdr:colOff>
      <xdr:row>0</xdr:row>
      <xdr:rowOff>39666</xdr:rowOff>
    </xdr:from>
    <xdr:to>
      <xdr:col>19</xdr:col>
      <xdr:colOff>2095500</xdr:colOff>
      <xdr:row>2</xdr:row>
      <xdr:rowOff>25012</xdr:rowOff>
    </xdr:to>
    <xdr:sp macro="" textlink="">
      <xdr:nvSpPr>
        <xdr:cNvPr id="36" name="CuadroTexto 35">
          <a:extLst>
            <a:ext uri="{FF2B5EF4-FFF2-40B4-BE49-F238E27FC236}">
              <a16:creationId xmlns:a16="http://schemas.microsoft.com/office/drawing/2014/main" id="{00000000-0008-0000-0300-000024000000}"/>
            </a:ext>
          </a:extLst>
        </xdr:cNvPr>
        <xdr:cNvSpPr txBox="1"/>
      </xdr:nvSpPr>
      <xdr:spPr>
        <a:xfrm>
          <a:off x="15366452" y="39666"/>
          <a:ext cx="2028169" cy="28751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19</xdr:col>
      <xdr:colOff>72258</xdr:colOff>
      <xdr:row>2</xdr:row>
      <xdr:rowOff>71803</xdr:rowOff>
    </xdr:from>
    <xdr:to>
      <xdr:col>19</xdr:col>
      <xdr:colOff>2108638</xdr:colOff>
      <xdr:row>4</xdr:row>
      <xdr:rowOff>57149</xdr:rowOff>
    </xdr:to>
    <xdr:sp macro="" textlink="">
      <xdr:nvSpPr>
        <xdr:cNvPr id="37" name="CuadroTexto 36">
          <a:extLst>
            <a:ext uri="{FF2B5EF4-FFF2-40B4-BE49-F238E27FC236}">
              <a16:creationId xmlns:a16="http://schemas.microsoft.com/office/drawing/2014/main" id="{00000000-0008-0000-0300-000025000000}"/>
            </a:ext>
          </a:extLst>
        </xdr:cNvPr>
        <xdr:cNvSpPr txBox="1"/>
      </xdr:nvSpPr>
      <xdr:spPr>
        <a:xfrm>
          <a:off x="15371379" y="373975"/>
          <a:ext cx="2036380" cy="28751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latin typeface="Arial Black" panose="020B0A04020102020204" pitchFamily="34" charset="0"/>
            </a:rPr>
            <a:t>#miniporrafebrero2024</a:t>
          </a:r>
        </a:p>
      </xdr:txBody>
    </xdr:sp>
    <xdr:clientData/>
  </xdr:twoCellAnchor>
  <xdr:twoCellAnchor>
    <xdr:from>
      <xdr:col>20</xdr:col>
      <xdr:colOff>36636</xdr:colOff>
      <xdr:row>15</xdr:row>
      <xdr:rowOff>109905</xdr:rowOff>
    </xdr:from>
    <xdr:to>
      <xdr:col>20</xdr:col>
      <xdr:colOff>2212731</xdr:colOff>
      <xdr:row>24</xdr:row>
      <xdr:rowOff>124558</xdr:rowOff>
    </xdr:to>
    <xdr:graphicFrame macro="">
      <xdr:nvGraphicFramePr>
        <xdr:cNvPr id="38" name="Gráfico 37">
          <a:extLst>
            <a:ext uri="{FF2B5EF4-FFF2-40B4-BE49-F238E27FC236}">
              <a16:creationId xmlns:a16="http://schemas.microsoft.com/office/drawing/2014/main" id="{00000000-0008-0000-03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1183730</xdr:colOff>
      <xdr:row>17</xdr:row>
      <xdr:rowOff>4951</xdr:rowOff>
    </xdr:from>
    <xdr:to>
      <xdr:col>20</xdr:col>
      <xdr:colOff>2054170</xdr:colOff>
      <xdr:row>18</xdr:row>
      <xdr:rowOff>135523</xdr:rowOff>
    </xdr:to>
    <xdr:sp macro="" textlink="[1]co2!$F$6">
      <xdr:nvSpPr>
        <xdr:cNvPr id="39" name="CuadroTexto 1">
          <a:extLst>
            <a:ext uri="{FF2B5EF4-FFF2-40B4-BE49-F238E27FC236}">
              <a16:creationId xmlns:a16="http://schemas.microsoft.com/office/drawing/2014/main" id="{00000000-0008-0000-0300-000027000000}"/>
            </a:ext>
          </a:extLst>
        </xdr:cNvPr>
        <xdr:cNvSpPr txBox="1"/>
      </xdr:nvSpPr>
      <xdr:spPr>
        <a:xfrm>
          <a:off x="16482851" y="2901865"/>
          <a:ext cx="870440" cy="281658"/>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4C71EA8-E455-4BC4-8148-EDD2FD2E021B}" type="TxLink">
            <a:rPr lang="en-US" sz="1200" b="1" i="0" u="none" strike="noStrike">
              <a:solidFill>
                <a:srgbClr val="7030A0"/>
              </a:solidFill>
              <a:latin typeface="Arial"/>
              <a:ea typeface="+mn-ea"/>
              <a:cs typeface="Arial"/>
            </a:rPr>
            <a:pPr marL="0" indent="0" algn="r"/>
            <a:t>70,97</a:t>
          </a:fld>
          <a:endParaRPr lang="es-ES" sz="1200" b="1" i="0" u="none" strike="noStrike">
            <a:solidFill>
              <a:srgbClr val="7030A0"/>
            </a:solidFill>
            <a:latin typeface="Arial"/>
            <a:ea typeface="+mn-ea"/>
            <a:cs typeface="Arial"/>
          </a:endParaRPr>
        </a:p>
      </xdr:txBody>
    </xdr:sp>
    <xdr:clientData/>
  </xdr:twoCellAnchor>
  <xdr:twoCellAnchor>
    <xdr:from>
      <xdr:col>20</xdr:col>
      <xdr:colOff>0</xdr:colOff>
      <xdr:row>25</xdr:row>
      <xdr:rowOff>0</xdr:rowOff>
    </xdr:from>
    <xdr:to>
      <xdr:col>21</xdr:col>
      <xdr:colOff>0</xdr:colOff>
      <xdr:row>27</xdr:row>
      <xdr:rowOff>0</xdr:rowOff>
    </xdr:to>
    <xdr:sp macro="" textlink="">
      <xdr:nvSpPr>
        <xdr:cNvPr id="41" name="CuadroTexto 40">
          <a:extLst>
            <a:ext uri="{FF2B5EF4-FFF2-40B4-BE49-F238E27FC236}">
              <a16:creationId xmlns:a16="http://schemas.microsoft.com/office/drawing/2014/main" id="{00000000-0008-0000-0300-000029000000}"/>
            </a:ext>
          </a:extLst>
        </xdr:cNvPr>
        <xdr:cNvSpPr txBox="1"/>
      </xdr:nvSpPr>
      <xdr:spPr>
        <a:xfrm>
          <a:off x="15313269" y="4169019"/>
          <a:ext cx="2242039" cy="30773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baseline="0">
              <a:latin typeface="Arial Narrow" panose="020B0606020202030204" pitchFamily="34" charset="0"/>
            </a:rPr>
            <a:t>Omie Evolution </a:t>
          </a:r>
          <a:endParaRPr lang="es-ES" sz="1200">
            <a:latin typeface="Arial Narrow" panose="020B0606020202030204" pitchFamily="34" charset="0"/>
          </a:endParaRPr>
        </a:p>
      </xdr:txBody>
    </xdr:sp>
    <xdr:clientData/>
  </xdr:twoCellAnchor>
  <xdr:twoCellAnchor>
    <xdr:from>
      <xdr:col>20</xdr:col>
      <xdr:colOff>0</xdr:colOff>
      <xdr:row>35</xdr:row>
      <xdr:rowOff>153865</xdr:rowOff>
    </xdr:from>
    <xdr:to>
      <xdr:col>21</xdr:col>
      <xdr:colOff>0</xdr:colOff>
      <xdr:row>41</xdr:row>
      <xdr:rowOff>0</xdr:rowOff>
    </xdr:to>
    <xdr:sp macro="" textlink="">
      <xdr:nvSpPr>
        <xdr:cNvPr id="42" name="Rectángulo 41">
          <a:extLst>
            <a:ext uri="{FF2B5EF4-FFF2-40B4-BE49-F238E27FC236}">
              <a16:creationId xmlns:a16="http://schemas.microsoft.com/office/drawing/2014/main" id="{00000000-0008-0000-0300-00002A000000}"/>
            </a:ext>
          </a:extLst>
        </xdr:cNvPr>
        <xdr:cNvSpPr/>
      </xdr:nvSpPr>
      <xdr:spPr>
        <a:xfrm>
          <a:off x="15313269" y="5861538"/>
          <a:ext cx="2242039" cy="76932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0</xdr:colOff>
      <xdr:row>25</xdr:row>
      <xdr:rowOff>1</xdr:rowOff>
    </xdr:from>
    <xdr:to>
      <xdr:col>21</xdr:col>
      <xdr:colOff>0</xdr:colOff>
      <xdr:row>35</xdr:row>
      <xdr:rowOff>153865</xdr:rowOff>
    </xdr:to>
    <xdr:sp macro="" textlink="">
      <xdr:nvSpPr>
        <xdr:cNvPr id="43" name="Rectángulo 42">
          <a:extLst>
            <a:ext uri="{FF2B5EF4-FFF2-40B4-BE49-F238E27FC236}">
              <a16:creationId xmlns:a16="http://schemas.microsoft.com/office/drawing/2014/main" id="{00000000-0008-0000-0300-00002B000000}"/>
            </a:ext>
          </a:extLst>
        </xdr:cNvPr>
        <xdr:cNvSpPr/>
      </xdr:nvSpPr>
      <xdr:spPr>
        <a:xfrm>
          <a:off x="15313269" y="4169020"/>
          <a:ext cx="2242039" cy="1692518"/>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222738</xdr:colOff>
      <xdr:row>26</xdr:row>
      <xdr:rowOff>146538</xdr:rowOff>
    </xdr:from>
    <xdr:to>
      <xdr:col>20</xdr:col>
      <xdr:colOff>2083777</xdr:colOff>
      <xdr:row>27</xdr:row>
      <xdr:rowOff>0</xdr:rowOff>
    </xdr:to>
    <xdr:cxnSp macro="">
      <xdr:nvCxnSpPr>
        <xdr:cNvPr id="44" name="Conector recto 43">
          <a:extLst>
            <a:ext uri="{FF2B5EF4-FFF2-40B4-BE49-F238E27FC236}">
              <a16:creationId xmlns:a16="http://schemas.microsoft.com/office/drawing/2014/main" id="{00000000-0008-0000-0300-00002C000000}"/>
            </a:ext>
          </a:extLst>
        </xdr:cNvPr>
        <xdr:cNvCxnSpPr/>
      </xdr:nvCxnSpPr>
      <xdr:spPr>
        <a:xfrm>
          <a:off x="15536007" y="4469423"/>
          <a:ext cx="1861039" cy="7327"/>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89817</xdr:colOff>
      <xdr:row>36</xdr:row>
      <xdr:rowOff>76301</xdr:rowOff>
    </xdr:from>
    <xdr:to>
      <xdr:col>20</xdr:col>
      <xdr:colOff>2117986</xdr:colOff>
      <xdr:row>38</xdr:row>
      <xdr:rowOff>61647</xdr:rowOff>
    </xdr:to>
    <xdr:sp macro="" textlink="">
      <xdr:nvSpPr>
        <xdr:cNvPr id="45" name="CuadroTexto 44">
          <a:extLst>
            <a:ext uri="{FF2B5EF4-FFF2-40B4-BE49-F238E27FC236}">
              <a16:creationId xmlns:a16="http://schemas.microsoft.com/office/drawing/2014/main" id="{00000000-0008-0000-0300-00002D000000}"/>
            </a:ext>
          </a:extLst>
        </xdr:cNvPr>
        <xdr:cNvSpPr txBox="1"/>
      </xdr:nvSpPr>
      <xdr:spPr>
        <a:xfrm>
          <a:off x="15403086" y="5937839"/>
          <a:ext cx="2028169" cy="2930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20</xdr:col>
      <xdr:colOff>94744</xdr:colOff>
      <xdr:row>38</xdr:row>
      <xdr:rowOff>108438</xdr:rowOff>
    </xdr:from>
    <xdr:to>
      <xdr:col>20</xdr:col>
      <xdr:colOff>2131124</xdr:colOff>
      <xdr:row>40</xdr:row>
      <xdr:rowOff>93784</xdr:rowOff>
    </xdr:to>
    <xdr:sp macro="" textlink="">
      <xdr:nvSpPr>
        <xdr:cNvPr id="46" name="CuadroTexto 45">
          <a:extLst>
            <a:ext uri="{FF2B5EF4-FFF2-40B4-BE49-F238E27FC236}">
              <a16:creationId xmlns:a16="http://schemas.microsoft.com/office/drawing/2014/main" id="{00000000-0008-0000-0300-00002E000000}"/>
            </a:ext>
          </a:extLst>
        </xdr:cNvPr>
        <xdr:cNvSpPr txBox="1"/>
      </xdr:nvSpPr>
      <xdr:spPr>
        <a:xfrm>
          <a:off x="15408013" y="6277707"/>
          <a:ext cx="2036380" cy="2930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latin typeface="Arial Black" panose="020B0A04020102020204" pitchFamily="34" charset="0"/>
            </a:rPr>
            <a:t>#miniporrafebrero2024</a:t>
          </a:r>
        </a:p>
      </xdr:txBody>
    </xdr:sp>
    <xdr:clientData/>
  </xdr:twoCellAnchor>
  <xdr:twoCellAnchor editAs="oneCell">
    <xdr:from>
      <xdr:col>19</xdr:col>
      <xdr:colOff>168520</xdr:colOff>
      <xdr:row>29</xdr:row>
      <xdr:rowOff>80596</xdr:rowOff>
    </xdr:from>
    <xdr:to>
      <xdr:col>19</xdr:col>
      <xdr:colOff>742834</xdr:colOff>
      <xdr:row>36</xdr:row>
      <xdr:rowOff>43963</xdr:rowOff>
    </xdr:to>
    <xdr:pic>
      <xdr:nvPicPr>
        <xdr:cNvPr id="49" name="Imagen 48">
          <a:extLst>
            <a:ext uri="{FF2B5EF4-FFF2-40B4-BE49-F238E27FC236}">
              <a16:creationId xmlns:a16="http://schemas.microsoft.com/office/drawing/2014/main" id="{00000000-0008-0000-0300-000031000000}"/>
            </a:ext>
          </a:extLst>
        </xdr:cNvPr>
        <xdr:cNvPicPr>
          <a:picLocks noChangeAspect="1"/>
        </xdr:cNvPicPr>
      </xdr:nvPicPr>
      <xdr:blipFill>
        <a:blip xmlns:r="http://schemas.openxmlformats.org/officeDocument/2006/relationships" r:embed="rId6"/>
        <a:stretch>
          <a:fillRect/>
        </a:stretch>
      </xdr:blipFill>
      <xdr:spPr>
        <a:xfrm>
          <a:off x="14683155" y="4865077"/>
          <a:ext cx="574314" cy="1040424"/>
        </a:xfrm>
        <a:prstGeom prst="rect">
          <a:avLst/>
        </a:prstGeom>
      </xdr:spPr>
    </xdr:pic>
    <xdr:clientData/>
  </xdr:twoCellAnchor>
  <xdr:twoCellAnchor>
    <xdr:from>
      <xdr:col>20</xdr:col>
      <xdr:colOff>21981</xdr:colOff>
      <xdr:row>27</xdr:row>
      <xdr:rowOff>29308</xdr:rowOff>
    </xdr:from>
    <xdr:to>
      <xdr:col>20</xdr:col>
      <xdr:colOff>2220059</xdr:colOff>
      <xdr:row>36</xdr:row>
      <xdr:rowOff>21981</xdr:rowOff>
    </xdr:to>
    <xdr:graphicFrame macro="">
      <xdr:nvGraphicFramePr>
        <xdr:cNvPr id="17" name="Gráfico 16">
          <a:extLst>
            <a:ext uri="{FF2B5EF4-FFF2-40B4-BE49-F238E27FC236}">
              <a16:creationId xmlns:a16="http://schemas.microsoft.com/office/drawing/2014/main" id="{00000000-0008-0000-03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1641231</xdr:colOff>
      <xdr:row>27</xdr:row>
      <xdr:rowOff>146538</xdr:rowOff>
    </xdr:from>
    <xdr:to>
      <xdr:col>20</xdr:col>
      <xdr:colOff>2117481</xdr:colOff>
      <xdr:row>29</xdr:row>
      <xdr:rowOff>51288</xdr:rowOff>
    </xdr:to>
    <xdr:sp macro="" textlink="$B$3">
      <xdr:nvSpPr>
        <xdr:cNvPr id="14" name="CuadroTexto 13">
          <a:extLst>
            <a:ext uri="{FF2B5EF4-FFF2-40B4-BE49-F238E27FC236}">
              <a16:creationId xmlns:a16="http://schemas.microsoft.com/office/drawing/2014/main" id="{00000000-0008-0000-0300-00000E000000}"/>
            </a:ext>
          </a:extLst>
        </xdr:cNvPr>
        <xdr:cNvSpPr txBox="1"/>
      </xdr:nvSpPr>
      <xdr:spPr>
        <a:xfrm>
          <a:off x="17166981" y="4623288"/>
          <a:ext cx="476250" cy="212481"/>
        </a:xfrm>
        <a:prstGeom prst="rect">
          <a:avLst/>
        </a:prstGeom>
        <a:solidFill>
          <a:schemeClr val="bg1"/>
        </a:solidFill>
      </xdr:spPr>
      <xdr:txBody>
        <a:bodyPr vertOverflow="clip" horzOverflow="clip" wrap="none" rtlCol="0" anchor="ctr">
          <a:noAutofit/>
        </a:bodyPr>
        <a:lstStyle/>
        <a:p>
          <a:pPr marL="0" indent="0" algn="r"/>
          <a:fld id="{89DF1AA6-C53D-499D-9337-245AE3D8E07C}" type="TxLink">
            <a:rPr lang="en-US" sz="1200" b="1" i="0" u="none" strike="noStrike">
              <a:solidFill>
                <a:sysClr val="windowText" lastClr="000000"/>
              </a:solidFill>
              <a:latin typeface="Arial"/>
              <a:ea typeface="+mn-ea"/>
              <a:cs typeface="Arial"/>
            </a:rPr>
            <a:pPr marL="0" indent="0" algn="r"/>
            <a:t>40</a:t>
          </a:fld>
          <a:endParaRPr lang="es-ES" sz="1200" b="1" i="0" u="none" strike="noStrike">
            <a:solidFill>
              <a:sysClr val="windowText" lastClr="000000"/>
            </a:solidFill>
            <a:latin typeface="Arial"/>
            <a:ea typeface="+mn-ea"/>
            <a:cs typeface="Arial"/>
          </a:endParaRPr>
        </a:p>
      </xdr:txBody>
    </xdr:sp>
    <xdr:clientData/>
  </xdr:twoCellAnchor>
  <xdr:twoCellAnchor>
    <xdr:from>
      <xdr:col>16</xdr:col>
      <xdr:colOff>542193</xdr:colOff>
      <xdr:row>8</xdr:row>
      <xdr:rowOff>51289</xdr:rowOff>
    </xdr:from>
    <xdr:to>
      <xdr:col>18</xdr:col>
      <xdr:colOff>132198</xdr:colOff>
      <xdr:row>16</xdr:row>
      <xdr:rowOff>3664</xdr:rowOff>
    </xdr:to>
    <xdr:graphicFrame macro="">
      <xdr:nvGraphicFramePr>
        <xdr:cNvPr id="19" name="Gráfico 18">
          <a:extLst>
            <a:ext uri="{FF2B5EF4-FFF2-40B4-BE49-F238E27FC236}">
              <a16:creationId xmlns:a16="http://schemas.microsoft.com/office/drawing/2014/main" id="{00000000-0008-0000-0300-00001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twoCellAnchor>
  <xdr:twoCellAnchor>
    <xdr:from>
      <xdr:col>18</xdr:col>
      <xdr:colOff>65942</xdr:colOff>
      <xdr:row>8</xdr:row>
      <xdr:rowOff>43961</xdr:rowOff>
    </xdr:from>
    <xdr:to>
      <xdr:col>19</xdr:col>
      <xdr:colOff>80596</xdr:colOff>
      <xdr:row>14</xdr:row>
      <xdr:rowOff>139211</xdr:rowOff>
    </xdr:to>
    <xdr:graphicFrame macro="">
      <xdr:nvGraphicFramePr>
        <xdr:cNvPr id="40" name="Gráfico 39">
          <a:extLst>
            <a:ext uri="{FF2B5EF4-FFF2-40B4-BE49-F238E27FC236}">
              <a16:creationId xmlns:a16="http://schemas.microsoft.com/office/drawing/2014/main" id="{00000000-0008-0000-03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xdr:from>
      <xdr:col>19</xdr:col>
      <xdr:colOff>29309</xdr:colOff>
      <xdr:row>8</xdr:row>
      <xdr:rowOff>95250</xdr:rowOff>
    </xdr:from>
    <xdr:to>
      <xdr:col>19</xdr:col>
      <xdr:colOff>763005</xdr:colOff>
      <xdr:row>14</xdr:row>
      <xdr:rowOff>116967</xdr:rowOff>
    </xdr:to>
    <xdr:graphicFrame macro="">
      <xdr:nvGraphicFramePr>
        <xdr:cNvPr id="47" name="Gráfico 46">
          <a:extLst>
            <a:ext uri="{FF2B5EF4-FFF2-40B4-BE49-F238E27FC236}">
              <a16:creationId xmlns:a16="http://schemas.microsoft.com/office/drawing/2014/main" id="{00000000-0008-0000-0300-00002F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twoCellAnchor>
  <xdr:twoCellAnchor editAs="oneCell">
    <xdr:from>
      <xdr:col>20</xdr:col>
      <xdr:colOff>1406769</xdr:colOff>
      <xdr:row>27</xdr:row>
      <xdr:rowOff>14653</xdr:rowOff>
    </xdr:from>
    <xdr:to>
      <xdr:col>21</xdr:col>
      <xdr:colOff>629584</xdr:colOff>
      <xdr:row>28</xdr:row>
      <xdr:rowOff>13201</xdr:rowOff>
    </xdr:to>
    <xdr:pic>
      <xdr:nvPicPr>
        <xdr:cNvPr id="48" name="Imagen 47">
          <a:extLst>
            <a:ext uri="{FF2B5EF4-FFF2-40B4-BE49-F238E27FC236}">
              <a16:creationId xmlns:a16="http://schemas.microsoft.com/office/drawing/2014/main" id="{00000000-0008-0000-0300-000030000000}"/>
            </a:ext>
          </a:extLst>
        </xdr:cNvPr>
        <xdr:cNvPicPr>
          <a:picLocks noChangeAspect="1"/>
        </xdr:cNvPicPr>
      </xdr:nvPicPr>
      <xdr:blipFill>
        <a:blip xmlns:r="http://schemas.openxmlformats.org/officeDocument/2006/relationships" r:embed="rId11"/>
        <a:stretch>
          <a:fillRect/>
        </a:stretch>
      </xdr:blipFill>
      <xdr:spPr>
        <a:xfrm>
          <a:off x="16932519" y="4491403"/>
          <a:ext cx="632515" cy="152413"/>
        </a:xfrm>
        <a:prstGeom prst="rect">
          <a:avLst/>
        </a:prstGeom>
      </xdr:spPr>
    </xdr:pic>
    <xdr:clientData/>
  </xdr:twoCellAnchor>
  <xdr:twoCellAnchor editAs="oneCell">
    <xdr:from>
      <xdr:col>17</xdr:col>
      <xdr:colOff>21981</xdr:colOff>
      <xdr:row>29</xdr:row>
      <xdr:rowOff>114761</xdr:rowOff>
    </xdr:from>
    <xdr:to>
      <xdr:col>19</xdr:col>
      <xdr:colOff>70490</xdr:colOff>
      <xdr:row>40</xdr:row>
      <xdr:rowOff>72232</xdr:rowOff>
    </xdr:to>
    <xdr:pic>
      <xdr:nvPicPr>
        <xdr:cNvPr id="50" name="Imagen 49">
          <a:extLst>
            <a:ext uri="{FF2B5EF4-FFF2-40B4-BE49-F238E27FC236}">
              <a16:creationId xmlns:a16="http://schemas.microsoft.com/office/drawing/2014/main" id="{00000000-0008-0000-0300-000032000000}"/>
            </a:ext>
          </a:extLst>
        </xdr:cNvPr>
        <xdr:cNvPicPr>
          <a:picLocks noChangeAspect="1"/>
        </xdr:cNvPicPr>
      </xdr:nvPicPr>
      <xdr:blipFill>
        <a:blip xmlns:r="http://schemas.openxmlformats.org/officeDocument/2006/relationships" r:embed="rId12"/>
        <a:stretch>
          <a:fillRect/>
        </a:stretch>
      </xdr:blipFill>
      <xdr:spPr>
        <a:xfrm>
          <a:off x="13225096" y="4899242"/>
          <a:ext cx="1611923" cy="164999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19</xdr:col>
      <xdr:colOff>747345</xdr:colOff>
      <xdr:row>6</xdr:row>
      <xdr:rowOff>29308</xdr:rowOff>
    </xdr:from>
    <xdr:to>
      <xdr:col>21</xdr:col>
      <xdr:colOff>58615</xdr:colOff>
      <xdr:row>14</xdr:row>
      <xdr:rowOff>51288</xdr:rowOff>
    </xdr:to>
    <xdr:graphicFrame macro="">
      <xdr:nvGraphicFramePr>
        <xdr:cNvPr id="2" name="Gráfico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5953</xdr:colOff>
      <xdr:row>12</xdr:row>
      <xdr:rowOff>11906</xdr:rowOff>
    </xdr:from>
    <xdr:to>
      <xdr:col>20</xdr:col>
      <xdr:colOff>0</xdr:colOff>
      <xdr:row>14</xdr:row>
      <xdr:rowOff>154781</xdr:rowOff>
    </xdr:to>
    <xdr:sp macro="" textlink="">
      <xdr:nvSpPr>
        <xdr:cNvPr id="3" name="CuadroTexto 2">
          <a:extLst>
            <a:ext uri="{FF2B5EF4-FFF2-40B4-BE49-F238E27FC236}">
              <a16:creationId xmlns:a16="http://schemas.microsoft.com/office/drawing/2014/main" id="{00000000-0008-0000-0400-000003000000}"/>
            </a:ext>
          </a:extLst>
        </xdr:cNvPr>
        <xdr:cNvSpPr txBox="1"/>
      </xdr:nvSpPr>
      <xdr:spPr>
        <a:xfrm>
          <a:off x="13198078" y="2164556"/>
          <a:ext cx="2318147" cy="44767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Precio horario medio marcado por las principales tecnologías (€/MWh)</a:t>
          </a:r>
        </a:p>
      </xdr:txBody>
    </xdr:sp>
    <xdr:clientData/>
  </xdr:twoCellAnchor>
  <mc:AlternateContent xmlns:mc="http://schemas.openxmlformats.org/markup-compatibility/2006">
    <mc:Choice xmlns:a14="http://schemas.microsoft.com/office/drawing/2010/main" Requires="a14">
      <xdr:twoCellAnchor>
        <xdr:from>
          <xdr:col>3</xdr:col>
          <xdr:colOff>628650</xdr:colOff>
          <xdr:row>0</xdr:row>
          <xdr:rowOff>0</xdr:rowOff>
        </xdr:from>
        <xdr:to>
          <xdr:col>4</xdr:col>
          <xdr:colOff>0</xdr:colOff>
          <xdr:row>3</xdr:row>
          <xdr:rowOff>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9525</xdr:rowOff>
        </xdr:from>
        <xdr:to>
          <xdr:col>6</xdr:col>
          <xdr:colOff>0</xdr:colOff>
          <xdr:row>3</xdr:row>
          <xdr:rowOff>0</xdr:rowOff>
        </xdr:to>
        <xdr:sp macro="" textlink="">
          <xdr:nvSpPr>
            <xdr:cNvPr id="14338" name="Spinner 2" hidden="1">
              <a:extLst>
                <a:ext uri="{63B3BB69-23CF-44E3-9099-C40C66FF867C}">
                  <a14:compatExt spid="_x0000_s14338"/>
                </a:ext>
                <a:ext uri="{FF2B5EF4-FFF2-40B4-BE49-F238E27FC236}">
                  <a16:creationId xmlns:a16="http://schemas.microsoft.com/office/drawing/2014/main" id="{00000000-0008-0000-0400-0000023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17</xdr:col>
      <xdr:colOff>0</xdr:colOff>
      <xdr:row>5</xdr:row>
      <xdr:rowOff>1</xdr:rowOff>
    </xdr:from>
    <xdr:to>
      <xdr:col>20</xdr:col>
      <xdr:colOff>0</xdr:colOff>
      <xdr:row>6</xdr:row>
      <xdr:rowOff>14655</xdr:rowOff>
    </xdr:to>
    <xdr:sp macro="" textlink="">
      <xdr:nvSpPr>
        <xdr:cNvPr id="4" name="CuadroTexto 3">
          <a:extLst>
            <a:ext uri="{FF2B5EF4-FFF2-40B4-BE49-F238E27FC236}">
              <a16:creationId xmlns:a16="http://schemas.microsoft.com/office/drawing/2014/main" id="{00000000-0008-0000-0400-000004000000}"/>
            </a:ext>
          </a:extLst>
        </xdr:cNvPr>
        <xdr:cNvSpPr txBox="1"/>
      </xdr:nvSpPr>
      <xdr:spPr>
        <a:xfrm>
          <a:off x="13430250" y="769328"/>
          <a:ext cx="2322635" cy="446942"/>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marcadas</a:t>
          </a:r>
          <a:r>
            <a:rPr lang="es-ES" sz="1200" baseline="0">
              <a:latin typeface="Arial Narrow" panose="020B0606020202030204" pitchFamily="34" charset="0"/>
            </a:rPr>
            <a:t> por las principales tecnologías (%)</a:t>
          </a:r>
          <a:endParaRPr lang="es-ES" sz="1200">
            <a:latin typeface="Arial Narrow" panose="020B0606020202030204" pitchFamily="34" charset="0"/>
          </a:endParaRPr>
        </a:p>
      </xdr:txBody>
    </xdr:sp>
    <xdr:clientData/>
  </xdr:twoCellAnchor>
  <xdr:twoCellAnchor>
    <xdr:from>
      <xdr:col>17</xdr:col>
      <xdr:colOff>0</xdr:colOff>
      <xdr:row>11</xdr:row>
      <xdr:rowOff>153864</xdr:rowOff>
    </xdr:from>
    <xdr:to>
      <xdr:col>20</xdr:col>
      <xdr:colOff>0</xdr:colOff>
      <xdr:row>26</xdr:row>
      <xdr:rowOff>0</xdr:rowOff>
    </xdr:to>
    <xdr:sp macro="" textlink="">
      <xdr:nvSpPr>
        <xdr:cNvPr id="5" name="Rectángulo 4">
          <a:extLst>
            <a:ext uri="{FF2B5EF4-FFF2-40B4-BE49-F238E27FC236}">
              <a16:creationId xmlns:a16="http://schemas.microsoft.com/office/drawing/2014/main" id="{00000000-0008-0000-0400-000005000000}"/>
            </a:ext>
          </a:extLst>
        </xdr:cNvPr>
        <xdr:cNvSpPr/>
      </xdr:nvSpPr>
      <xdr:spPr>
        <a:xfrm>
          <a:off x="13192125" y="2154114"/>
          <a:ext cx="2324100" cy="213213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16</xdr:col>
      <xdr:colOff>0</xdr:colOff>
      <xdr:row>0</xdr:row>
      <xdr:rowOff>1</xdr:rowOff>
    </xdr:from>
    <xdr:to>
      <xdr:col>19</xdr:col>
      <xdr:colOff>0</xdr:colOff>
      <xdr:row>5</xdr:row>
      <xdr:rowOff>1</xdr:rowOff>
    </xdr:to>
    <xdr:sp macro="" textlink="">
      <xdr:nvSpPr>
        <xdr:cNvPr id="6" name="Rectángulo 5">
          <a:extLst>
            <a:ext uri="{FF2B5EF4-FFF2-40B4-BE49-F238E27FC236}">
              <a16:creationId xmlns:a16="http://schemas.microsoft.com/office/drawing/2014/main" id="{00000000-0008-0000-0400-000006000000}"/>
            </a:ext>
          </a:extLst>
        </xdr:cNvPr>
        <xdr:cNvSpPr/>
      </xdr:nvSpPr>
      <xdr:spPr>
        <a:xfrm>
          <a:off x="13192125" y="1"/>
          <a:ext cx="23241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xdr:col>
      <xdr:colOff>0</xdr:colOff>
      <xdr:row>0</xdr:row>
      <xdr:rowOff>0</xdr:rowOff>
    </xdr:from>
    <xdr:to>
      <xdr:col>11</xdr:col>
      <xdr:colOff>0</xdr:colOff>
      <xdr:row>5</xdr:row>
      <xdr:rowOff>0</xdr:rowOff>
    </xdr:to>
    <xdr:sp macro="" textlink="">
      <xdr:nvSpPr>
        <xdr:cNvPr id="7" name="Rectángulo 6">
          <a:extLst>
            <a:ext uri="{FF2B5EF4-FFF2-40B4-BE49-F238E27FC236}">
              <a16:creationId xmlns:a16="http://schemas.microsoft.com/office/drawing/2014/main" id="{00000000-0008-0000-0400-000007000000}"/>
            </a:ext>
          </a:extLst>
        </xdr:cNvPr>
        <xdr:cNvSpPr/>
      </xdr:nvSpPr>
      <xdr:spPr>
        <a:xfrm>
          <a:off x="7038975" y="0"/>
          <a:ext cx="263842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1</xdr:colOff>
      <xdr:row>0</xdr:row>
      <xdr:rowOff>0</xdr:rowOff>
    </xdr:from>
    <xdr:to>
      <xdr:col>14</xdr:col>
      <xdr:colOff>1</xdr:colOff>
      <xdr:row>5</xdr:row>
      <xdr:rowOff>0</xdr:rowOff>
    </xdr:to>
    <xdr:sp macro="" textlink="">
      <xdr:nvSpPr>
        <xdr:cNvPr id="8" name="Rectángulo 7">
          <a:extLst>
            <a:ext uri="{FF2B5EF4-FFF2-40B4-BE49-F238E27FC236}">
              <a16:creationId xmlns:a16="http://schemas.microsoft.com/office/drawing/2014/main" id="{00000000-0008-0000-0400-000008000000}"/>
            </a:ext>
          </a:extLst>
        </xdr:cNvPr>
        <xdr:cNvSpPr/>
      </xdr:nvSpPr>
      <xdr:spPr>
        <a:xfrm>
          <a:off x="9677401" y="0"/>
          <a:ext cx="22860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107156</xdr:colOff>
      <xdr:row>6</xdr:row>
      <xdr:rowOff>0</xdr:rowOff>
    </xdr:from>
    <xdr:to>
      <xdr:col>19</xdr:col>
      <xdr:colOff>684609</xdr:colOff>
      <xdr:row>6</xdr:row>
      <xdr:rowOff>0</xdr:rowOff>
    </xdr:to>
    <xdr:cxnSp macro="">
      <xdr:nvCxnSpPr>
        <xdr:cNvPr id="9" name="Conector recto 8">
          <a:extLst>
            <a:ext uri="{FF2B5EF4-FFF2-40B4-BE49-F238E27FC236}">
              <a16:creationId xmlns:a16="http://schemas.microsoft.com/office/drawing/2014/main" id="{00000000-0008-0000-0400-000009000000}"/>
            </a:ext>
          </a:extLst>
        </xdr:cNvPr>
        <xdr:cNvCxnSpPr/>
      </xdr:nvCxnSpPr>
      <xdr:spPr>
        <a:xfrm>
          <a:off x="13299281" y="1228725"/>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80962</xdr:colOff>
      <xdr:row>14</xdr:row>
      <xdr:rowOff>152400</xdr:rowOff>
    </xdr:from>
    <xdr:to>
      <xdr:col>19</xdr:col>
      <xdr:colOff>658415</xdr:colOff>
      <xdr:row>14</xdr:row>
      <xdr:rowOff>152400</xdr:rowOff>
    </xdr:to>
    <xdr:cxnSp macro="">
      <xdr:nvCxnSpPr>
        <xdr:cNvPr id="10" name="Conector recto 9">
          <a:extLst>
            <a:ext uri="{FF2B5EF4-FFF2-40B4-BE49-F238E27FC236}">
              <a16:creationId xmlns:a16="http://schemas.microsoft.com/office/drawing/2014/main" id="{00000000-0008-0000-0400-00000A000000}"/>
            </a:ext>
          </a:extLst>
        </xdr:cNvPr>
        <xdr:cNvCxnSpPr/>
      </xdr:nvCxnSpPr>
      <xdr:spPr>
        <a:xfrm>
          <a:off x="13273087" y="2609850"/>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26</xdr:row>
      <xdr:rowOff>10990</xdr:rowOff>
    </xdr:from>
    <xdr:to>
      <xdr:col>19</xdr:col>
      <xdr:colOff>792682</xdr:colOff>
      <xdr:row>29</xdr:row>
      <xdr:rowOff>0</xdr:rowOff>
    </xdr:to>
    <xdr:sp macro="" textlink="">
      <xdr:nvSpPr>
        <xdr:cNvPr id="11" name="CuadroTexto 10">
          <a:extLst>
            <a:ext uri="{FF2B5EF4-FFF2-40B4-BE49-F238E27FC236}">
              <a16:creationId xmlns:a16="http://schemas.microsoft.com/office/drawing/2014/main" id="{00000000-0008-0000-0400-00000B000000}"/>
            </a:ext>
          </a:extLst>
        </xdr:cNvPr>
        <xdr:cNvSpPr txBox="1"/>
      </xdr:nvSpPr>
      <xdr:spPr>
        <a:xfrm>
          <a:off x="13192125" y="4297240"/>
          <a:ext cx="2316682" cy="44621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a:t>
          </a:r>
          <a:br>
            <a:rPr lang="es-ES" sz="1200" baseline="0">
              <a:latin typeface="Arial Narrow" panose="020B0606020202030204" pitchFamily="34" charset="0"/>
            </a:rPr>
          </a:br>
          <a:r>
            <a:rPr lang="es-ES" sz="1200" baseline="0">
              <a:latin typeface="Arial Narrow" panose="020B0606020202030204" pitchFamily="34" charset="0"/>
            </a:rPr>
            <a:t>(%)</a:t>
          </a:r>
          <a:endParaRPr lang="es-ES" sz="1200">
            <a:latin typeface="Arial Narrow" panose="020B0606020202030204" pitchFamily="34" charset="0"/>
          </a:endParaRPr>
        </a:p>
      </xdr:txBody>
    </xdr:sp>
    <xdr:clientData/>
  </xdr:twoCellAnchor>
  <xdr:twoCellAnchor>
    <xdr:from>
      <xdr:col>16</xdr:col>
      <xdr:colOff>0</xdr:colOff>
      <xdr:row>26</xdr:row>
      <xdr:rowOff>0</xdr:rowOff>
    </xdr:from>
    <xdr:to>
      <xdr:col>19</xdr:col>
      <xdr:colOff>0</xdr:colOff>
      <xdr:row>41</xdr:row>
      <xdr:rowOff>0</xdr:rowOff>
    </xdr:to>
    <xdr:sp macro="" textlink="">
      <xdr:nvSpPr>
        <xdr:cNvPr id="12" name="Rectángulo 11">
          <a:extLst>
            <a:ext uri="{FF2B5EF4-FFF2-40B4-BE49-F238E27FC236}">
              <a16:creationId xmlns:a16="http://schemas.microsoft.com/office/drawing/2014/main" id="{00000000-0008-0000-0400-00000C000000}"/>
            </a:ext>
          </a:extLst>
        </xdr:cNvPr>
        <xdr:cNvSpPr/>
      </xdr:nvSpPr>
      <xdr:spPr>
        <a:xfrm>
          <a:off x="13192125" y="4286250"/>
          <a:ext cx="2324100" cy="2286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72170</xdr:colOff>
      <xdr:row>29</xdr:row>
      <xdr:rowOff>10349</xdr:rowOff>
    </xdr:from>
    <xdr:to>
      <xdr:col>19</xdr:col>
      <xdr:colOff>649623</xdr:colOff>
      <xdr:row>29</xdr:row>
      <xdr:rowOff>10349</xdr:rowOff>
    </xdr:to>
    <xdr:cxnSp macro="">
      <xdr:nvCxnSpPr>
        <xdr:cNvPr id="13" name="Conector recto 12">
          <a:extLst>
            <a:ext uri="{FF2B5EF4-FFF2-40B4-BE49-F238E27FC236}">
              <a16:creationId xmlns:a16="http://schemas.microsoft.com/office/drawing/2014/main" id="{00000000-0008-0000-0400-00000D000000}"/>
            </a:ext>
          </a:extLst>
        </xdr:cNvPr>
        <xdr:cNvCxnSpPr/>
      </xdr:nvCxnSpPr>
      <xdr:spPr>
        <a:xfrm>
          <a:off x="13264295" y="4753799"/>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117229</xdr:colOff>
      <xdr:row>6</xdr:row>
      <xdr:rowOff>153864</xdr:rowOff>
    </xdr:from>
    <xdr:to>
      <xdr:col>19</xdr:col>
      <xdr:colOff>29307</xdr:colOff>
      <xdr:row>8</xdr:row>
      <xdr:rowOff>131883</xdr:rowOff>
    </xdr:to>
    <xdr:sp macro="" textlink="[1]omie_dinamic_dia!$K$6">
      <xdr:nvSpPr>
        <xdr:cNvPr id="14" name="CuadroTexto 1">
          <a:extLst>
            <a:ext uri="{FF2B5EF4-FFF2-40B4-BE49-F238E27FC236}">
              <a16:creationId xmlns:a16="http://schemas.microsoft.com/office/drawing/2014/main" id="{00000000-0008-0000-0400-00000E000000}"/>
            </a:ext>
          </a:extLst>
        </xdr:cNvPr>
        <xdr:cNvSpPr txBox="1"/>
      </xdr:nvSpPr>
      <xdr:spPr>
        <a:xfrm>
          <a:off x="14071354" y="1382589"/>
          <a:ext cx="674078" cy="29234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5F058528-BE17-476D-A9E3-52C422B0B3CF}" type="TxLink">
            <a:rPr lang="en-US" sz="1200" b="1" i="0" u="none" strike="noStrike">
              <a:solidFill>
                <a:schemeClr val="accent2"/>
              </a:solidFill>
              <a:latin typeface="Arial"/>
              <a:ea typeface="+mn-ea"/>
              <a:cs typeface="Arial"/>
            </a:rPr>
            <a:pPr marL="0" indent="0" algn="ctr"/>
            <a:t>2,5%</a:t>
          </a:fld>
          <a:endParaRPr lang="es-ES" sz="1200" b="1" i="0" u="none" strike="noStrike">
            <a:solidFill>
              <a:schemeClr val="accent2"/>
            </a:solidFill>
            <a:latin typeface="Arial"/>
            <a:ea typeface="+mn-ea"/>
            <a:cs typeface="Arial"/>
          </a:endParaRPr>
        </a:p>
      </xdr:txBody>
    </xdr:sp>
    <xdr:clientData/>
  </xdr:twoCellAnchor>
  <xdr:twoCellAnchor editAs="oneCell">
    <xdr:from>
      <xdr:col>17</xdr:col>
      <xdr:colOff>65944</xdr:colOff>
      <xdr:row>6</xdr:row>
      <xdr:rowOff>51289</xdr:rowOff>
    </xdr:from>
    <xdr:to>
      <xdr:col>19</xdr:col>
      <xdr:colOff>700607</xdr:colOff>
      <xdr:row>7</xdr:row>
      <xdr:rowOff>60893</xdr:rowOff>
    </xdr:to>
    <xdr:pic>
      <xdr:nvPicPr>
        <xdr:cNvPr id="15" name="Imagen 14">
          <a:extLst>
            <a:ext uri="{FF2B5EF4-FFF2-40B4-BE49-F238E27FC236}">
              <a16:creationId xmlns:a16="http://schemas.microsoft.com/office/drawing/2014/main" id="{00000000-0008-0000-0400-00000F000000}"/>
            </a:ext>
          </a:extLst>
        </xdr:cNvPr>
        <xdr:cNvPicPr>
          <a:picLocks noChangeAspect="1"/>
        </xdr:cNvPicPr>
      </xdr:nvPicPr>
      <xdr:blipFill>
        <a:blip xmlns:r="http://schemas.openxmlformats.org/officeDocument/2006/relationships" r:embed="rId2"/>
        <a:stretch>
          <a:fillRect/>
        </a:stretch>
      </xdr:blipFill>
      <xdr:spPr>
        <a:xfrm>
          <a:off x="13258069" y="1280014"/>
          <a:ext cx="2198076" cy="171529"/>
        </a:xfrm>
        <a:prstGeom prst="rect">
          <a:avLst/>
        </a:prstGeom>
      </xdr:spPr>
    </xdr:pic>
    <xdr:clientData/>
  </xdr:twoCellAnchor>
  <xdr:twoCellAnchor>
    <xdr:from>
      <xdr:col>17</xdr:col>
      <xdr:colOff>86457</xdr:colOff>
      <xdr:row>6</xdr:row>
      <xdr:rowOff>152399</xdr:rowOff>
    </xdr:from>
    <xdr:to>
      <xdr:col>17</xdr:col>
      <xdr:colOff>760535</xdr:colOff>
      <xdr:row>8</xdr:row>
      <xdr:rowOff>130418</xdr:rowOff>
    </xdr:to>
    <xdr:sp macro="" textlink="[1]omie_dinamic_dia!$I$6">
      <xdr:nvSpPr>
        <xdr:cNvPr id="16" name="CuadroTexto 1">
          <a:extLst>
            <a:ext uri="{FF2B5EF4-FFF2-40B4-BE49-F238E27FC236}">
              <a16:creationId xmlns:a16="http://schemas.microsoft.com/office/drawing/2014/main" id="{00000000-0008-0000-0400-000010000000}"/>
            </a:ext>
          </a:extLst>
        </xdr:cNvPr>
        <xdr:cNvSpPr txBox="1"/>
      </xdr:nvSpPr>
      <xdr:spPr>
        <a:xfrm>
          <a:off x="13278582" y="1381124"/>
          <a:ext cx="674078" cy="29234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4627F6AA-9CD2-4938-899E-947A01933C91}" type="TxLink">
            <a:rPr lang="en-US" sz="1200" b="1" i="0" u="none" strike="noStrike">
              <a:solidFill>
                <a:schemeClr val="accent6"/>
              </a:solidFill>
              <a:latin typeface="Arial"/>
              <a:ea typeface="+mn-ea"/>
              <a:cs typeface="Arial"/>
            </a:rPr>
            <a:pPr marL="0" indent="0" algn="ctr"/>
            <a:t>38,8%</a:t>
          </a:fld>
          <a:endParaRPr lang="es-ES" sz="1200" b="1" i="0" u="none" strike="noStrike">
            <a:solidFill>
              <a:schemeClr val="accent6"/>
            </a:solidFill>
            <a:latin typeface="Arial"/>
            <a:ea typeface="+mn-ea"/>
            <a:cs typeface="Arial"/>
          </a:endParaRPr>
        </a:p>
      </xdr:txBody>
    </xdr:sp>
    <xdr:clientData/>
  </xdr:twoCellAnchor>
  <xdr:twoCellAnchor>
    <xdr:from>
      <xdr:col>19</xdr:col>
      <xdr:colOff>79129</xdr:colOff>
      <xdr:row>6</xdr:row>
      <xdr:rowOff>152398</xdr:rowOff>
    </xdr:from>
    <xdr:to>
      <xdr:col>19</xdr:col>
      <xdr:colOff>732692</xdr:colOff>
      <xdr:row>8</xdr:row>
      <xdr:rowOff>124557</xdr:rowOff>
    </xdr:to>
    <xdr:sp macro="" textlink="[1]omie_dinamic_dia!$M$6">
      <xdr:nvSpPr>
        <xdr:cNvPr id="17" name="CuadroTexto 1">
          <a:extLst>
            <a:ext uri="{FF2B5EF4-FFF2-40B4-BE49-F238E27FC236}">
              <a16:creationId xmlns:a16="http://schemas.microsoft.com/office/drawing/2014/main" id="{00000000-0008-0000-0400-000011000000}"/>
            </a:ext>
          </a:extLst>
        </xdr:cNvPr>
        <xdr:cNvSpPr txBox="1"/>
      </xdr:nvSpPr>
      <xdr:spPr>
        <a:xfrm>
          <a:off x="14795254" y="1381123"/>
          <a:ext cx="653563" cy="28648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F09DA1D6-99D8-4D0E-A38A-6381D565D981}" type="TxLink">
            <a:rPr lang="en-US" sz="1200" b="1" i="0" u="none" strike="noStrike">
              <a:solidFill>
                <a:schemeClr val="accent1"/>
              </a:solidFill>
              <a:latin typeface="Arial"/>
              <a:ea typeface="+mn-ea"/>
              <a:cs typeface="Arial"/>
            </a:rPr>
            <a:pPr marL="0" indent="0" algn="ctr"/>
            <a:t>37,5%</a:t>
          </a:fld>
          <a:endParaRPr lang="es-ES" sz="1200" b="1" i="0" u="none" strike="noStrike">
            <a:solidFill>
              <a:schemeClr val="accent1"/>
            </a:solidFill>
            <a:latin typeface="Arial"/>
            <a:ea typeface="+mn-ea"/>
            <a:cs typeface="Arial"/>
          </a:endParaRPr>
        </a:p>
      </xdr:txBody>
    </xdr:sp>
    <xdr:clientData/>
  </xdr:twoCellAnchor>
  <xdr:oneCellAnchor>
    <xdr:from>
      <xdr:col>17</xdr:col>
      <xdr:colOff>129577</xdr:colOff>
      <xdr:row>16</xdr:row>
      <xdr:rowOff>16294</xdr:rowOff>
    </xdr:from>
    <xdr:ext cx="569836" cy="269369"/>
    <xdr:sp macro="" textlink="[1]curva_precios_tec_2024!$V$2">
      <xdr:nvSpPr>
        <xdr:cNvPr id="18" name="CuadroTexto 1">
          <a:extLst>
            <a:ext uri="{FF2B5EF4-FFF2-40B4-BE49-F238E27FC236}">
              <a16:creationId xmlns:a16="http://schemas.microsoft.com/office/drawing/2014/main" id="{00000000-0008-0000-0400-000012000000}"/>
            </a:ext>
          </a:extLst>
        </xdr:cNvPr>
        <xdr:cNvSpPr txBox="1"/>
      </xdr:nvSpPr>
      <xdr:spPr>
        <a:xfrm>
          <a:off x="12400405" y="2611035"/>
          <a:ext cx="56983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5CB5AD5-F300-4BB2-BA29-A82CA49DD408}" type="TxLink">
            <a:rPr lang="en-US" sz="1200" b="1" i="0" u="none" strike="noStrike">
              <a:solidFill>
                <a:schemeClr val="accent6"/>
              </a:solidFill>
              <a:latin typeface="Arial"/>
              <a:ea typeface="+mn-ea"/>
              <a:cs typeface="Arial"/>
            </a:rPr>
            <a:pPr marL="0" indent="0" algn="r"/>
            <a:t>23,08</a:t>
          </a:fld>
          <a:endParaRPr lang="es-ES" sz="1200" b="1" i="0" u="none" strike="noStrike">
            <a:solidFill>
              <a:schemeClr val="accent6"/>
            </a:solidFill>
            <a:latin typeface="Arial"/>
            <a:ea typeface="+mn-ea"/>
            <a:cs typeface="Arial"/>
          </a:endParaRPr>
        </a:p>
      </xdr:txBody>
    </xdr:sp>
    <xdr:clientData/>
  </xdr:oneCellAnchor>
  <xdr:oneCellAnchor>
    <xdr:from>
      <xdr:col>17</xdr:col>
      <xdr:colOff>760550</xdr:colOff>
      <xdr:row>16</xdr:row>
      <xdr:rowOff>22155</xdr:rowOff>
    </xdr:from>
    <xdr:ext cx="655436" cy="269369"/>
    <xdr:sp macro="" textlink="[1]curva_precios_tec_2024!$W$2">
      <xdr:nvSpPr>
        <xdr:cNvPr id="19" name="CuadroTexto 1">
          <a:extLst>
            <a:ext uri="{FF2B5EF4-FFF2-40B4-BE49-F238E27FC236}">
              <a16:creationId xmlns:a16="http://schemas.microsoft.com/office/drawing/2014/main" id="{00000000-0008-0000-0400-000013000000}"/>
            </a:ext>
          </a:extLst>
        </xdr:cNvPr>
        <xdr:cNvSpPr txBox="1"/>
      </xdr:nvSpPr>
      <xdr:spPr>
        <a:xfrm>
          <a:off x="14535671" y="2616896"/>
          <a:ext cx="65543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BE2D409-6E2D-4FF7-B74B-12A1A656BBE8}" type="TxLink">
            <a:rPr lang="en-US" sz="1200" b="1" i="0" u="none" strike="noStrike">
              <a:solidFill>
                <a:schemeClr val="accent2"/>
              </a:solidFill>
              <a:latin typeface="Arial"/>
              <a:ea typeface="+mn-ea"/>
              <a:cs typeface="Arial"/>
            </a:rPr>
            <a:pPr marL="0" indent="0" algn="r"/>
            <a:t>128,61</a:t>
          </a:fld>
          <a:endParaRPr lang="es-ES" sz="1200" b="1" i="0" u="none" strike="noStrike">
            <a:solidFill>
              <a:schemeClr val="accent2"/>
            </a:solidFill>
            <a:latin typeface="Arial"/>
            <a:ea typeface="+mn-ea"/>
            <a:cs typeface="Arial"/>
          </a:endParaRPr>
        </a:p>
      </xdr:txBody>
    </xdr:sp>
    <xdr:clientData/>
  </xdr:oneCellAnchor>
  <xdr:oneCellAnchor>
    <xdr:from>
      <xdr:col>19</xdr:col>
      <xdr:colOff>10879</xdr:colOff>
      <xdr:row>16</xdr:row>
      <xdr:rowOff>14829</xdr:rowOff>
    </xdr:from>
    <xdr:ext cx="569836" cy="269369"/>
    <xdr:sp macro="" textlink="[1]curva_precios_tec_2024!$X$2">
      <xdr:nvSpPr>
        <xdr:cNvPr id="20" name="CuadroTexto 1">
          <a:extLst>
            <a:ext uri="{FF2B5EF4-FFF2-40B4-BE49-F238E27FC236}">
              <a16:creationId xmlns:a16="http://schemas.microsoft.com/office/drawing/2014/main" id="{00000000-0008-0000-0400-000014000000}"/>
            </a:ext>
          </a:extLst>
        </xdr:cNvPr>
        <xdr:cNvSpPr txBox="1"/>
      </xdr:nvSpPr>
      <xdr:spPr>
        <a:xfrm>
          <a:off x="15349413" y="2609570"/>
          <a:ext cx="56983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693FD3DD-EB52-4EA4-B4F6-2FF9279FA19A}" type="TxLink">
            <a:rPr lang="en-US" sz="1200" b="1" i="0" u="none" strike="noStrike">
              <a:solidFill>
                <a:schemeClr val="accent1"/>
              </a:solidFill>
              <a:latin typeface="Arial"/>
              <a:ea typeface="+mn-ea"/>
              <a:cs typeface="Arial"/>
            </a:rPr>
            <a:pPr marL="0" indent="0" algn="r"/>
            <a:t>75,78</a:t>
          </a:fld>
          <a:endParaRPr lang="es-ES" sz="1200" b="1" i="0" u="none" strike="noStrike">
            <a:solidFill>
              <a:schemeClr val="accent1"/>
            </a:solidFill>
            <a:latin typeface="Arial"/>
            <a:ea typeface="+mn-ea"/>
            <a:cs typeface="Arial"/>
          </a:endParaRPr>
        </a:p>
      </xdr:txBody>
    </xdr:sp>
    <xdr:clientData/>
  </xdr:oneCellAnchor>
  <xdr:twoCellAnchor editAs="oneCell">
    <xdr:from>
      <xdr:col>17</xdr:col>
      <xdr:colOff>183174</xdr:colOff>
      <xdr:row>15</xdr:row>
      <xdr:rowOff>65943</xdr:rowOff>
    </xdr:from>
    <xdr:to>
      <xdr:col>19</xdr:col>
      <xdr:colOff>488126</xdr:colOff>
      <xdr:row>16</xdr:row>
      <xdr:rowOff>46600</xdr:rowOff>
    </xdr:to>
    <xdr:pic>
      <xdr:nvPicPr>
        <xdr:cNvPr id="21" name="Imagen 20">
          <a:extLst>
            <a:ext uri="{FF2B5EF4-FFF2-40B4-BE49-F238E27FC236}">
              <a16:creationId xmlns:a16="http://schemas.microsoft.com/office/drawing/2014/main" id="{00000000-0008-0000-0400-000015000000}"/>
            </a:ext>
          </a:extLst>
        </xdr:cNvPr>
        <xdr:cNvPicPr>
          <a:picLocks noChangeAspect="1"/>
        </xdr:cNvPicPr>
      </xdr:nvPicPr>
      <xdr:blipFill>
        <a:blip xmlns:r="http://schemas.openxmlformats.org/officeDocument/2006/relationships" r:embed="rId3"/>
        <a:stretch>
          <a:fillRect/>
        </a:stretch>
      </xdr:blipFill>
      <xdr:spPr>
        <a:xfrm>
          <a:off x="13375299" y="2675793"/>
          <a:ext cx="1868365" cy="133056"/>
        </a:xfrm>
        <a:prstGeom prst="rect">
          <a:avLst/>
        </a:prstGeom>
      </xdr:spPr>
    </xdr:pic>
    <xdr:clientData/>
  </xdr:twoCellAnchor>
  <xdr:twoCellAnchor>
    <xdr:from>
      <xdr:col>16</xdr:col>
      <xdr:colOff>570767</xdr:colOff>
      <xdr:row>17</xdr:row>
      <xdr:rowOff>7328</xdr:rowOff>
    </xdr:from>
    <xdr:to>
      <xdr:col>20</xdr:col>
      <xdr:colOff>73269</xdr:colOff>
      <xdr:row>26</xdr:row>
      <xdr:rowOff>65943</xdr:rowOff>
    </xdr:to>
    <xdr:graphicFrame macro="">
      <xdr:nvGraphicFramePr>
        <xdr:cNvPr id="22" name="Gráfico 21">
          <a:extLst>
            <a:ext uri="{FF2B5EF4-FFF2-40B4-BE49-F238E27FC236}">
              <a16:creationId xmlns:a16="http://schemas.microsoft.com/office/drawing/2014/main" id="{00000000-0008-0000-04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1</xdr:colOff>
      <xdr:row>5</xdr:row>
      <xdr:rowOff>0</xdr:rowOff>
    </xdr:from>
    <xdr:to>
      <xdr:col>21</xdr:col>
      <xdr:colOff>1</xdr:colOff>
      <xdr:row>6</xdr:row>
      <xdr:rowOff>0</xdr:rowOff>
    </xdr:to>
    <xdr:sp macro="" textlink="">
      <xdr:nvSpPr>
        <xdr:cNvPr id="23" name="CuadroTexto 22">
          <a:extLst>
            <a:ext uri="{FF2B5EF4-FFF2-40B4-BE49-F238E27FC236}">
              <a16:creationId xmlns:a16="http://schemas.microsoft.com/office/drawing/2014/main" id="{00000000-0008-0000-0400-000017000000}"/>
            </a:ext>
          </a:extLst>
        </xdr:cNvPr>
        <xdr:cNvSpPr txBox="1"/>
      </xdr:nvSpPr>
      <xdr:spPr>
        <a:xfrm>
          <a:off x="15516226" y="762000"/>
          <a:ext cx="2238375" cy="4667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Last Price GDAES_D+1</a:t>
          </a:r>
          <a:br>
            <a:rPr lang="es-ES" sz="1200" baseline="0">
              <a:latin typeface="Arial Narrow" panose="020B0606020202030204" pitchFamily="34" charset="0"/>
            </a:rPr>
          </a:br>
          <a:r>
            <a:rPr lang="es-ES" sz="1200" baseline="0">
              <a:latin typeface="Arial Narrow" panose="020B0606020202030204" pitchFamily="34" charset="0"/>
            </a:rPr>
            <a:t>(€/MWh)</a:t>
          </a:r>
          <a:endParaRPr lang="es-ES" sz="1200">
            <a:latin typeface="Arial Narrow" panose="020B0606020202030204" pitchFamily="34" charset="0"/>
          </a:endParaRPr>
        </a:p>
      </xdr:txBody>
    </xdr:sp>
    <xdr:clientData/>
  </xdr:twoCellAnchor>
  <xdr:twoCellAnchor>
    <xdr:from>
      <xdr:col>17</xdr:col>
      <xdr:colOff>0</xdr:colOff>
      <xdr:row>5</xdr:row>
      <xdr:rowOff>0</xdr:rowOff>
    </xdr:from>
    <xdr:to>
      <xdr:col>20</xdr:col>
      <xdr:colOff>0</xdr:colOff>
      <xdr:row>12</xdr:row>
      <xdr:rowOff>0</xdr:rowOff>
    </xdr:to>
    <xdr:sp macro="" textlink="">
      <xdr:nvSpPr>
        <xdr:cNvPr id="24" name="Rectángulo 23">
          <a:extLst>
            <a:ext uri="{FF2B5EF4-FFF2-40B4-BE49-F238E27FC236}">
              <a16:creationId xmlns:a16="http://schemas.microsoft.com/office/drawing/2014/main" id="{00000000-0008-0000-0400-000018000000}"/>
            </a:ext>
          </a:extLst>
        </xdr:cNvPr>
        <xdr:cNvSpPr/>
      </xdr:nvSpPr>
      <xdr:spPr>
        <a:xfrm>
          <a:off x="13192125" y="762000"/>
          <a:ext cx="2324100" cy="139065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0</xdr:colOff>
      <xdr:row>4</xdr:row>
      <xdr:rowOff>153864</xdr:rowOff>
    </xdr:from>
    <xdr:to>
      <xdr:col>20</xdr:col>
      <xdr:colOff>0</xdr:colOff>
      <xdr:row>14</xdr:row>
      <xdr:rowOff>0</xdr:rowOff>
    </xdr:to>
    <xdr:sp macro="" textlink="">
      <xdr:nvSpPr>
        <xdr:cNvPr id="25" name="Rectángulo 24">
          <a:extLst>
            <a:ext uri="{FF2B5EF4-FFF2-40B4-BE49-F238E27FC236}">
              <a16:creationId xmlns:a16="http://schemas.microsoft.com/office/drawing/2014/main" id="{00000000-0008-0000-0400-000019000000}"/>
            </a:ext>
          </a:extLst>
        </xdr:cNvPr>
        <xdr:cNvSpPr/>
      </xdr:nvSpPr>
      <xdr:spPr>
        <a:xfrm>
          <a:off x="15516225" y="763464"/>
          <a:ext cx="2238375" cy="169398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1443656</xdr:colOff>
      <xdr:row>7</xdr:row>
      <xdr:rowOff>26376</xdr:rowOff>
    </xdr:from>
    <xdr:to>
      <xdr:col>20</xdr:col>
      <xdr:colOff>2183676</xdr:colOff>
      <xdr:row>9</xdr:row>
      <xdr:rowOff>5862</xdr:rowOff>
    </xdr:to>
    <xdr:sp macro="" textlink="[1]gas!$F$5">
      <xdr:nvSpPr>
        <xdr:cNvPr id="26" name="CuadroTexto 1">
          <a:extLst>
            <a:ext uri="{FF2B5EF4-FFF2-40B4-BE49-F238E27FC236}">
              <a16:creationId xmlns:a16="http://schemas.microsoft.com/office/drawing/2014/main" id="{00000000-0008-0000-0400-00001A000000}"/>
            </a:ext>
          </a:extLst>
        </xdr:cNvPr>
        <xdr:cNvSpPr txBox="1"/>
      </xdr:nvSpPr>
      <xdr:spPr>
        <a:xfrm>
          <a:off x="16793560" y="1271953"/>
          <a:ext cx="740020" cy="287217"/>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A5C7D6D-184B-49E3-B106-12047537AD4D}" type="TxLink">
            <a:rPr lang="en-US" sz="1200" b="1" i="0" u="none" strike="noStrike">
              <a:solidFill>
                <a:srgbClr val="7030A0"/>
              </a:solidFill>
              <a:latin typeface="Arial"/>
              <a:ea typeface="+mn-ea"/>
              <a:cs typeface="Arial"/>
            </a:rPr>
            <a:pPr marL="0" indent="0" algn="r"/>
            <a:t>34,35</a:t>
          </a:fld>
          <a:endParaRPr lang="es-ES" sz="1200" b="1" i="0" u="none" strike="noStrike">
            <a:solidFill>
              <a:srgbClr val="7030A0"/>
            </a:solidFill>
            <a:latin typeface="Arial"/>
            <a:ea typeface="+mn-ea"/>
            <a:cs typeface="Arial"/>
          </a:endParaRPr>
        </a:p>
      </xdr:txBody>
    </xdr:sp>
    <xdr:clientData/>
  </xdr:twoCellAnchor>
  <xdr:twoCellAnchor>
    <xdr:from>
      <xdr:col>20</xdr:col>
      <xdr:colOff>58615</xdr:colOff>
      <xdr:row>5</xdr:row>
      <xdr:rowOff>461596</xdr:rowOff>
    </xdr:from>
    <xdr:to>
      <xdr:col>20</xdr:col>
      <xdr:colOff>1919654</xdr:colOff>
      <xdr:row>6</xdr:row>
      <xdr:rowOff>0</xdr:rowOff>
    </xdr:to>
    <xdr:cxnSp macro="">
      <xdr:nvCxnSpPr>
        <xdr:cNvPr id="27" name="Conector recto 26">
          <a:extLst>
            <a:ext uri="{FF2B5EF4-FFF2-40B4-BE49-F238E27FC236}">
              <a16:creationId xmlns:a16="http://schemas.microsoft.com/office/drawing/2014/main" id="{00000000-0008-0000-0400-00001B000000}"/>
            </a:ext>
          </a:extLst>
        </xdr:cNvPr>
        <xdr:cNvCxnSpPr/>
      </xdr:nvCxnSpPr>
      <xdr:spPr>
        <a:xfrm>
          <a:off x="15574840" y="1223596"/>
          <a:ext cx="1861039" cy="5129"/>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14</xdr:row>
      <xdr:rowOff>0</xdr:rowOff>
    </xdr:from>
    <xdr:to>
      <xdr:col>21</xdr:col>
      <xdr:colOff>0</xdr:colOff>
      <xdr:row>16</xdr:row>
      <xdr:rowOff>0</xdr:rowOff>
    </xdr:to>
    <xdr:sp macro="" textlink="">
      <xdr:nvSpPr>
        <xdr:cNvPr id="28" name="CuadroTexto 27">
          <a:extLst>
            <a:ext uri="{FF2B5EF4-FFF2-40B4-BE49-F238E27FC236}">
              <a16:creationId xmlns:a16="http://schemas.microsoft.com/office/drawing/2014/main" id="{00000000-0008-0000-0400-00001C000000}"/>
            </a:ext>
          </a:extLst>
        </xdr:cNvPr>
        <xdr:cNvSpPr txBox="1"/>
      </xdr:nvSpPr>
      <xdr:spPr>
        <a:xfrm>
          <a:off x="15516225" y="2457450"/>
          <a:ext cx="2238375" cy="30480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14</xdr:row>
      <xdr:rowOff>0</xdr:rowOff>
    </xdr:from>
    <xdr:to>
      <xdr:col>21</xdr:col>
      <xdr:colOff>0</xdr:colOff>
      <xdr:row>25</xdr:row>
      <xdr:rowOff>0</xdr:rowOff>
    </xdr:to>
    <xdr:sp macro="" textlink="">
      <xdr:nvSpPr>
        <xdr:cNvPr id="29" name="Rectángulo 28">
          <a:extLst>
            <a:ext uri="{FF2B5EF4-FFF2-40B4-BE49-F238E27FC236}">
              <a16:creationId xmlns:a16="http://schemas.microsoft.com/office/drawing/2014/main" id="{00000000-0008-0000-0400-00001D000000}"/>
            </a:ext>
          </a:extLst>
        </xdr:cNvPr>
        <xdr:cNvSpPr/>
      </xdr:nvSpPr>
      <xdr:spPr>
        <a:xfrm>
          <a:off x="15516225" y="2457450"/>
          <a:ext cx="2238375" cy="16764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117229</xdr:colOff>
      <xdr:row>15</xdr:row>
      <xdr:rowOff>146539</xdr:rowOff>
    </xdr:from>
    <xdr:to>
      <xdr:col>20</xdr:col>
      <xdr:colOff>1890345</xdr:colOff>
      <xdr:row>16</xdr:row>
      <xdr:rowOff>1</xdr:rowOff>
    </xdr:to>
    <xdr:cxnSp macro="">
      <xdr:nvCxnSpPr>
        <xdr:cNvPr id="30" name="Conector recto 29">
          <a:extLst>
            <a:ext uri="{FF2B5EF4-FFF2-40B4-BE49-F238E27FC236}">
              <a16:creationId xmlns:a16="http://schemas.microsoft.com/office/drawing/2014/main" id="{00000000-0008-0000-0400-00001E000000}"/>
            </a:ext>
          </a:extLst>
        </xdr:cNvPr>
        <xdr:cNvCxnSpPr/>
      </xdr:nvCxnSpPr>
      <xdr:spPr>
        <a:xfrm flipV="1">
          <a:off x="15633454" y="2756389"/>
          <a:ext cx="1773116" cy="5862"/>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0</xdr:row>
      <xdr:rowOff>0</xdr:rowOff>
    </xdr:from>
    <xdr:to>
      <xdr:col>20</xdr:col>
      <xdr:colOff>0</xdr:colOff>
      <xdr:row>5</xdr:row>
      <xdr:rowOff>0</xdr:rowOff>
    </xdr:to>
    <xdr:sp macro="" textlink="">
      <xdr:nvSpPr>
        <xdr:cNvPr id="31" name="Rectángulo 30">
          <a:extLst>
            <a:ext uri="{FF2B5EF4-FFF2-40B4-BE49-F238E27FC236}">
              <a16:creationId xmlns:a16="http://schemas.microsoft.com/office/drawing/2014/main" id="{00000000-0008-0000-0400-00001F000000}"/>
            </a:ext>
          </a:extLst>
        </xdr:cNvPr>
        <xdr:cNvSpPr/>
      </xdr:nvSpPr>
      <xdr:spPr>
        <a:xfrm>
          <a:off x="15516225" y="0"/>
          <a:ext cx="22383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67331</xdr:colOff>
      <xdr:row>0</xdr:row>
      <xdr:rowOff>39666</xdr:rowOff>
    </xdr:from>
    <xdr:to>
      <xdr:col>19</xdr:col>
      <xdr:colOff>2095500</xdr:colOff>
      <xdr:row>2</xdr:row>
      <xdr:rowOff>25012</xdr:rowOff>
    </xdr:to>
    <xdr:sp macro="" textlink="">
      <xdr:nvSpPr>
        <xdr:cNvPr id="32" name="CuadroTexto 31">
          <a:extLst>
            <a:ext uri="{FF2B5EF4-FFF2-40B4-BE49-F238E27FC236}">
              <a16:creationId xmlns:a16="http://schemas.microsoft.com/office/drawing/2014/main" id="{00000000-0008-0000-0400-000020000000}"/>
            </a:ext>
          </a:extLst>
        </xdr:cNvPr>
        <xdr:cNvSpPr txBox="1"/>
      </xdr:nvSpPr>
      <xdr:spPr>
        <a:xfrm>
          <a:off x="15583556" y="39666"/>
          <a:ext cx="2028169"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19</xdr:col>
      <xdr:colOff>72258</xdr:colOff>
      <xdr:row>2</xdr:row>
      <xdr:rowOff>71803</xdr:rowOff>
    </xdr:from>
    <xdr:to>
      <xdr:col>19</xdr:col>
      <xdr:colOff>2108638</xdr:colOff>
      <xdr:row>4</xdr:row>
      <xdr:rowOff>57149</xdr:rowOff>
    </xdr:to>
    <xdr:sp macro="" textlink="">
      <xdr:nvSpPr>
        <xdr:cNvPr id="33" name="CuadroTexto 32">
          <a:extLst>
            <a:ext uri="{FF2B5EF4-FFF2-40B4-BE49-F238E27FC236}">
              <a16:creationId xmlns:a16="http://schemas.microsoft.com/office/drawing/2014/main" id="{00000000-0008-0000-0400-000021000000}"/>
            </a:ext>
          </a:extLst>
        </xdr:cNvPr>
        <xdr:cNvSpPr txBox="1"/>
      </xdr:nvSpPr>
      <xdr:spPr>
        <a:xfrm>
          <a:off x="15588483" y="376603"/>
          <a:ext cx="2036380"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#miniporramarzo2024</a:t>
          </a:r>
        </a:p>
      </xdr:txBody>
    </xdr:sp>
    <xdr:clientData/>
  </xdr:twoCellAnchor>
  <xdr:twoCellAnchor>
    <xdr:from>
      <xdr:col>20</xdr:col>
      <xdr:colOff>36636</xdr:colOff>
      <xdr:row>15</xdr:row>
      <xdr:rowOff>109905</xdr:rowOff>
    </xdr:from>
    <xdr:to>
      <xdr:col>20</xdr:col>
      <xdr:colOff>2212731</xdr:colOff>
      <xdr:row>24</xdr:row>
      <xdr:rowOff>124558</xdr:rowOff>
    </xdr:to>
    <xdr:graphicFrame macro="">
      <xdr:nvGraphicFramePr>
        <xdr:cNvPr id="34" name="Gráfico 33">
          <a:extLst>
            <a:ext uri="{FF2B5EF4-FFF2-40B4-BE49-F238E27FC236}">
              <a16:creationId xmlns:a16="http://schemas.microsoft.com/office/drawing/2014/main" id="{00000000-0008-0000-04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1271653</xdr:colOff>
      <xdr:row>16</xdr:row>
      <xdr:rowOff>114855</xdr:rowOff>
    </xdr:from>
    <xdr:to>
      <xdr:col>20</xdr:col>
      <xdr:colOff>2142093</xdr:colOff>
      <xdr:row>18</xdr:row>
      <xdr:rowOff>91561</xdr:rowOff>
    </xdr:to>
    <xdr:sp macro="" textlink="[1]co2!$F$6">
      <xdr:nvSpPr>
        <xdr:cNvPr id="35" name="CuadroTexto 1">
          <a:extLst>
            <a:ext uri="{FF2B5EF4-FFF2-40B4-BE49-F238E27FC236}">
              <a16:creationId xmlns:a16="http://schemas.microsoft.com/office/drawing/2014/main" id="{00000000-0008-0000-0400-000023000000}"/>
            </a:ext>
          </a:extLst>
        </xdr:cNvPr>
        <xdr:cNvSpPr txBox="1"/>
      </xdr:nvSpPr>
      <xdr:spPr>
        <a:xfrm>
          <a:off x="16621557" y="2745220"/>
          <a:ext cx="870440" cy="284437"/>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4C71EA8-E455-4BC4-8148-EDD2FD2E021B}" type="TxLink">
            <a:rPr lang="en-US" sz="1200" b="1" i="0" u="none" strike="noStrike">
              <a:solidFill>
                <a:srgbClr val="7030A0"/>
              </a:solidFill>
              <a:latin typeface="Arial"/>
              <a:ea typeface="+mn-ea"/>
              <a:cs typeface="Arial"/>
            </a:rPr>
            <a:pPr marL="0" indent="0" algn="r"/>
            <a:t>70,97</a:t>
          </a:fld>
          <a:endParaRPr lang="es-ES" sz="1200" b="1" i="0" u="none" strike="noStrike">
            <a:solidFill>
              <a:srgbClr val="7030A0"/>
            </a:solidFill>
            <a:latin typeface="Arial"/>
            <a:ea typeface="+mn-ea"/>
            <a:cs typeface="Arial"/>
          </a:endParaRPr>
        </a:p>
      </xdr:txBody>
    </xdr:sp>
    <xdr:clientData/>
  </xdr:twoCellAnchor>
  <xdr:twoCellAnchor>
    <xdr:from>
      <xdr:col>20</xdr:col>
      <xdr:colOff>0</xdr:colOff>
      <xdr:row>25</xdr:row>
      <xdr:rowOff>0</xdr:rowOff>
    </xdr:from>
    <xdr:to>
      <xdr:col>21</xdr:col>
      <xdr:colOff>0</xdr:colOff>
      <xdr:row>27</xdr:row>
      <xdr:rowOff>0</xdr:rowOff>
    </xdr:to>
    <xdr:sp macro="" textlink="">
      <xdr:nvSpPr>
        <xdr:cNvPr id="36" name="CuadroTexto 35">
          <a:extLst>
            <a:ext uri="{FF2B5EF4-FFF2-40B4-BE49-F238E27FC236}">
              <a16:creationId xmlns:a16="http://schemas.microsoft.com/office/drawing/2014/main" id="{00000000-0008-0000-0400-000024000000}"/>
            </a:ext>
          </a:extLst>
        </xdr:cNvPr>
        <xdr:cNvSpPr txBox="1"/>
      </xdr:nvSpPr>
      <xdr:spPr>
        <a:xfrm>
          <a:off x="15516225" y="4133850"/>
          <a:ext cx="2238375" cy="30480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baseline="0">
              <a:latin typeface="Arial Narrow" panose="020B0606020202030204" pitchFamily="34" charset="0"/>
            </a:rPr>
            <a:t>Demanda real (GWh) </a:t>
          </a:r>
          <a:endParaRPr lang="es-ES" sz="1200">
            <a:latin typeface="Arial Narrow" panose="020B0606020202030204" pitchFamily="34" charset="0"/>
          </a:endParaRPr>
        </a:p>
      </xdr:txBody>
    </xdr:sp>
    <xdr:clientData/>
  </xdr:twoCellAnchor>
  <xdr:twoCellAnchor>
    <xdr:from>
      <xdr:col>19</xdr:col>
      <xdr:colOff>0</xdr:colOff>
      <xdr:row>35</xdr:row>
      <xdr:rowOff>153865</xdr:rowOff>
    </xdr:from>
    <xdr:to>
      <xdr:col>20</xdr:col>
      <xdr:colOff>0</xdr:colOff>
      <xdr:row>41</xdr:row>
      <xdr:rowOff>0</xdr:rowOff>
    </xdr:to>
    <xdr:sp macro="" textlink="">
      <xdr:nvSpPr>
        <xdr:cNvPr id="37" name="Rectángulo 36">
          <a:extLst>
            <a:ext uri="{FF2B5EF4-FFF2-40B4-BE49-F238E27FC236}">
              <a16:creationId xmlns:a16="http://schemas.microsoft.com/office/drawing/2014/main" id="{00000000-0008-0000-0400-000025000000}"/>
            </a:ext>
          </a:extLst>
        </xdr:cNvPr>
        <xdr:cNvSpPr/>
      </xdr:nvSpPr>
      <xdr:spPr>
        <a:xfrm>
          <a:off x="15516225" y="5811715"/>
          <a:ext cx="2238375" cy="760535"/>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0</xdr:colOff>
      <xdr:row>25</xdr:row>
      <xdr:rowOff>1</xdr:rowOff>
    </xdr:from>
    <xdr:to>
      <xdr:col>20</xdr:col>
      <xdr:colOff>0</xdr:colOff>
      <xdr:row>35</xdr:row>
      <xdr:rowOff>153865</xdr:rowOff>
    </xdr:to>
    <xdr:sp macro="" textlink="">
      <xdr:nvSpPr>
        <xdr:cNvPr id="38" name="Rectángulo 37">
          <a:extLst>
            <a:ext uri="{FF2B5EF4-FFF2-40B4-BE49-F238E27FC236}">
              <a16:creationId xmlns:a16="http://schemas.microsoft.com/office/drawing/2014/main" id="{00000000-0008-0000-0400-000026000000}"/>
            </a:ext>
          </a:extLst>
        </xdr:cNvPr>
        <xdr:cNvSpPr/>
      </xdr:nvSpPr>
      <xdr:spPr>
        <a:xfrm>
          <a:off x="15516225" y="4133851"/>
          <a:ext cx="2238375" cy="1677864"/>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222738</xdr:colOff>
      <xdr:row>26</xdr:row>
      <xdr:rowOff>146538</xdr:rowOff>
    </xdr:from>
    <xdr:to>
      <xdr:col>20</xdr:col>
      <xdr:colOff>2083777</xdr:colOff>
      <xdr:row>27</xdr:row>
      <xdr:rowOff>0</xdr:rowOff>
    </xdr:to>
    <xdr:cxnSp macro="">
      <xdr:nvCxnSpPr>
        <xdr:cNvPr id="39" name="Conector recto 38">
          <a:extLst>
            <a:ext uri="{FF2B5EF4-FFF2-40B4-BE49-F238E27FC236}">
              <a16:creationId xmlns:a16="http://schemas.microsoft.com/office/drawing/2014/main" id="{00000000-0008-0000-0400-000027000000}"/>
            </a:ext>
          </a:extLst>
        </xdr:cNvPr>
        <xdr:cNvCxnSpPr/>
      </xdr:nvCxnSpPr>
      <xdr:spPr>
        <a:xfrm>
          <a:off x="15738963" y="4432788"/>
          <a:ext cx="1861039" cy="5862"/>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89817</xdr:colOff>
      <xdr:row>36</xdr:row>
      <xdr:rowOff>76301</xdr:rowOff>
    </xdr:from>
    <xdr:to>
      <xdr:col>19</xdr:col>
      <xdr:colOff>2117986</xdr:colOff>
      <xdr:row>38</xdr:row>
      <xdr:rowOff>61647</xdr:rowOff>
    </xdr:to>
    <xdr:sp macro="" textlink="">
      <xdr:nvSpPr>
        <xdr:cNvPr id="40" name="CuadroTexto 39">
          <a:extLst>
            <a:ext uri="{FF2B5EF4-FFF2-40B4-BE49-F238E27FC236}">
              <a16:creationId xmlns:a16="http://schemas.microsoft.com/office/drawing/2014/main" id="{00000000-0008-0000-0400-000028000000}"/>
            </a:ext>
          </a:extLst>
        </xdr:cNvPr>
        <xdr:cNvSpPr txBox="1"/>
      </xdr:nvSpPr>
      <xdr:spPr>
        <a:xfrm>
          <a:off x="15606042" y="5886551"/>
          <a:ext cx="2028169"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19</xdr:col>
      <xdr:colOff>94744</xdr:colOff>
      <xdr:row>38</xdr:row>
      <xdr:rowOff>108438</xdr:rowOff>
    </xdr:from>
    <xdr:to>
      <xdr:col>19</xdr:col>
      <xdr:colOff>2131124</xdr:colOff>
      <xdr:row>40</xdr:row>
      <xdr:rowOff>93784</xdr:rowOff>
    </xdr:to>
    <xdr:sp macro="" textlink="">
      <xdr:nvSpPr>
        <xdr:cNvPr id="41" name="CuadroTexto 40">
          <a:extLst>
            <a:ext uri="{FF2B5EF4-FFF2-40B4-BE49-F238E27FC236}">
              <a16:creationId xmlns:a16="http://schemas.microsoft.com/office/drawing/2014/main" id="{00000000-0008-0000-0400-000029000000}"/>
            </a:ext>
          </a:extLst>
        </xdr:cNvPr>
        <xdr:cNvSpPr txBox="1"/>
      </xdr:nvSpPr>
      <xdr:spPr>
        <a:xfrm>
          <a:off x="15610969" y="6223488"/>
          <a:ext cx="2036380"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#miniporramarzo2024</a:t>
          </a:r>
        </a:p>
      </xdr:txBody>
    </xdr:sp>
    <xdr:clientData/>
  </xdr:twoCellAnchor>
  <xdr:twoCellAnchor editAs="oneCell">
    <xdr:from>
      <xdr:col>19</xdr:col>
      <xdr:colOff>168520</xdr:colOff>
      <xdr:row>29</xdr:row>
      <xdr:rowOff>80596</xdr:rowOff>
    </xdr:from>
    <xdr:to>
      <xdr:col>19</xdr:col>
      <xdr:colOff>742834</xdr:colOff>
      <xdr:row>36</xdr:row>
      <xdr:rowOff>43962</xdr:rowOff>
    </xdr:to>
    <xdr:pic>
      <xdr:nvPicPr>
        <xdr:cNvPr id="42" name="Imagen 41">
          <a:extLst>
            <a:ext uri="{FF2B5EF4-FFF2-40B4-BE49-F238E27FC236}">
              <a16:creationId xmlns:a16="http://schemas.microsoft.com/office/drawing/2014/main" id="{00000000-0008-0000-0400-00002A000000}"/>
            </a:ext>
          </a:extLst>
        </xdr:cNvPr>
        <xdr:cNvPicPr>
          <a:picLocks noChangeAspect="1"/>
        </xdr:cNvPicPr>
      </xdr:nvPicPr>
      <xdr:blipFill>
        <a:blip xmlns:r="http://schemas.openxmlformats.org/officeDocument/2006/relationships" r:embed="rId6"/>
        <a:stretch>
          <a:fillRect/>
        </a:stretch>
      </xdr:blipFill>
      <xdr:spPr>
        <a:xfrm>
          <a:off x="14884645" y="4824046"/>
          <a:ext cx="574314" cy="1030167"/>
        </a:xfrm>
        <a:prstGeom prst="rect">
          <a:avLst/>
        </a:prstGeom>
      </xdr:spPr>
    </xdr:pic>
    <xdr:clientData/>
  </xdr:twoCellAnchor>
  <xdr:twoCellAnchor>
    <xdr:from>
      <xdr:col>10</xdr:col>
      <xdr:colOff>28549</xdr:colOff>
      <xdr:row>31</xdr:row>
      <xdr:rowOff>54825</xdr:rowOff>
    </xdr:from>
    <xdr:to>
      <xdr:col>14</xdr:col>
      <xdr:colOff>542192</xdr:colOff>
      <xdr:row>41</xdr:row>
      <xdr:rowOff>20968</xdr:rowOff>
    </xdr:to>
    <xdr:graphicFrame macro="">
      <xdr:nvGraphicFramePr>
        <xdr:cNvPr id="43" name="Gráfico 42">
          <a:extLst>
            <a:ext uri="{FF2B5EF4-FFF2-40B4-BE49-F238E27FC236}">
              <a16:creationId xmlns:a16="http://schemas.microsoft.com/office/drawing/2014/main" id="{00000000-0008-0000-04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29308</xdr:colOff>
      <xdr:row>9</xdr:row>
      <xdr:rowOff>7327</xdr:rowOff>
    </xdr:from>
    <xdr:to>
      <xdr:col>18</xdr:col>
      <xdr:colOff>42626</xdr:colOff>
      <xdr:row>13</xdr:row>
      <xdr:rowOff>66674</xdr:rowOff>
    </xdr:to>
    <xdr:graphicFrame macro="">
      <xdr:nvGraphicFramePr>
        <xdr:cNvPr id="50" name="Gráfico 49">
          <a:extLst>
            <a:ext uri="{FF2B5EF4-FFF2-40B4-BE49-F238E27FC236}">
              <a16:creationId xmlns:a16="http://schemas.microsoft.com/office/drawing/2014/main" id="{00000000-0008-0000-0400-00003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twoCellAnchor>
  <xdr:twoCellAnchor>
    <xdr:from>
      <xdr:col>18</xdr:col>
      <xdr:colOff>65943</xdr:colOff>
      <xdr:row>7</xdr:row>
      <xdr:rowOff>80597</xdr:rowOff>
    </xdr:from>
    <xdr:to>
      <xdr:col>19</xdr:col>
      <xdr:colOff>51289</xdr:colOff>
      <xdr:row>16</xdr:row>
      <xdr:rowOff>95249</xdr:rowOff>
    </xdr:to>
    <xdr:graphicFrame macro="">
      <xdr:nvGraphicFramePr>
        <xdr:cNvPr id="51" name="Gráfico 50">
          <a:extLst>
            <a:ext uri="{FF2B5EF4-FFF2-40B4-BE49-F238E27FC236}">
              <a16:creationId xmlns:a16="http://schemas.microsoft.com/office/drawing/2014/main" id="{00000000-0008-0000-0400-00003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xdr:from>
      <xdr:col>19</xdr:col>
      <xdr:colOff>43963</xdr:colOff>
      <xdr:row>8</xdr:row>
      <xdr:rowOff>80596</xdr:rowOff>
    </xdr:from>
    <xdr:to>
      <xdr:col>19</xdr:col>
      <xdr:colOff>741378</xdr:colOff>
      <xdr:row>14</xdr:row>
      <xdr:rowOff>92053</xdr:rowOff>
    </xdr:to>
    <xdr:graphicFrame macro="">
      <xdr:nvGraphicFramePr>
        <xdr:cNvPr id="52" name="Gráfico 51">
          <a:extLst>
            <a:ext uri="{FF2B5EF4-FFF2-40B4-BE49-F238E27FC236}">
              <a16:creationId xmlns:a16="http://schemas.microsoft.com/office/drawing/2014/main" id="{00000000-0008-0000-0400-000034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twoCellAnchor>
  <xdr:twoCellAnchor>
    <xdr:from>
      <xdr:col>19</xdr:col>
      <xdr:colOff>36634</xdr:colOff>
      <xdr:row>27</xdr:row>
      <xdr:rowOff>51288</xdr:rowOff>
    </xdr:from>
    <xdr:to>
      <xdr:col>19</xdr:col>
      <xdr:colOff>2190750</xdr:colOff>
      <xdr:row>40</xdr:row>
      <xdr:rowOff>124557</xdr:rowOff>
    </xdr:to>
    <xdr:graphicFrame macro="">
      <xdr:nvGraphicFramePr>
        <xdr:cNvPr id="45" name="Gráfico 44">
          <a:extLst>
            <a:ext uri="{FF2B5EF4-FFF2-40B4-BE49-F238E27FC236}">
              <a16:creationId xmlns:a16="http://schemas.microsoft.com/office/drawing/2014/main" id="{00000000-0008-0000-04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mc:AlternateContent xmlns:mc="http://schemas.openxmlformats.org/markup-compatibility/2006">
    <mc:Choice xmlns:a14="http://schemas.microsoft.com/office/drawing/2010/main" Requires="a14">
      <xdr:twoCellAnchor>
        <xdr:from>
          <xdr:col>2</xdr:col>
          <xdr:colOff>628650</xdr:colOff>
          <xdr:row>3</xdr:row>
          <xdr:rowOff>0</xdr:rowOff>
        </xdr:from>
        <xdr:to>
          <xdr:col>4</xdr:col>
          <xdr:colOff>0</xdr:colOff>
          <xdr:row>5</xdr:row>
          <xdr:rowOff>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400-000003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xdr:twoCellAnchor>
    <xdr:from>
      <xdr:col>10</xdr:col>
      <xdr:colOff>0</xdr:colOff>
      <xdr:row>30</xdr:row>
      <xdr:rowOff>151086</xdr:rowOff>
    </xdr:from>
    <xdr:to>
      <xdr:col>14</xdr:col>
      <xdr:colOff>564931</xdr:colOff>
      <xdr:row>41</xdr:row>
      <xdr:rowOff>0</xdr:rowOff>
    </xdr:to>
    <xdr:sp macro="" textlink="">
      <xdr:nvSpPr>
        <xdr:cNvPr id="47" name="Rectángulo 46">
          <a:extLst>
            <a:ext uri="{FF2B5EF4-FFF2-40B4-BE49-F238E27FC236}">
              <a16:creationId xmlns:a16="http://schemas.microsoft.com/office/drawing/2014/main" id="{00000000-0008-0000-0400-00002F000000}"/>
            </a:ext>
          </a:extLst>
        </xdr:cNvPr>
        <xdr:cNvSpPr/>
      </xdr:nvSpPr>
      <xdr:spPr>
        <a:xfrm>
          <a:off x="7429500" y="4861034"/>
          <a:ext cx="4782207" cy="1510863"/>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17</xdr:col>
      <xdr:colOff>29308</xdr:colOff>
      <xdr:row>29</xdr:row>
      <xdr:rowOff>131885</xdr:rowOff>
    </xdr:from>
    <xdr:to>
      <xdr:col>19</xdr:col>
      <xdr:colOff>99800</xdr:colOff>
      <xdr:row>40</xdr:row>
      <xdr:rowOff>61627</xdr:rowOff>
    </xdr:to>
    <xdr:pic>
      <xdr:nvPicPr>
        <xdr:cNvPr id="44" name="Imagen 43">
          <a:extLst>
            <a:ext uri="{FF2B5EF4-FFF2-40B4-BE49-F238E27FC236}">
              <a16:creationId xmlns:a16="http://schemas.microsoft.com/office/drawing/2014/main" id="{00000000-0008-0000-0400-00002C000000}"/>
            </a:ext>
          </a:extLst>
        </xdr:cNvPr>
        <xdr:cNvPicPr>
          <a:picLocks noChangeAspect="1"/>
        </xdr:cNvPicPr>
      </xdr:nvPicPr>
      <xdr:blipFill>
        <a:blip xmlns:r="http://schemas.openxmlformats.org/officeDocument/2006/relationships" r:embed="rId12"/>
        <a:stretch>
          <a:fillRect/>
        </a:stretch>
      </xdr:blipFill>
      <xdr:spPr>
        <a:xfrm>
          <a:off x="13056577" y="4762500"/>
          <a:ext cx="1633905" cy="1622262"/>
        </a:xfrm>
        <a:prstGeom prst="rect">
          <a:avLst/>
        </a:prstGeom>
      </xdr:spPr>
    </xdr:pic>
    <xdr:clientData/>
  </xdr:twoCellAnchor>
  <xdr:twoCellAnchor>
    <xdr:from>
      <xdr:col>20</xdr:col>
      <xdr:colOff>1216268</xdr:colOff>
      <xdr:row>27</xdr:row>
      <xdr:rowOff>43961</xdr:rowOff>
    </xdr:from>
    <xdr:to>
      <xdr:col>20</xdr:col>
      <xdr:colOff>2086708</xdr:colOff>
      <xdr:row>29</xdr:row>
      <xdr:rowOff>20668</xdr:rowOff>
    </xdr:to>
    <xdr:sp macro="" textlink="[1]omie_dinamic_dia!$N$2">
      <xdr:nvSpPr>
        <xdr:cNvPr id="46" name="CuadroTexto 1">
          <a:extLst>
            <a:ext uri="{FF2B5EF4-FFF2-40B4-BE49-F238E27FC236}">
              <a16:creationId xmlns:a16="http://schemas.microsoft.com/office/drawing/2014/main" id="{00000000-0008-0000-0400-00002E000000}"/>
            </a:ext>
          </a:extLst>
        </xdr:cNvPr>
        <xdr:cNvSpPr txBox="1"/>
      </xdr:nvSpPr>
      <xdr:spPr>
        <a:xfrm>
          <a:off x="16566172" y="4366846"/>
          <a:ext cx="870440" cy="284437"/>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C2349CF5-43E9-405E-B17B-1EB378677D01}" type="TxLink">
            <a:rPr lang="en-US" sz="1200" b="1" i="0" u="none" strike="noStrike">
              <a:solidFill>
                <a:schemeClr val="accent1">
                  <a:lumMod val="60000"/>
                  <a:lumOff val="40000"/>
                </a:schemeClr>
              </a:solidFill>
              <a:latin typeface="Arial Narrow" panose="020B0606020202030204" pitchFamily="34" charset="0"/>
              <a:ea typeface="+mn-ea"/>
              <a:cs typeface="Arial"/>
            </a:rPr>
            <a:pPr marL="0" indent="0" algn="r"/>
            <a:t>5.273</a:t>
          </a:fld>
          <a:endParaRPr lang="es-ES" sz="2000" b="1" i="0" u="none" strike="noStrike">
            <a:solidFill>
              <a:schemeClr val="accent1">
                <a:lumMod val="60000"/>
                <a:lumOff val="40000"/>
              </a:schemeClr>
            </a:solidFill>
            <a:latin typeface="Arial Narrow" panose="020B0606020202030204" pitchFamily="34" charset="0"/>
            <a:ea typeface="+mn-ea"/>
            <a:cs typeface="Arial"/>
          </a:endParaRPr>
        </a:p>
      </xdr:txBody>
    </xdr:sp>
    <xdr:clientData/>
  </xdr:twoCellAnchor>
  <xdr:twoCellAnchor>
    <xdr:from>
      <xdr:col>20</xdr:col>
      <xdr:colOff>1157654</xdr:colOff>
      <xdr:row>27</xdr:row>
      <xdr:rowOff>58615</xdr:rowOff>
    </xdr:from>
    <xdr:to>
      <xdr:col>20</xdr:col>
      <xdr:colOff>1626577</xdr:colOff>
      <xdr:row>29</xdr:row>
      <xdr:rowOff>43962</xdr:rowOff>
    </xdr:to>
    <xdr:sp macro="" textlink="">
      <xdr:nvSpPr>
        <xdr:cNvPr id="48" name="CuadroTexto 47">
          <a:extLst>
            <a:ext uri="{FF2B5EF4-FFF2-40B4-BE49-F238E27FC236}">
              <a16:creationId xmlns:a16="http://schemas.microsoft.com/office/drawing/2014/main" id="{00000000-0008-0000-0400-000030000000}"/>
            </a:ext>
          </a:extLst>
        </xdr:cNvPr>
        <xdr:cNvSpPr txBox="1"/>
      </xdr:nvSpPr>
      <xdr:spPr>
        <a:xfrm>
          <a:off x="16507558" y="4381500"/>
          <a:ext cx="468923" cy="293077"/>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solidFill>
                <a:schemeClr val="accent1">
                  <a:lumMod val="60000"/>
                  <a:lumOff val="40000"/>
                </a:schemeClr>
              </a:solidFill>
              <a:latin typeface="Arial Narrow" panose="020B0606020202030204" pitchFamily="34" charset="0"/>
            </a:rPr>
            <a:t>Total</a:t>
          </a:r>
        </a:p>
      </xdr:txBody>
    </xdr:sp>
    <xdr:clientData/>
  </xdr:twoCellAnchor>
</xdr:wsDr>
</file>

<file path=xl/drawings/drawing5.xml><?xml version="1.0" encoding="utf-8"?>
<c:userShapes xmlns:c="http://schemas.openxmlformats.org/drawingml/2006/chart">
  <cdr:relSizeAnchor xmlns:cdr="http://schemas.openxmlformats.org/drawingml/2006/chartDrawing">
    <cdr:from>
      <cdr:x>0.71197</cdr:x>
      <cdr:y>0.04358</cdr:y>
    </cdr:from>
    <cdr:to>
      <cdr:x>0.84561</cdr:x>
      <cdr:y>0.14505</cdr:y>
    </cdr:to>
    <cdr:pic>
      <cdr:nvPicPr>
        <cdr:cNvPr id="2" name="Imagen 1">
          <a:extLst xmlns:a="http://schemas.openxmlformats.org/drawingml/2006/main">
            <a:ext uri="{FF2B5EF4-FFF2-40B4-BE49-F238E27FC236}">
              <a16:creationId xmlns:a16="http://schemas.microsoft.com/office/drawing/2014/main" id="{00000000-0008-0000-0400-000030000000}"/>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stretch xmlns:a="http://schemas.openxmlformats.org/drawingml/2006/main">
          <a:fillRect/>
        </a:stretch>
      </cdr:blipFill>
      <cdr:spPr>
        <a:xfrm xmlns:a="http://schemas.openxmlformats.org/drawingml/2006/main">
          <a:off x="3369896" y="65454"/>
          <a:ext cx="632515" cy="152413"/>
        </a:xfrm>
        <a:prstGeom xmlns:a="http://schemas.openxmlformats.org/drawingml/2006/main" prst="rect">
          <a:avLst/>
        </a:prstGeom>
      </cdr:spPr>
    </cdr:pic>
  </cdr:relSizeAnchor>
  <cdr:relSizeAnchor xmlns:cdr="http://schemas.openxmlformats.org/drawingml/2006/chartDrawing">
    <cdr:from>
      <cdr:x>0.86213</cdr:x>
      <cdr:y>0.01431</cdr:y>
    </cdr:from>
    <cdr:to>
      <cdr:x>0.96275</cdr:x>
      <cdr:y>0.15577</cdr:y>
    </cdr:to>
    <cdr:sp macro="" textlink="mar!$B$3">
      <cdr:nvSpPr>
        <cdr:cNvPr id="3" name="CuadroTexto 43">
          <a:extLst xmlns:a="http://schemas.openxmlformats.org/drawingml/2006/main">
            <a:ext uri="{FF2B5EF4-FFF2-40B4-BE49-F238E27FC236}">
              <a16:creationId xmlns:a16="http://schemas.microsoft.com/office/drawing/2014/main" id="{00000000-0008-0000-0400-00002C000000}"/>
            </a:ext>
          </a:extLst>
        </cdr:cNvPr>
        <cdr:cNvSpPr txBox="1"/>
      </cdr:nvSpPr>
      <cdr:spPr>
        <a:xfrm xmlns:a="http://schemas.openxmlformats.org/drawingml/2006/main">
          <a:off x="4080608" y="21493"/>
          <a:ext cx="476250" cy="212480"/>
        </a:xfrm>
        <a:prstGeom xmlns:a="http://schemas.openxmlformats.org/drawingml/2006/main" prst="rect">
          <a:avLst/>
        </a:prstGeom>
        <a:solidFill xmlns:a="http://schemas.openxmlformats.org/drawingml/2006/main">
          <a:schemeClr val="bg1"/>
        </a:solidFill>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A363394-EB0C-4972-9D53-DE472227AC0C}" type="TxLink">
            <a:rPr lang="en-US" sz="1200" b="1" i="0" u="none" strike="noStrike">
              <a:solidFill>
                <a:srgbClr val="000000"/>
              </a:solidFill>
              <a:latin typeface="Arial Narrow" panose="020B0606020202030204" pitchFamily="34" charset="0"/>
              <a:ea typeface="+mn-ea"/>
              <a:cs typeface="Arial"/>
            </a:rPr>
            <a:pPr marL="0" indent="0" algn="r"/>
            <a:t>20,28</a:t>
          </a:fld>
          <a:endParaRPr lang="es-ES" sz="3600" b="1" i="0" u="none" strike="noStrike">
            <a:solidFill>
              <a:sysClr val="windowText" lastClr="000000"/>
            </a:solidFill>
            <a:latin typeface="Arial Narrow" panose="020B0606020202030204" pitchFamily="34" charset="0"/>
            <a:ea typeface="+mn-ea"/>
            <a:cs typeface="Arial"/>
          </a:endParaRPr>
        </a:p>
      </cdr:txBody>
    </cdr:sp>
  </cdr:relSizeAnchor>
</c:userShapes>
</file>

<file path=xl/drawings/drawing6.xml><?xml version="1.0" encoding="utf-8"?>
<xdr:wsDr xmlns:xdr="http://schemas.openxmlformats.org/drawingml/2006/spreadsheetDrawing" xmlns:a="http://schemas.openxmlformats.org/drawingml/2006/main">
  <xdr:twoCellAnchor>
    <xdr:from>
      <xdr:col>19</xdr:col>
      <xdr:colOff>783979</xdr:colOff>
      <xdr:row>7</xdr:row>
      <xdr:rowOff>0</xdr:rowOff>
    </xdr:from>
    <xdr:to>
      <xdr:col>21</xdr:col>
      <xdr:colOff>7327</xdr:colOff>
      <xdr:row>16</xdr:row>
      <xdr:rowOff>131885</xdr:rowOff>
    </xdr:to>
    <xdr:graphicFrame macro="">
      <xdr:nvGraphicFramePr>
        <xdr:cNvPr id="2" name="Gráfico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0</xdr:colOff>
      <xdr:row>15</xdr:row>
      <xdr:rowOff>10990</xdr:rowOff>
    </xdr:from>
    <xdr:to>
      <xdr:col>20</xdr:col>
      <xdr:colOff>0</xdr:colOff>
      <xdr:row>18</xdr:row>
      <xdr:rowOff>0</xdr:rowOff>
    </xdr:to>
    <xdr:sp macro="" textlink="">
      <xdr:nvSpPr>
        <xdr:cNvPr id="3" name="CuadroTexto 2">
          <a:extLst>
            <a:ext uri="{FF2B5EF4-FFF2-40B4-BE49-F238E27FC236}">
              <a16:creationId xmlns:a16="http://schemas.microsoft.com/office/drawing/2014/main" id="{00000000-0008-0000-0500-000003000000}"/>
            </a:ext>
          </a:extLst>
        </xdr:cNvPr>
        <xdr:cNvSpPr txBox="1"/>
      </xdr:nvSpPr>
      <xdr:spPr>
        <a:xfrm>
          <a:off x="13716000" y="2487490"/>
          <a:ext cx="2322635" cy="45060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Precio horario medio marcado por las principales tecnologías (€/MWh)</a:t>
          </a:r>
        </a:p>
      </xdr:txBody>
    </xdr:sp>
    <xdr:clientData/>
  </xdr:twoCellAnchor>
  <mc:AlternateContent xmlns:mc="http://schemas.openxmlformats.org/markup-compatibility/2006">
    <mc:Choice xmlns:a14="http://schemas.microsoft.com/office/drawing/2010/main" Requires="a14">
      <xdr:twoCellAnchor>
        <xdr:from>
          <xdr:col>3</xdr:col>
          <xdr:colOff>19050</xdr:colOff>
          <xdr:row>0</xdr:row>
          <xdr:rowOff>0</xdr:rowOff>
        </xdr:from>
        <xdr:to>
          <xdr:col>4</xdr:col>
          <xdr:colOff>0</xdr:colOff>
          <xdr:row>3</xdr:row>
          <xdr:rowOff>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500-000001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9525</xdr:rowOff>
        </xdr:from>
        <xdr:to>
          <xdr:col>6</xdr:col>
          <xdr:colOff>0</xdr:colOff>
          <xdr:row>3</xdr:row>
          <xdr:rowOff>0</xdr:rowOff>
        </xdr:to>
        <xdr:sp macro="" textlink="">
          <xdr:nvSpPr>
            <xdr:cNvPr id="24578" name="Spinner 2" hidden="1">
              <a:extLst>
                <a:ext uri="{63B3BB69-23CF-44E3-9099-C40C66FF867C}">
                  <a14:compatExt spid="_x0000_s24578"/>
                </a:ext>
                <a:ext uri="{FF2B5EF4-FFF2-40B4-BE49-F238E27FC236}">
                  <a16:creationId xmlns:a16="http://schemas.microsoft.com/office/drawing/2014/main" id="{00000000-0008-0000-0500-0000026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17</xdr:col>
      <xdr:colOff>0</xdr:colOff>
      <xdr:row>5</xdr:row>
      <xdr:rowOff>0</xdr:rowOff>
    </xdr:from>
    <xdr:to>
      <xdr:col>20</xdr:col>
      <xdr:colOff>0</xdr:colOff>
      <xdr:row>6</xdr:row>
      <xdr:rowOff>161191</xdr:rowOff>
    </xdr:to>
    <xdr:sp macro="" textlink="">
      <xdr:nvSpPr>
        <xdr:cNvPr id="4" name="CuadroTexto 3">
          <a:extLst>
            <a:ext uri="{FF2B5EF4-FFF2-40B4-BE49-F238E27FC236}">
              <a16:creationId xmlns:a16="http://schemas.microsoft.com/office/drawing/2014/main" id="{00000000-0008-0000-0500-000004000000}"/>
            </a:ext>
          </a:extLst>
        </xdr:cNvPr>
        <xdr:cNvSpPr txBox="1"/>
      </xdr:nvSpPr>
      <xdr:spPr>
        <a:xfrm>
          <a:off x="13716000" y="769327"/>
          <a:ext cx="2322635" cy="476249"/>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marcadas</a:t>
          </a:r>
          <a:r>
            <a:rPr lang="es-ES" sz="1200" baseline="0">
              <a:latin typeface="Arial Narrow" panose="020B0606020202030204" pitchFamily="34" charset="0"/>
            </a:rPr>
            <a:t> por las principales tecnologías (%)</a:t>
          </a:r>
          <a:endParaRPr lang="es-ES" sz="1200">
            <a:latin typeface="Arial Narrow" panose="020B0606020202030204" pitchFamily="34" charset="0"/>
          </a:endParaRPr>
        </a:p>
      </xdr:txBody>
    </xdr:sp>
    <xdr:clientData/>
  </xdr:twoCellAnchor>
  <xdr:twoCellAnchor>
    <xdr:from>
      <xdr:col>17</xdr:col>
      <xdr:colOff>0</xdr:colOff>
      <xdr:row>15</xdr:row>
      <xdr:rowOff>0</xdr:rowOff>
    </xdr:from>
    <xdr:to>
      <xdr:col>20</xdr:col>
      <xdr:colOff>0</xdr:colOff>
      <xdr:row>30</xdr:row>
      <xdr:rowOff>0</xdr:rowOff>
    </xdr:to>
    <xdr:sp macro="" textlink="">
      <xdr:nvSpPr>
        <xdr:cNvPr id="5" name="Rectángulo 4">
          <a:extLst>
            <a:ext uri="{FF2B5EF4-FFF2-40B4-BE49-F238E27FC236}">
              <a16:creationId xmlns:a16="http://schemas.microsoft.com/office/drawing/2014/main" id="{00000000-0008-0000-0500-000005000000}"/>
            </a:ext>
          </a:extLst>
        </xdr:cNvPr>
        <xdr:cNvSpPr/>
      </xdr:nvSpPr>
      <xdr:spPr>
        <a:xfrm>
          <a:off x="13716000" y="2476500"/>
          <a:ext cx="2322635" cy="2307981"/>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0</xdr:row>
      <xdr:rowOff>1</xdr:rowOff>
    </xdr:from>
    <xdr:to>
      <xdr:col>20</xdr:col>
      <xdr:colOff>0</xdr:colOff>
      <xdr:row>5</xdr:row>
      <xdr:rowOff>1</xdr:rowOff>
    </xdr:to>
    <xdr:sp macro="" textlink="">
      <xdr:nvSpPr>
        <xdr:cNvPr id="6" name="Rectángulo 5">
          <a:extLst>
            <a:ext uri="{FF2B5EF4-FFF2-40B4-BE49-F238E27FC236}">
              <a16:creationId xmlns:a16="http://schemas.microsoft.com/office/drawing/2014/main" id="{00000000-0008-0000-0500-000006000000}"/>
            </a:ext>
          </a:extLst>
        </xdr:cNvPr>
        <xdr:cNvSpPr/>
      </xdr:nvSpPr>
      <xdr:spPr>
        <a:xfrm>
          <a:off x="13020675" y="1"/>
          <a:ext cx="23241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0</xdr:row>
      <xdr:rowOff>0</xdr:rowOff>
    </xdr:from>
    <xdr:to>
      <xdr:col>12</xdr:col>
      <xdr:colOff>0</xdr:colOff>
      <xdr:row>5</xdr:row>
      <xdr:rowOff>0</xdr:rowOff>
    </xdr:to>
    <xdr:sp macro="" textlink="">
      <xdr:nvSpPr>
        <xdr:cNvPr id="7" name="Rectángulo 6">
          <a:extLst>
            <a:ext uri="{FF2B5EF4-FFF2-40B4-BE49-F238E27FC236}">
              <a16:creationId xmlns:a16="http://schemas.microsoft.com/office/drawing/2014/main" id="{00000000-0008-0000-0500-000007000000}"/>
            </a:ext>
          </a:extLst>
        </xdr:cNvPr>
        <xdr:cNvSpPr/>
      </xdr:nvSpPr>
      <xdr:spPr>
        <a:xfrm>
          <a:off x="7086600" y="0"/>
          <a:ext cx="249555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1</xdr:colOff>
      <xdr:row>0</xdr:row>
      <xdr:rowOff>0</xdr:rowOff>
    </xdr:from>
    <xdr:to>
      <xdr:col>15</xdr:col>
      <xdr:colOff>1</xdr:colOff>
      <xdr:row>5</xdr:row>
      <xdr:rowOff>0</xdr:rowOff>
    </xdr:to>
    <xdr:sp macro="" textlink="">
      <xdr:nvSpPr>
        <xdr:cNvPr id="8" name="Rectángulo 7">
          <a:extLst>
            <a:ext uri="{FF2B5EF4-FFF2-40B4-BE49-F238E27FC236}">
              <a16:creationId xmlns:a16="http://schemas.microsoft.com/office/drawing/2014/main" id="{00000000-0008-0000-0500-000008000000}"/>
            </a:ext>
          </a:extLst>
        </xdr:cNvPr>
        <xdr:cNvSpPr/>
      </xdr:nvSpPr>
      <xdr:spPr>
        <a:xfrm>
          <a:off x="9582151" y="0"/>
          <a:ext cx="22860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85175</xdr:colOff>
      <xdr:row>6</xdr:row>
      <xdr:rowOff>139211</xdr:rowOff>
    </xdr:from>
    <xdr:to>
      <xdr:col>19</xdr:col>
      <xdr:colOff>699263</xdr:colOff>
      <xdr:row>6</xdr:row>
      <xdr:rowOff>139211</xdr:rowOff>
    </xdr:to>
    <xdr:cxnSp macro="">
      <xdr:nvCxnSpPr>
        <xdr:cNvPr id="9" name="Conector recto 8">
          <a:extLst>
            <a:ext uri="{FF2B5EF4-FFF2-40B4-BE49-F238E27FC236}">
              <a16:creationId xmlns:a16="http://schemas.microsoft.com/office/drawing/2014/main" id="{00000000-0008-0000-0500-000009000000}"/>
            </a:ext>
          </a:extLst>
        </xdr:cNvPr>
        <xdr:cNvCxnSpPr/>
      </xdr:nvCxnSpPr>
      <xdr:spPr>
        <a:xfrm>
          <a:off x="13801175" y="1223596"/>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66307</xdr:colOff>
      <xdr:row>17</xdr:row>
      <xdr:rowOff>137745</xdr:rowOff>
    </xdr:from>
    <xdr:to>
      <xdr:col>19</xdr:col>
      <xdr:colOff>680395</xdr:colOff>
      <xdr:row>17</xdr:row>
      <xdr:rowOff>137745</xdr:rowOff>
    </xdr:to>
    <xdr:cxnSp macro="">
      <xdr:nvCxnSpPr>
        <xdr:cNvPr id="10" name="Conector recto 9">
          <a:extLst>
            <a:ext uri="{FF2B5EF4-FFF2-40B4-BE49-F238E27FC236}">
              <a16:creationId xmlns:a16="http://schemas.microsoft.com/office/drawing/2014/main" id="{00000000-0008-0000-0500-00000A000000}"/>
            </a:ext>
          </a:extLst>
        </xdr:cNvPr>
        <xdr:cNvCxnSpPr/>
      </xdr:nvCxnSpPr>
      <xdr:spPr>
        <a:xfrm>
          <a:off x="13782307" y="2921976"/>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30</xdr:row>
      <xdr:rowOff>10990</xdr:rowOff>
    </xdr:from>
    <xdr:to>
      <xdr:col>20</xdr:col>
      <xdr:colOff>0</xdr:colOff>
      <xdr:row>33</xdr:row>
      <xdr:rowOff>0</xdr:rowOff>
    </xdr:to>
    <xdr:sp macro="" textlink="">
      <xdr:nvSpPr>
        <xdr:cNvPr id="11" name="CuadroTexto 10">
          <a:extLst>
            <a:ext uri="{FF2B5EF4-FFF2-40B4-BE49-F238E27FC236}">
              <a16:creationId xmlns:a16="http://schemas.microsoft.com/office/drawing/2014/main" id="{00000000-0008-0000-0500-00000B000000}"/>
            </a:ext>
          </a:extLst>
        </xdr:cNvPr>
        <xdr:cNvSpPr txBox="1"/>
      </xdr:nvSpPr>
      <xdr:spPr>
        <a:xfrm>
          <a:off x="13716000" y="4795471"/>
          <a:ext cx="2322635" cy="45060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a:t>
          </a:r>
          <a:br>
            <a:rPr lang="es-ES" sz="1200" baseline="0">
              <a:latin typeface="Arial Narrow" panose="020B0606020202030204" pitchFamily="34" charset="0"/>
            </a:rPr>
          </a:br>
          <a:r>
            <a:rPr lang="es-ES" sz="1200" baseline="0">
              <a:latin typeface="Arial Narrow" panose="020B0606020202030204" pitchFamily="34" charset="0"/>
            </a:rPr>
            <a:t>(%)</a:t>
          </a:r>
          <a:endParaRPr lang="es-ES" sz="1200">
            <a:latin typeface="Arial Narrow" panose="020B0606020202030204" pitchFamily="34" charset="0"/>
          </a:endParaRPr>
        </a:p>
      </xdr:txBody>
    </xdr:sp>
    <xdr:clientData/>
  </xdr:twoCellAnchor>
  <xdr:twoCellAnchor>
    <xdr:from>
      <xdr:col>17</xdr:col>
      <xdr:colOff>35536</xdr:colOff>
      <xdr:row>33</xdr:row>
      <xdr:rowOff>3022</xdr:rowOff>
    </xdr:from>
    <xdr:to>
      <xdr:col>19</xdr:col>
      <xdr:colOff>649624</xdr:colOff>
      <xdr:row>33</xdr:row>
      <xdr:rowOff>3022</xdr:rowOff>
    </xdr:to>
    <xdr:cxnSp macro="">
      <xdr:nvCxnSpPr>
        <xdr:cNvPr id="13" name="Conector recto 12">
          <a:extLst>
            <a:ext uri="{FF2B5EF4-FFF2-40B4-BE49-F238E27FC236}">
              <a16:creationId xmlns:a16="http://schemas.microsoft.com/office/drawing/2014/main" id="{00000000-0008-0000-0500-00000D000000}"/>
            </a:ext>
          </a:extLst>
        </xdr:cNvPr>
        <xdr:cNvCxnSpPr/>
      </xdr:nvCxnSpPr>
      <xdr:spPr>
        <a:xfrm>
          <a:off x="13751536" y="5249099"/>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65941</xdr:colOff>
      <xdr:row>8</xdr:row>
      <xdr:rowOff>153865</xdr:rowOff>
    </xdr:from>
    <xdr:to>
      <xdr:col>19</xdr:col>
      <xdr:colOff>14654</xdr:colOff>
      <xdr:row>10</xdr:row>
      <xdr:rowOff>139210</xdr:rowOff>
    </xdr:to>
    <xdr:sp macro="" textlink="[1]omie_dinamic_dia!$K$6">
      <xdr:nvSpPr>
        <xdr:cNvPr id="14" name="CuadroTexto 1">
          <a:extLst>
            <a:ext uri="{FF2B5EF4-FFF2-40B4-BE49-F238E27FC236}">
              <a16:creationId xmlns:a16="http://schemas.microsoft.com/office/drawing/2014/main" id="{00000000-0008-0000-0500-00000E000000}"/>
            </a:ext>
          </a:extLst>
        </xdr:cNvPr>
        <xdr:cNvSpPr txBox="1"/>
      </xdr:nvSpPr>
      <xdr:spPr>
        <a:xfrm>
          <a:off x="14543941" y="1553307"/>
          <a:ext cx="710713" cy="293076"/>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5F058528-BE17-476D-A9E3-52C422B0B3CF}" type="TxLink">
            <a:rPr lang="en-US" sz="1200" b="1" i="0" u="none" strike="noStrike">
              <a:solidFill>
                <a:schemeClr val="accent2"/>
              </a:solidFill>
              <a:latin typeface="Arial"/>
              <a:ea typeface="+mn-ea"/>
              <a:cs typeface="Arial"/>
            </a:rPr>
            <a:pPr marL="0" indent="0" algn="ctr"/>
            <a:t>2,5%</a:t>
          </a:fld>
          <a:endParaRPr lang="es-ES" sz="1200" b="1" i="0" u="none" strike="noStrike">
            <a:solidFill>
              <a:schemeClr val="accent2"/>
            </a:solidFill>
            <a:latin typeface="Arial"/>
            <a:ea typeface="+mn-ea"/>
            <a:cs typeface="Arial"/>
          </a:endParaRPr>
        </a:p>
      </xdr:txBody>
    </xdr:sp>
    <xdr:clientData/>
  </xdr:twoCellAnchor>
  <xdr:twoCellAnchor editAs="oneCell">
    <xdr:from>
      <xdr:col>17</xdr:col>
      <xdr:colOff>58617</xdr:colOff>
      <xdr:row>7</xdr:row>
      <xdr:rowOff>43962</xdr:rowOff>
    </xdr:from>
    <xdr:to>
      <xdr:col>19</xdr:col>
      <xdr:colOff>732693</xdr:colOff>
      <xdr:row>8</xdr:row>
      <xdr:rowOff>60893</xdr:rowOff>
    </xdr:to>
    <xdr:pic>
      <xdr:nvPicPr>
        <xdr:cNvPr id="15" name="Imagen 14">
          <a:extLst>
            <a:ext uri="{FF2B5EF4-FFF2-40B4-BE49-F238E27FC236}">
              <a16:creationId xmlns:a16="http://schemas.microsoft.com/office/drawing/2014/main" id="{00000000-0008-0000-0500-00000F000000}"/>
            </a:ext>
          </a:extLst>
        </xdr:cNvPr>
        <xdr:cNvPicPr>
          <a:picLocks noChangeAspect="1"/>
        </xdr:cNvPicPr>
      </xdr:nvPicPr>
      <xdr:blipFill>
        <a:blip xmlns:r="http://schemas.openxmlformats.org/officeDocument/2006/relationships" r:embed="rId2"/>
        <a:stretch>
          <a:fillRect/>
        </a:stretch>
      </xdr:blipFill>
      <xdr:spPr>
        <a:xfrm>
          <a:off x="13774617" y="1289539"/>
          <a:ext cx="2198076" cy="170796"/>
        </a:xfrm>
        <a:prstGeom prst="rect">
          <a:avLst/>
        </a:prstGeom>
      </xdr:spPr>
    </xdr:pic>
    <xdr:clientData/>
  </xdr:twoCellAnchor>
  <xdr:twoCellAnchor>
    <xdr:from>
      <xdr:col>17</xdr:col>
      <xdr:colOff>57150</xdr:colOff>
      <xdr:row>9</xdr:row>
      <xdr:rowOff>5861</xdr:rowOff>
    </xdr:from>
    <xdr:to>
      <xdr:col>17</xdr:col>
      <xdr:colOff>731228</xdr:colOff>
      <xdr:row>10</xdr:row>
      <xdr:rowOff>145072</xdr:rowOff>
    </xdr:to>
    <xdr:sp macro="" textlink="[1]omie_dinamic_dia!$I$6">
      <xdr:nvSpPr>
        <xdr:cNvPr id="16" name="CuadroTexto 1">
          <a:extLst>
            <a:ext uri="{FF2B5EF4-FFF2-40B4-BE49-F238E27FC236}">
              <a16:creationId xmlns:a16="http://schemas.microsoft.com/office/drawing/2014/main" id="{00000000-0008-0000-0500-000010000000}"/>
            </a:ext>
          </a:extLst>
        </xdr:cNvPr>
        <xdr:cNvSpPr txBox="1"/>
      </xdr:nvSpPr>
      <xdr:spPr>
        <a:xfrm>
          <a:off x="13773150" y="1559169"/>
          <a:ext cx="674078" cy="293076"/>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4627F6AA-9CD2-4938-899E-947A01933C91}" type="TxLink">
            <a:rPr lang="en-US" sz="1200" b="1" i="0" u="none" strike="noStrike">
              <a:solidFill>
                <a:schemeClr val="accent6"/>
              </a:solidFill>
              <a:latin typeface="Arial"/>
              <a:ea typeface="+mn-ea"/>
              <a:cs typeface="Arial"/>
            </a:rPr>
            <a:pPr marL="0" indent="0" algn="ctr"/>
            <a:t>38,8%</a:t>
          </a:fld>
          <a:endParaRPr lang="es-ES" sz="1200" b="1" i="0" u="none" strike="noStrike">
            <a:solidFill>
              <a:schemeClr val="accent6"/>
            </a:solidFill>
            <a:latin typeface="Arial"/>
            <a:ea typeface="+mn-ea"/>
            <a:cs typeface="Arial"/>
          </a:endParaRPr>
        </a:p>
      </xdr:txBody>
    </xdr:sp>
    <xdr:clientData/>
  </xdr:twoCellAnchor>
  <xdr:twoCellAnchor>
    <xdr:from>
      <xdr:col>19</xdr:col>
      <xdr:colOff>86457</xdr:colOff>
      <xdr:row>9</xdr:row>
      <xdr:rowOff>13187</xdr:rowOff>
    </xdr:from>
    <xdr:to>
      <xdr:col>19</xdr:col>
      <xdr:colOff>740020</xdr:colOff>
      <xdr:row>10</xdr:row>
      <xdr:rowOff>146538</xdr:rowOff>
    </xdr:to>
    <xdr:sp macro="" textlink="[1]omie_dinamic_dia!$M$6">
      <xdr:nvSpPr>
        <xdr:cNvPr id="17" name="CuadroTexto 1">
          <a:extLst>
            <a:ext uri="{FF2B5EF4-FFF2-40B4-BE49-F238E27FC236}">
              <a16:creationId xmlns:a16="http://schemas.microsoft.com/office/drawing/2014/main" id="{00000000-0008-0000-0500-000011000000}"/>
            </a:ext>
          </a:extLst>
        </xdr:cNvPr>
        <xdr:cNvSpPr txBox="1"/>
      </xdr:nvSpPr>
      <xdr:spPr>
        <a:xfrm>
          <a:off x="15326457" y="1566495"/>
          <a:ext cx="653563" cy="287216"/>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F09DA1D6-99D8-4D0E-A38A-6381D565D981}" type="TxLink">
            <a:rPr lang="en-US" sz="1200" b="1" i="0" u="none" strike="noStrike">
              <a:solidFill>
                <a:schemeClr val="accent1"/>
              </a:solidFill>
              <a:latin typeface="Arial"/>
              <a:ea typeface="+mn-ea"/>
              <a:cs typeface="Arial"/>
            </a:rPr>
            <a:pPr marL="0" indent="0" algn="ctr"/>
            <a:t>37,5%</a:t>
          </a:fld>
          <a:endParaRPr lang="es-ES" sz="1200" b="1" i="0" u="none" strike="noStrike">
            <a:solidFill>
              <a:schemeClr val="accent1"/>
            </a:solidFill>
            <a:latin typeface="Arial"/>
            <a:ea typeface="+mn-ea"/>
            <a:cs typeface="Arial"/>
          </a:endParaRPr>
        </a:p>
      </xdr:txBody>
    </xdr:sp>
    <xdr:clientData/>
  </xdr:twoCellAnchor>
  <xdr:oneCellAnchor>
    <xdr:from>
      <xdr:col>17</xdr:col>
      <xdr:colOff>100269</xdr:colOff>
      <xdr:row>19</xdr:row>
      <xdr:rowOff>16293</xdr:rowOff>
    </xdr:from>
    <xdr:ext cx="569836" cy="269369"/>
    <xdr:sp macro="" textlink="[1]curva_precios_tec_2024!$V$2">
      <xdr:nvSpPr>
        <xdr:cNvPr id="18" name="CuadroTexto 1">
          <a:extLst>
            <a:ext uri="{FF2B5EF4-FFF2-40B4-BE49-F238E27FC236}">
              <a16:creationId xmlns:a16="http://schemas.microsoft.com/office/drawing/2014/main" id="{00000000-0008-0000-0500-000012000000}"/>
            </a:ext>
          </a:extLst>
        </xdr:cNvPr>
        <xdr:cNvSpPr txBox="1"/>
      </xdr:nvSpPr>
      <xdr:spPr>
        <a:xfrm>
          <a:off x="13237442" y="3108255"/>
          <a:ext cx="56983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5CB5AD5-F300-4BB2-BA29-A82CA49DD408}" type="TxLink">
            <a:rPr lang="en-US" sz="1200" b="1" i="0" u="none" strike="noStrike">
              <a:solidFill>
                <a:schemeClr val="accent6"/>
              </a:solidFill>
              <a:latin typeface="Arial"/>
              <a:ea typeface="+mn-ea"/>
              <a:cs typeface="Arial"/>
            </a:rPr>
            <a:pPr marL="0" indent="0" algn="r"/>
            <a:t>23,08</a:t>
          </a:fld>
          <a:endParaRPr lang="es-ES" sz="1200" b="1" i="0" u="none" strike="noStrike">
            <a:solidFill>
              <a:schemeClr val="accent6"/>
            </a:solidFill>
            <a:latin typeface="Arial"/>
            <a:ea typeface="+mn-ea"/>
            <a:cs typeface="Arial"/>
          </a:endParaRPr>
        </a:p>
      </xdr:txBody>
    </xdr:sp>
    <xdr:clientData/>
  </xdr:oneCellAnchor>
  <xdr:oneCellAnchor>
    <xdr:from>
      <xdr:col>17</xdr:col>
      <xdr:colOff>731242</xdr:colOff>
      <xdr:row>19</xdr:row>
      <xdr:rowOff>22154</xdr:rowOff>
    </xdr:from>
    <xdr:ext cx="655436" cy="269369"/>
    <xdr:sp macro="" textlink="[1]curva_precios_tec_2024!$W$2">
      <xdr:nvSpPr>
        <xdr:cNvPr id="19" name="CuadroTexto 1">
          <a:extLst>
            <a:ext uri="{FF2B5EF4-FFF2-40B4-BE49-F238E27FC236}">
              <a16:creationId xmlns:a16="http://schemas.microsoft.com/office/drawing/2014/main" id="{00000000-0008-0000-0500-000013000000}"/>
            </a:ext>
          </a:extLst>
        </xdr:cNvPr>
        <xdr:cNvSpPr txBox="1"/>
      </xdr:nvSpPr>
      <xdr:spPr>
        <a:xfrm>
          <a:off x="13868415" y="3114116"/>
          <a:ext cx="65543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BE2D409-6E2D-4FF7-B74B-12A1A656BBE8}" type="TxLink">
            <a:rPr lang="en-US" sz="1200" b="1" i="0" u="none" strike="noStrike">
              <a:solidFill>
                <a:schemeClr val="accent2"/>
              </a:solidFill>
              <a:latin typeface="Arial"/>
              <a:ea typeface="+mn-ea"/>
              <a:cs typeface="Arial"/>
            </a:rPr>
            <a:pPr marL="0" indent="0" algn="r"/>
            <a:t>128,61</a:t>
          </a:fld>
          <a:endParaRPr lang="es-ES" sz="1200" b="1" i="0" u="none" strike="noStrike">
            <a:solidFill>
              <a:schemeClr val="accent2"/>
            </a:solidFill>
            <a:latin typeface="Arial"/>
            <a:ea typeface="+mn-ea"/>
            <a:cs typeface="Arial"/>
          </a:endParaRPr>
        </a:p>
      </xdr:txBody>
    </xdr:sp>
    <xdr:clientData/>
  </xdr:oneCellAnchor>
  <xdr:oneCellAnchor>
    <xdr:from>
      <xdr:col>19</xdr:col>
      <xdr:colOff>18206</xdr:colOff>
      <xdr:row>19</xdr:row>
      <xdr:rowOff>14828</xdr:rowOff>
    </xdr:from>
    <xdr:ext cx="569836" cy="269369"/>
    <xdr:sp macro="" textlink="[1]curva_precios_tec_2024!$X$2">
      <xdr:nvSpPr>
        <xdr:cNvPr id="20" name="CuadroTexto 1">
          <a:extLst>
            <a:ext uri="{FF2B5EF4-FFF2-40B4-BE49-F238E27FC236}">
              <a16:creationId xmlns:a16="http://schemas.microsoft.com/office/drawing/2014/main" id="{00000000-0008-0000-0500-000014000000}"/>
            </a:ext>
          </a:extLst>
        </xdr:cNvPr>
        <xdr:cNvSpPr txBox="1"/>
      </xdr:nvSpPr>
      <xdr:spPr>
        <a:xfrm>
          <a:off x="14921168" y="3106790"/>
          <a:ext cx="56983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693FD3DD-EB52-4EA4-B4F6-2FF9279FA19A}" type="TxLink">
            <a:rPr lang="en-US" sz="1200" b="1" i="0" u="none" strike="noStrike">
              <a:solidFill>
                <a:schemeClr val="accent1"/>
              </a:solidFill>
              <a:latin typeface="Arial"/>
              <a:ea typeface="+mn-ea"/>
              <a:cs typeface="Arial"/>
            </a:rPr>
            <a:pPr marL="0" indent="0" algn="r"/>
            <a:t>75,78</a:t>
          </a:fld>
          <a:endParaRPr lang="es-ES" sz="1200" b="1" i="0" u="none" strike="noStrike">
            <a:solidFill>
              <a:schemeClr val="accent1"/>
            </a:solidFill>
            <a:latin typeface="Arial"/>
            <a:ea typeface="+mn-ea"/>
            <a:cs typeface="Arial"/>
          </a:endParaRPr>
        </a:p>
      </xdr:txBody>
    </xdr:sp>
    <xdr:clientData/>
  </xdr:oneCellAnchor>
  <xdr:twoCellAnchor editAs="oneCell">
    <xdr:from>
      <xdr:col>17</xdr:col>
      <xdr:colOff>175847</xdr:colOff>
      <xdr:row>18</xdr:row>
      <xdr:rowOff>36634</xdr:rowOff>
    </xdr:from>
    <xdr:to>
      <xdr:col>19</xdr:col>
      <xdr:colOff>621990</xdr:colOff>
      <xdr:row>19</xdr:row>
      <xdr:rowOff>24618</xdr:rowOff>
    </xdr:to>
    <xdr:pic>
      <xdr:nvPicPr>
        <xdr:cNvPr id="21" name="Imagen 20">
          <a:extLst>
            <a:ext uri="{FF2B5EF4-FFF2-40B4-BE49-F238E27FC236}">
              <a16:creationId xmlns:a16="http://schemas.microsoft.com/office/drawing/2014/main" id="{00000000-0008-0000-0500-000015000000}"/>
            </a:ext>
          </a:extLst>
        </xdr:cNvPr>
        <xdr:cNvPicPr>
          <a:picLocks noChangeAspect="1"/>
        </xdr:cNvPicPr>
      </xdr:nvPicPr>
      <xdr:blipFill>
        <a:blip xmlns:r="http://schemas.openxmlformats.org/officeDocument/2006/relationships" r:embed="rId3"/>
        <a:stretch>
          <a:fillRect/>
        </a:stretch>
      </xdr:blipFill>
      <xdr:spPr>
        <a:xfrm>
          <a:off x="13891847" y="2974730"/>
          <a:ext cx="1970143" cy="141850"/>
        </a:xfrm>
        <a:prstGeom prst="rect">
          <a:avLst/>
        </a:prstGeom>
      </xdr:spPr>
    </xdr:pic>
    <xdr:clientData/>
  </xdr:twoCellAnchor>
  <xdr:twoCellAnchor>
    <xdr:from>
      <xdr:col>16</xdr:col>
      <xdr:colOff>505558</xdr:colOff>
      <xdr:row>20</xdr:row>
      <xdr:rowOff>87924</xdr:rowOff>
    </xdr:from>
    <xdr:to>
      <xdr:col>19</xdr:col>
      <xdr:colOff>732693</xdr:colOff>
      <xdr:row>29</xdr:row>
      <xdr:rowOff>146539</xdr:rowOff>
    </xdr:to>
    <xdr:graphicFrame macro="">
      <xdr:nvGraphicFramePr>
        <xdr:cNvPr id="22" name="Gráfico 21">
          <a:extLst>
            <a:ext uri="{FF2B5EF4-FFF2-40B4-BE49-F238E27FC236}">
              <a16:creationId xmlns:a16="http://schemas.microsoft.com/office/drawing/2014/main" id="{00000000-0008-0000-05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0</xdr:colOff>
      <xdr:row>5</xdr:row>
      <xdr:rowOff>0</xdr:rowOff>
    </xdr:from>
    <xdr:to>
      <xdr:col>21</xdr:col>
      <xdr:colOff>0</xdr:colOff>
      <xdr:row>7</xdr:row>
      <xdr:rowOff>0</xdr:rowOff>
    </xdr:to>
    <xdr:sp macro="" textlink="">
      <xdr:nvSpPr>
        <xdr:cNvPr id="23" name="CuadroTexto 22">
          <a:extLst>
            <a:ext uri="{FF2B5EF4-FFF2-40B4-BE49-F238E27FC236}">
              <a16:creationId xmlns:a16="http://schemas.microsoft.com/office/drawing/2014/main" id="{00000000-0008-0000-0500-000017000000}"/>
            </a:ext>
          </a:extLst>
        </xdr:cNvPr>
        <xdr:cNvSpPr txBox="1"/>
      </xdr:nvSpPr>
      <xdr:spPr>
        <a:xfrm>
          <a:off x="16038635" y="769327"/>
          <a:ext cx="2242038" cy="47625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Last Price GDAES_D+1</a:t>
          </a:r>
          <a:br>
            <a:rPr lang="es-ES" sz="1200" baseline="0">
              <a:latin typeface="Arial Narrow" panose="020B0606020202030204" pitchFamily="34" charset="0"/>
            </a:rPr>
          </a:br>
          <a:r>
            <a:rPr lang="es-ES" sz="1200" baseline="0">
              <a:latin typeface="Arial Narrow" panose="020B0606020202030204" pitchFamily="34" charset="0"/>
            </a:rPr>
            <a:t>(€/MWh)</a:t>
          </a:r>
          <a:endParaRPr lang="es-ES" sz="1200">
            <a:latin typeface="Arial Narrow" panose="020B0606020202030204" pitchFamily="34" charset="0"/>
          </a:endParaRPr>
        </a:p>
      </xdr:txBody>
    </xdr:sp>
    <xdr:clientData/>
  </xdr:twoCellAnchor>
  <xdr:twoCellAnchor>
    <xdr:from>
      <xdr:col>17</xdr:col>
      <xdr:colOff>0</xdr:colOff>
      <xdr:row>5</xdr:row>
      <xdr:rowOff>0</xdr:rowOff>
    </xdr:from>
    <xdr:to>
      <xdr:col>20</xdr:col>
      <xdr:colOff>0</xdr:colOff>
      <xdr:row>15</xdr:row>
      <xdr:rowOff>0</xdr:rowOff>
    </xdr:to>
    <xdr:sp macro="" textlink="">
      <xdr:nvSpPr>
        <xdr:cNvPr id="24" name="Rectángulo 23">
          <a:extLst>
            <a:ext uri="{FF2B5EF4-FFF2-40B4-BE49-F238E27FC236}">
              <a16:creationId xmlns:a16="http://schemas.microsoft.com/office/drawing/2014/main" id="{00000000-0008-0000-0500-000018000000}"/>
            </a:ext>
          </a:extLst>
        </xdr:cNvPr>
        <xdr:cNvSpPr/>
      </xdr:nvSpPr>
      <xdr:spPr>
        <a:xfrm>
          <a:off x="13716000" y="769327"/>
          <a:ext cx="2322635" cy="1707173"/>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0</xdr:colOff>
      <xdr:row>5</xdr:row>
      <xdr:rowOff>0</xdr:rowOff>
    </xdr:from>
    <xdr:to>
      <xdr:col>21</xdr:col>
      <xdr:colOff>0</xdr:colOff>
      <xdr:row>17</xdr:row>
      <xdr:rowOff>0</xdr:rowOff>
    </xdr:to>
    <xdr:sp macro="" textlink="">
      <xdr:nvSpPr>
        <xdr:cNvPr id="25" name="Rectángulo 24">
          <a:extLst>
            <a:ext uri="{FF2B5EF4-FFF2-40B4-BE49-F238E27FC236}">
              <a16:creationId xmlns:a16="http://schemas.microsoft.com/office/drawing/2014/main" id="{00000000-0008-0000-0500-000019000000}"/>
            </a:ext>
          </a:extLst>
        </xdr:cNvPr>
        <xdr:cNvSpPr/>
      </xdr:nvSpPr>
      <xdr:spPr>
        <a:xfrm>
          <a:off x="16038635" y="769327"/>
          <a:ext cx="2242038" cy="2014904"/>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21</xdr:col>
      <xdr:colOff>1436329</xdr:colOff>
      <xdr:row>7</xdr:row>
      <xdr:rowOff>48357</xdr:rowOff>
    </xdr:from>
    <xdr:to>
      <xdr:col>21</xdr:col>
      <xdr:colOff>2176349</xdr:colOff>
      <xdr:row>9</xdr:row>
      <xdr:rowOff>27843</xdr:rowOff>
    </xdr:to>
    <xdr:sp macro="" textlink="[1]gas!$F$5">
      <xdr:nvSpPr>
        <xdr:cNvPr id="26" name="CuadroTexto 1">
          <a:extLst>
            <a:ext uri="{FF2B5EF4-FFF2-40B4-BE49-F238E27FC236}">
              <a16:creationId xmlns:a16="http://schemas.microsoft.com/office/drawing/2014/main" id="{00000000-0008-0000-0500-00001A000000}"/>
            </a:ext>
          </a:extLst>
        </xdr:cNvPr>
        <xdr:cNvSpPr txBox="1"/>
      </xdr:nvSpPr>
      <xdr:spPr>
        <a:xfrm>
          <a:off x="16786233" y="1293934"/>
          <a:ext cx="740020" cy="287217"/>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A5C7D6D-184B-49E3-B106-12047537AD4D}" type="TxLink">
            <a:rPr lang="en-US" sz="1200" b="1" i="0" u="none" strike="noStrike">
              <a:solidFill>
                <a:srgbClr val="7030A0"/>
              </a:solidFill>
              <a:latin typeface="Arial"/>
              <a:ea typeface="+mn-ea"/>
              <a:cs typeface="Arial"/>
            </a:rPr>
            <a:pPr marL="0" indent="0" algn="r"/>
            <a:t>34,35</a:t>
          </a:fld>
          <a:endParaRPr lang="es-ES" sz="1200" b="1" i="0" u="none" strike="noStrike">
            <a:solidFill>
              <a:srgbClr val="7030A0"/>
            </a:solidFill>
            <a:latin typeface="Arial"/>
            <a:ea typeface="+mn-ea"/>
            <a:cs typeface="Arial"/>
          </a:endParaRPr>
        </a:p>
      </xdr:txBody>
    </xdr:sp>
    <xdr:clientData/>
  </xdr:twoCellAnchor>
  <xdr:twoCellAnchor>
    <xdr:from>
      <xdr:col>20</xdr:col>
      <xdr:colOff>65940</xdr:colOff>
      <xdr:row>6</xdr:row>
      <xdr:rowOff>153865</xdr:rowOff>
    </xdr:from>
    <xdr:to>
      <xdr:col>20</xdr:col>
      <xdr:colOff>2117480</xdr:colOff>
      <xdr:row>6</xdr:row>
      <xdr:rowOff>157528</xdr:rowOff>
    </xdr:to>
    <xdr:cxnSp macro="">
      <xdr:nvCxnSpPr>
        <xdr:cNvPr id="27" name="Conector recto 26">
          <a:extLst>
            <a:ext uri="{FF2B5EF4-FFF2-40B4-BE49-F238E27FC236}">
              <a16:creationId xmlns:a16="http://schemas.microsoft.com/office/drawing/2014/main" id="{00000000-0008-0000-0500-00001B000000}"/>
            </a:ext>
          </a:extLst>
        </xdr:cNvPr>
        <xdr:cNvCxnSpPr/>
      </xdr:nvCxnSpPr>
      <xdr:spPr>
        <a:xfrm flipV="1">
          <a:off x="16104575" y="1238250"/>
          <a:ext cx="2051540" cy="366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17</xdr:row>
      <xdr:rowOff>1</xdr:rowOff>
    </xdr:from>
    <xdr:to>
      <xdr:col>21</xdr:col>
      <xdr:colOff>0</xdr:colOff>
      <xdr:row>20</xdr:row>
      <xdr:rowOff>1</xdr:rowOff>
    </xdr:to>
    <xdr:sp macro="" textlink="">
      <xdr:nvSpPr>
        <xdr:cNvPr id="28" name="CuadroTexto 27">
          <a:extLst>
            <a:ext uri="{FF2B5EF4-FFF2-40B4-BE49-F238E27FC236}">
              <a16:creationId xmlns:a16="http://schemas.microsoft.com/office/drawing/2014/main" id="{00000000-0008-0000-0500-00001C000000}"/>
            </a:ext>
          </a:extLst>
        </xdr:cNvPr>
        <xdr:cNvSpPr txBox="1"/>
      </xdr:nvSpPr>
      <xdr:spPr>
        <a:xfrm>
          <a:off x="16038635" y="2784232"/>
          <a:ext cx="2242038" cy="46159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17</xdr:row>
      <xdr:rowOff>1</xdr:rowOff>
    </xdr:from>
    <xdr:to>
      <xdr:col>21</xdr:col>
      <xdr:colOff>0</xdr:colOff>
      <xdr:row>30</xdr:row>
      <xdr:rowOff>0</xdr:rowOff>
    </xdr:to>
    <xdr:sp macro="" textlink="">
      <xdr:nvSpPr>
        <xdr:cNvPr id="29" name="Rectángulo 28">
          <a:extLst>
            <a:ext uri="{FF2B5EF4-FFF2-40B4-BE49-F238E27FC236}">
              <a16:creationId xmlns:a16="http://schemas.microsoft.com/office/drawing/2014/main" id="{00000000-0008-0000-0500-00001D000000}"/>
            </a:ext>
          </a:extLst>
        </xdr:cNvPr>
        <xdr:cNvSpPr/>
      </xdr:nvSpPr>
      <xdr:spPr>
        <a:xfrm>
          <a:off x="16038635" y="2784232"/>
          <a:ext cx="2242038" cy="200024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65940</xdr:colOff>
      <xdr:row>19</xdr:row>
      <xdr:rowOff>146538</xdr:rowOff>
    </xdr:from>
    <xdr:to>
      <xdr:col>20</xdr:col>
      <xdr:colOff>2073518</xdr:colOff>
      <xdr:row>19</xdr:row>
      <xdr:rowOff>146539</xdr:rowOff>
    </xdr:to>
    <xdr:cxnSp macro="">
      <xdr:nvCxnSpPr>
        <xdr:cNvPr id="30" name="Conector recto 29">
          <a:extLst>
            <a:ext uri="{FF2B5EF4-FFF2-40B4-BE49-F238E27FC236}">
              <a16:creationId xmlns:a16="http://schemas.microsoft.com/office/drawing/2014/main" id="{00000000-0008-0000-0500-00001E000000}"/>
            </a:ext>
          </a:extLst>
        </xdr:cNvPr>
        <xdr:cNvCxnSpPr/>
      </xdr:nvCxnSpPr>
      <xdr:spPr>
        <a:xfrm flipV="1">
          <a:off x="16104575" y="3238500"/>
          <a:ext cx="2007578" cy="1"/>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0</xdr:row>
      <xdr:rowOff>0</xdr:rowOff>
    </xdr:from>
    <xdr:to>
      <xdr:col>21</xdr:col>
      <xdr:colOff>0</xdr:colOff>
      <xdr:row>5</xdr:row>
      <xdr:rowOff>0</xdr:rowOff>
    </xdr:to>
    <xdr:sp macro="" textlink="">
      <xdr:nvSpPr>
        <xdr:cNvPr id="31" name="Rectángulo 30">
          <a:extLst>
            <a:ext uri="{FF2B5EF4-FFF2-40B4-BE49-F238E27FC236}">
              <a16:creationId xmlns:a16="http://schemas.microsoft.com/office/drawing/2014/main" id="{00000000-0008-0000-0500-00001F000000}"/>
            </a:ext>
          </a:extLst>
        </xdr:cNvPr>
        <xdr:cNvSpPr/>
      </xdr:nvSpPr>
      <xdr:spPr>
        <a:xfrm>
          <a:off x="15344775" y="0"/>
          <a:ext cx="22383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67331</xdr:colOff>
      <xdr:row>0</xdr:row>
      <xdr:rowOff>39666</xdr:rowOff>
    </xdr:from>
    <xdr:to>
      <xdr:col>20</xdr:col>
      <xdr:colOff>2095500</xdr:colOff>
      <xdr:row>2</xdr:row>
      <xdr:rowOff>25012</xdr:rowOff>
    </xdr:to>
    <xdr:sp macro="" textlink="">
      <xdr:nvSpPr>
        <xdr:cNvPr id="32" name="CuadroTexto 31">
          <a:extLst>
            <a:ext uri="{FF2B5EF4-FFF2-40B4-BE49-F238E27FC236}">
              <a16:creationId xmlns:a16="http://schemas.microsoft.com/office/drawing/2014/main" id="{00000000-0008-0000-0500-000020000000}"/>
            </a:ext>
          </a:extLst>
        </xdr:cNvPr>
        <xdr:cNvSpPr txBox="1"/>
      </xdr:nvSpPr>
      <xdr:spPr>
        <a:xfrm>
          <a:off x="15412106" y="39666"/>
          <a:ext cx="2028169"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20</xdr:col>
      <xdr:colOff>72258</xdr:colOff>
      <xdr:row>2</xdr:row>
      <xdr:rowOff>71803</xdr:rowOff>
    </xdr:from>
    <xdr:to>
      <xdr:col>20</xdr:col>
      <xdr:colOff>2108638</xdr:colOff>
      <xdr:row>4</xdr:row>
      <xdr:rowOff>57149</xdr:rowOff>
    </xdr:to>
    <xdr:sp macro="" textlink="">
      <xdr:nvSpPr>
        <xdr:cNvPr id="33" name="CuadroTexto 32">
          <a:extLst>
            <a:ext uri="{FF2B5EF4-FFF2-40B4-BE49-F238E27FC236}">
              <a16:creationId xmlns:a16="http://schemas.microsoft.com/office/drawing/2014/main" id="{00000000-0008-0000-0500-000021000000}"/>
            </a:ext>
          </a:extLst>
        </xdr:cNvPr>
        <xdr:cNvSpPr txBox="1"/>
      </xdr:nvSpPr>
      <xdr:spPr>
        <a:xfrm>
          <a:off x="15417033" y="376603"/>
          <a:ext cx="2036380"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#miniporraabril2024</a:t>
          </a:r>
        </a:p>
      </xdr:txBody>
    </xdr:sp>
    <xdr:clientData/>
  </xdr:twoCellAnchor>
  <xdr:twoCellAnchor>
    <xdr:from>
      <xdr:col>20</xdr:col>
      <xdr:colOff>73269</xdr:colOff>
      <xdr:row>20</xdr:row>
      <xdr:rowOff>1</xdr:rowOff>
    </xdr:from>
    <xdr:to>
      <xdr:col>20</xdr:col>
      <xdr:colOff>2168768</xdr:colOff>
      <xdr:row>29</xdr:row>
      <xdr:rowOff>124559</xdr:rowOff>
    </xdr:to>
    <xdr:graphicFrame macro="">
      <xdr:nvGraphicFramePr>
        <xdr:cNvPr id="34" name="Gráfico 33">
          <a:extLst>
            <a:ext uri="{FF2B5EF4-FFF2-40B4-BE49-F238E27FC236}">
              <a16:creationId xmlns:a16="http://schemas.microsoft.com/office/drawing/2014/main" id="{00000000-0008-0000-05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1242345</xdr:colOff>
      <xdr:row>18</xdr:row>
      <xdr:rowOff>41586</xdr:rowOff>
    </xdr:from>
    <xdr:to>
      <xdr:col>21</xdr:col>
      <xdr:colOff>2112785</xdr:colOff>
      <xdr:row>20</xdr:row>
      <xdr:rowOff>18292</xdr:rowOff>
    </xdr:to>
    <xdr:sp macro="" textlink="[1]co2!$F$6">
      <xdr:nvSpPr>
        <xdr:cNvPr id="35" name="CuadroTexto 1">
          <a:extLst>
            <a:ext uri="{FF2B5EF4-FFF2-40B4-BE49-F238E27FC236}">
              <a16:creationId xmlns:a16="http://schemas.microsoft.com/office/drawing/2014/main" id="{00000000-0008-0000-0500-000023000000}"/>
            </a:ext>
          </a:extLst>
        </xdr:cNvPr>
        <xdr:cNvSpPr txBox="1"/>
      </xdr:nvSpPr>
      <xdr:spPr>
        <a:xfrm>
          <a:off x="16592249" y="2979682"/>
          <a:ext cx="870440" cy="284437"/>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4C71EA8-E455-4BC4-8148-EDD2FD2E021B}" type="TxLink">
            <a:rPr lang="en-US" sz="1200" b="1" i="0" u="none" strike="noStrike">
              <a:solidFill>
                <a:srgbClr val="7030A0"/>
              </a:solidFill>
              <a:latin typeface="Arial"/>
              <a:ea typeface="+mn-ea"/>
              <a:cs typeface="Arial"/>
            </a:rPr>
            <a:pPr marL="0" indent="0" algn="r"/>
            <a:t>70,97</a:t>
          </a:fld>
          <a:endParaRPr lang="es-ES" sz="1200" b="1" i="0" u="none" strike="noStrike">
            <a:solidFill>
              <a:srgbClr val="7030A0"/>
            </a:solidFill>
            <a:latin typeface="Arial"/>
            <a:ea typeface="+mn-ea"/>
            <a:cs typeface="Arial"/>
          </a:endParaRPr>
        </a:p>
      </xdr:txBody>
    </xdr:sp>
    <xdr:clientData/>
  </xdr:twoCellAnchor>
  <xdr:twoCellAnchor>
    <xdr:from>
      <xdr:col>20</xdr:col>
      <xdr:colOff>0</xdr:colOff>
      <xdr:row>30</xdr:row>
      <xdr:rowOff>0</xdr:rowOff>
    </xdr:from>
    <xdr:to>
      <xdr:col>21</xdr:col>
      <xdr:colOff>0</xdr:colOff>
      <xdr:row>33</xdr:row>
      <xdr:rowOff>0</xdr:rowOff>
    </xdr:to>
    <xdr:sp macro="" textlink="">
      <xdr:nvSpPr>
        <xdr:cNvPr id="36" name="CuadroTexto 35">
          <a:extLst>
            <a:ext uri="{FF2B5EF4-FFF2-40B4-BE49-F238E27FC236}">
              <a16:creationId xmlns:a16="http://schemas.microsoft.com/office/drawing/2014/main" id="{00000000-0008-0000-0500-000024000000}"/>
            </a:ext>
          </a:extLst>
        </xdr:cNvPr>
        <xdr:cNvSpPr txBox="1"/>
      </xdr:nvSpPr>
      <xdr:spPr>
        <a:xfrm>
          <a:off x="16038635" y="4784481"/>
          <a:ext cx="2242038" cy="46159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Demanda real (GWh) </a:t>
          </a:r>
          <a:endParaRPr lang="es-ES" sz="1200">
            <a:latin typeface="Arial Narrow" panose="020B0606020202030204" pitchFamily="34" charset="0"/>
          </a:endParaRPr>
        </a:p>
      </xdr:txBody>
    </xdr:sp>
    <xdr:clientData/>
  </xdr:twoCellAnchor>
  <xdr:twoCellAnchor>
    <xdr:from>
      <xdr:col>20</xdr:col>
      <xdr:colOff>0</xdr:colOff>
      <xdr:row>30</xdr:row>
      <xdr:rowOff>0</xdr:rowOff>
    </xdr:from>
    <xdr:to>
      <xdr:col>21</xdr:col>
      <xdr:colOff>0</xdr:colOff>
      <xdr:row>44</xdr:row>
      <xdr:rowOff>153864</xdr:rowOff>
    </xdr:to>
    <xdr:sp macro="" textlink="">
      <xdr:nvSpPr>
        <xdr:cNvPr id="38" name="Rectángulo 37">
          <a:extLst>
            <a:ext uri="{FF2B5EF4-FFF2-40B4-BE49-F238E27FC236}">
              <a16:creationId xmlns:a16="http://schemas.microsoft.com/office/drawing/2014/main" id="{00000000-0008-0000-0500-000026000000}"/>
            </a:ext>
          </a:extLst>
        </xdr:cNvPr>
        <xdr:cNvSpPr/>
      </xdr:nvSpPr>
      <xdr:spPr>
        <a:xfrm>
          <a:off x="16038635" y="4784481"/>
          <a:ext cx="2242038" cy="230797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134814</xdr:colOff>
      <xdr:row>33</xdr:row>
      <xdr:rowOff>14653</xdr:rowOff>
    </xdr:from>
    <xdr:to>
      <xdr:col>20</xdr:col>
      <xdr:colOff>2124808</xdr:colOff>
      <xdr:row>33</xdr:row>
      <xdr:rowOff>29308</xdr:rowOff>
    </xdr:to>
    <xdr:cxnSp macro="">
      <xdr:nvCxnSpPr>
        <xdr:cNvPr id="39" name="Conector recto 38">
          <a:extLst>
            <a:ext uri="{FF2B5EF4-FFF2-40B4-BE49-F238E27FC236}">
              <a16:creationId xmlns:a16="http://schemas.microsoft.com/office/drawing/2014/main" id="{00000000-0008-0000-0500-000027000000}"/>
            </a:ext>
          </a:extLst>
        </xdr:cNvPr>
        <xdr:cNvCxnSpPr/>
      </xdr:nvCxnSpPr>
      <xdr:spPr>
        <a:xfrm>
          <a:off x="16173449" y="5260730"/>
          <a:ext cx="1989994" cy="14655"/>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19</xdr:col>
      <xdr:colOff>153866</xdr:colOff>
      <xdr:row>33</xdr:row>
      <xdr:rowOff>117230</xdr:rowOff>
    </xdr:from>
    <xdr:to>
      <xdr:col>19</xdr:col>
      <xdr:colOff>728180</xdr:colOff>
      <xdr:row>40</xdr:row>
      <xdr:rowOff>80596</xdr:rowOff>
    </xdr:to>
    <xdr:pic>
      <xdr:nvPicPr>
        <xdr:cNvPr id="42" name="Imagen 41">
          <a:extLst>
            <a:ext uri="{FF2B5EF4-FFF2-40B4-BE49-F238E27FC236}">
              <a16:creationId xmlns:a16="http://schemas.microsoft.com/office/drawing/2014/main" id="{00000000-0008-0000-0500-00002A000000}"/>
            </a:ext>
          </a:extLst>
        </xdr:cNvPr>
        <xdr:cNvPicPr>
          <a:picLocks noChangeAspect="1"/>
        </xdr:cNvPicPr>
      </xdr:nvPicPr>
      <xdr:blipFill>
        <a:blip xmlns:r="http://schemas.openxmlformats.org/officeDocument/2006/relationships" r:embed="rId6"/>
        <a:stretch>
          <a:fillRect/>
        </a:stretch>
      </xdr:blipFill>
      <xdr:spPr>
        <a:xfrm>
          <a:off x="15393866" y="5363307"/>
          <a:ext cx="574314" cy="1040424"/>
        </a:xfrm>
        <a:prstGeom prst="rect">
          <a:avLst/>
        </a:prstGeom>
      </xdr:spPr>
    </xdr:pic>
    <xdr:clientData/>
  </xdr:twoCellAnchor>
  <xdr:twoCellAnchor>
    <xdr:from>
      <xdr:col>10</xdr:col>
      <xdr:colOff>14654</xdr:colOff>
      <xdr:row>35</xdr:row>
      <xdr:rowOff>43962</xdr:rowOff>
    </xdr:from>
    <xdr:to>
      <xdr:col>14</xdr:col>
      <xdr:colOff>725366</xdr:colOff>
      <xdr:row>45</xdr:row>
      <xdr:rowOff>7327</xdr:rowOff>
    </xdr:to>
    <xdr:graphicFrame macro="">
      <xdr:nvGraphicFramePr>
        <xdr:cNvPr id="43" name="Gráfico 42">
          <a:extLst>
            <a:ext uri="{FF2B5EF4-FFF2-40B4-BE49-F238E27FC236}">
              <a16:creationId xmlns:a16="http://schemas.microsoft.com/office/drawing/2014/main" id="{00000000-0008-0000-05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7328</xdr:colOff>
      <xdr:row>11</xdr:row>
      <xdr:rowOff>87923</xdr:rowOff>
    </xdr:from>
    <xdr:to>
      <xdr:col>18</xdr:col>
      <xdr:colOff>20646</xdr:colOff>
      <xdr:row>15</xdr:row>
      <xdr:rowOff>147269</xdr:rowOff>
    </xdr:to>
    <xdr:graphicFrame macro="">
      <xdr:nvGraphicFramePr>
        <xdr:cNvPr id="44" name="Gráfico 43">
          <a:extLst>
            <a:ext uri="{FF2B5EF4-FFF2-40B4-BE49-F238E27FC236}">
              <a16:creationId xmlns:a16="http://schemas.microsoft.com/office/drawing/2014/main" id="{00000000-0008-0000-0500-00002C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twoCellAnchor>
  <xdr:twoCellAnchor>
    <xdr:from>
      <xdr:col>18</xdr:col>
      <xdr:colOff>36636</xdr:colOff>
      <xdr:row>9</xdr:row>
      <xdr:rowOff>146539</xdr:rowOff>
    </xdr:from>
    <xdr:to>
      <xdr:col>19</xdr:col>
      <xdr:colOff>58617</xdr:colOff>
      <xdr:row>19</xdr:row>
      <xdr:rowOff>7325</xdr:rowOff>
    </xdr:to>
    <xdr:graphicFrame macro="">
      <xdr:nvGraphicFramePr>
        <xdr:cNvPr id="45" name="Gráfico 44">
          <a:extLst>
            <a:ext uri="{FF2B5EF4-FFF2-40B4-BE49-F238E27FC236}">
              <a16:creationId xmlns:a16="http://schemas.microsoft.com/office/drawing/2014/main" id="{00000000-0008-0000-05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xdr:from>
      <xdr:col>19</xdr:col>
      <xdr:colOff>51291</xdr:colOff>
      <xdr:row>10</xdr:row>
      <xdr:rowOff>139211</xdr:rowOff>
    </xdr:from>
    <xdr:to>
      <xdr:col>19</xdr:col>
      <xdr:colOff>748706</xdr:colOff>
      <xdr:row>16</xdr:row>
      <xdr:rowOff>150669</xdr:rowOff>
    </xdr:to>
    <xdr:graphicFrame macro="">
      <xdr:nvGraphicFramePr>
        <xdr:cNvPr id="46" name="Gráfico 45">
          <a:extLst>
            <a:ext uri="{FF2B5EF4-FFF2-40B4-BE49-F238E27FC236}">
              <a16:creationId xmlns:a16="http://schemas.microsoft.com/office/drawing/2014/main" id="{00000000-0008-0000-0500-00002E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twoCellAnchor>
  <xdr:twoCellAnchor>
    <xdr:from>
      <xdr:col>20</xdr:col>
      <xdr:colOff>58615</xdr:colOff>
      <xdr:row>34</xdr:row>
      <xdr:rowOff>0</xdr:rowOff>
    </xdr:from>
    <xdr:to>
      <xdr:col>20</xdr:col>
      <xdr:colOff>2227385</xdr:colOff>
      <xdr:row>44</xdr:row>
      <xdr:rowOff>131886</xdr:rowOff>
    </xdr:to>
    <xdr:graphicFrame macro="">
      <xdr:nvGraphicFramePr>
        <xdr:cNvPr id="47" name="Gráfico 46">
          <a:extLst>
            <a:ext uri="{FF2B5EF4-FFF2-40B4-BE49-F238E27FC236}">
              <a16:creationId xmlns:a16="http://schemas.microsoft.com/office/drawing/2014/main" id="{00000000-0008-0000-0500-00002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mc:AlternateContent xmlns:mc="http://schemas.openxmlformats.org/markup-compatibility/2006">
    <mc:Choice xmlns:a14="http://schemas.microsoft.com/office/drawing/2010/main" Requires="a14">
      <xdr:twoCellAnchor>
        <xdr:from>
          <xdr:col>2</xdr:col>
          <xdr:colOff>628650</xdr:colOff>
          <xdr:row>3</xdr:row>
          <xdr:rowOff>0</xdr:rowOff>
        </xdr:from>
        <xdr:to>
          <xdr:col>3</xdr:col>
          <xdr:colOff>1381125</xdr:colOff>
          <xdr:row>5</xdr:row>
          <xdr:rowOff>0</xdr:rowOff>
        </xdr:to>
        <xdr:sp macro="" textlink="">
          <xdr:nvSpPr>
            <xdr:cNvPr id="24579" name="Button 3" hidden="1">
              <a:extLst>
                <a:ext uri="{63B3BB69-23CF-44E3-9099-C40C66FF867C}">
                  <a14:compatExt spid="_x0000_s24579"/>
                </a:ext>
                <a:ext uri="{FF2B5EF4-FFF2-40B4-BE49-F238E27FC236}">
                  <a16:creationId xmlns:a16="http://schemas.microsoft.com/office/drawing/2014/main" id="{00000000-0008-0000-0500-000003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xdr:twoCellAnchor>
    <xdr:from>
      <xdr:col>10</xdr:col>
      <xdr:colOff>0</xdr:colOff>
      <xdr:row>35</xdr:row>
      <xdr:rowOff>0</xdr:rowOff>
    </xdr:from>
    <xdr:to>
      <xdr:col>15</xdr:col>
      <xdr:colOff>0</xdr:colOff>
      <xdr:row>45</xdr:row>
      <xdr:rowOff>0</xdr:rowOff>
    </xdr:to>
    <xdr:sp macro="" textlink="">
      <xdr:nvSpPr>
        <xdr:cNvPr id="48" name="Rectángulo 47">
          <a:extLst>
            <a:ext uri="{FF2B5EF4-FFF2-40B4-BE49-F238E27FC236}">
              <a16:creationId xmlns:a16="http://schemas.microsoft.com/office/drawing/2014/main" id="{00000000-0008-0000-0500-000030000000}"/>
            </a:ext>
          </a:extLst>
        </xdr:cNvPr>
        <xdr:cNvSpPr/>
      </xdr:nvSpPr>
      <xdr:spPr>
        <a:xfrm>
          <a:off x="7092462" y="5553808"/>
          <a:ext cx="4784480" cy="1538654"/>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21</xdr:col>
      <xdr:colOff>1186961</xdr:colOff>
      <xdr:row>30</xdr:row>
      <xdr:rowOff>51288</xdr:rowOff>
    </xdr:from>
    <xdr:to>
      <xdr:col>21</xdr:col>
      <xdr:colOff>2057401</xdr:colOff>
      <xdr:row>32</xdr:row>
      <xdr:rowOff>27994</xdr:rowOff>
    </xdr:to>
    <xdr:sp macro="" textlink="[1]omie_dinamic_dia!$N$2">
      <xdr:nvSpPr>
        <xdr:cNvPr id="50" name="CuadroTexto 1">
          <a:extLst>
            <a:ext uri="{FF2B5EF4-FFF2-40B4-BE49-F238E27FC236}">
              <a16:creationId xmlns:a16="http://schemas.microsoft.com/office/drawing/2014/main" id="{00000000-0008-0000-0500-000032000000}"/>
            </a:ext>
          </a:extLst>
        </xdr:cNvPr>
        <xdr:cNvSpPr txBox="1"/>
      </xdr:nvSpPr>
      <xdr:spPr>
        <a:xfrm>
          <a:off x="16536865" y="4835769"/>
          <a:ext cx="870440" cy="284437"/>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C2349CF5-43E9-405E-B17B-1EB378677D01}" type="TxLink">
            <a:rPr lang="en-US" sz="1200" b="1" i="0" u="none" strike="noStrike">
              <a:solidFill>
                <a:schemeClr val="accent1">
                  <a:lumMod val="60000"/>
                  <a:lumOff val="40000"/>
                </a:schemeClr>
              </a:solidFill>
              <a:latin typeface="Arial Narrow" panose="020B0606020202030204" pitchFamily="34" charset="0"/>
              <a:ea typeface="+mn-ea"/>
              <a:cs typeface="Arial"/>
            </a:rPr>
            <a:pPr marL="0" indent="0" algn="r"/>
            <a:t>5.273</a:t>
          </a:fld>
          <a:endParaRPr lang="es-ES" sz="2000" b="1" i="0" u="none" strike="noStrike">
            <a:solidFill>
              <a:schemeClr val="accent1">
                <a:lumMod val="60000"/>
                <a:lumOff val="40000"/>
              </a:schemeClr>
            </a:solidFill>
            <a:latin typeface="Arial Narrow" panose="020B0606020202030204" pitchFamily="34" charset="0"/>
            <a:ea typeface="+mn-ea"/>
            <a:cs typeface="Arial"/>
          </a:endParaRPr>
        </a:p>
      </xdr:txBody>
    </xdr:sp>
    <xdr:clientData/>
  </xdr:twoCellAnchor>
  <xdr:twoCellAnchor>
    <xdr:from>
      <xdr:col>21</xdr:col>
      <xdr:colOff>1164982</xdr:colOff>
      <xdr:row>30</xdr:row>
      <xdr:rowOff>73269</xdr:rowOff>
    </xdr:from>
    <xdr:to>
      <xdr:col>21</xdr:col>
      <xdr:colOff>1626578</xdr:colOff>
      <xdr:row>32</xdr:row>
      <xdr:rowOff>0</xdr:rowOff>
    </xdr:to>
    <xdr:sp macro="" textlink="">
      <xdr:nvSpPr>
        <xdr:cNvPr id="51" name="CuadroTexto 50">
          <a:extLst>
            <a:ext uri="{FF2B5EF4-FFF2-40B4-BE49-F238E27FC236}">
              <a16:creationId xmlns:a16="http://schemas.microsoft.com/office/drawing/2014/main" id="{00000000-0008-0000-0500-000033000000}"/>
            </a:ext>
          </a:extLst>
        </xdr:cNvPr>
        <xdr:cNvSpPr txBox="1"/>
      </xdr:nvSpPr>
      <xdr:spPr>
        <a:xfrm>
          <a:off x="16514886" y="4857750"/>
          <a:ext cx="461596" cy="234462"/>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s-ES" sz="1100">
              <a:solidFill>
                <a:schemeClr val="accent1">
                  <a:lumMod val="60000"/>
                  <a:lumOff val="40000"/>
                </a:schemeClr>
              </a:solidFill>
              <a:latin typeface="Arial Narrow" panose="020B0606020202030204" pitchFamily="34" charset="0"/>
            </a:rPr>
            <a:t>Total</a:t>
          </a:r>
        </a:p>
      </xdr:txBody>
    </xdr:sp>
    <xdr:clientData/>
  </xdr:twoCellAnchor>
  <mc:AlternateContent xmlns:mc="http://schemas.openxmlformats.org/markup-compatibility/2006">
    <mc:Choice xmlns:a14="http://schemas.microsoft.com/office/drawing/2010/main" Requires="a14">
      <xdr:twoCellAnchor>
        <xdr:from>
          <xdr:col>3</xdr:col>
          <xdr:colOff>1400175</xdr:colOff>
          <xdr:row>3</xdr:row>
          <xdr:rowOff>0</xdr:rowOff>
        </xdr:from>
        <xdr:to>
          <xdr:col>6</xdr:col>
          <xdr:colOff>0</xdr:colOff>
          <xdr:row>5</xdr:row>
          <xdr:rowOff>0</xdr:rowOff>
        </xdr:to>
        <xdr:sp macro="" textlink="">
          <xdr:nvSpPr>
            <xdr:cNvPr id="24580" name="Button 4" hidden="1">
              <a:extLst>
                <a:ext uri="{63B3BB69-23CF-44E3-9099-C40C66FF867C}">
                  <a14:compatExt spid="_x0000_s24580"/>
                </a:ext>
                <a:ext uri="{FF2B5EF4-FFF2-40B4-BE49-F238E27FC236}">
                  <a16:creationId xmlns:a16="http://schemas.microsoft.com/office/drawing/2014/main" id="{00000000-0008-0000-0500-000004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EXT</a:t>
              </a:r>
            </a:p>
          </xdr:txBody>
        </xdr:sp>
        <xdr:clientData fPrintsWithSheet="0"/>
      </xdr:twoCellAnchor>
    </mc:Choice>
    <mc:Fallback/>
  </mc:AlternateContent>
  <xdr:twoCellAnchor>
    <xdr:from>
      <xdr:col>9</xdr:col>
      <xdr:colOff>688730</xdr:colOff>
      <xdr:row>5</xdr:row>
      <xdr:rowOff>0</xdr:rowOff>
    </xdr:from>
    <xdr:to>
      <xdr:col>14</xdr:col>
      <xdr:colOff>761999</xdr:colOff>
      <xdr:row>35</xdr:row>
      <xdr:rowOff>0</xdr:rowOff>
    </xdr:to>
    <xdr:sp macro="" textlink="">
      <xdr:nvSpPr>
        <xdr:cNvPr id="37" name="Rectángulo 36">
          <a:extLst>
            <a:ext uri="{FF2B5EF4-FFF2-40B4-BE49-F238E27FC236}">
              <a16:creationId xmlns:a16="http://schemas.microsoft.com/office/drawing/2014/main" id="{00000000-0008-0000-0500-000025000000}"/>
            </a:ext>
          </a:extLst>
        </xdr:cNvPr>
        <xdr:cNvSpPr/>
      </xdr:nvSpPr>
      <xdr:spPr>
        <a:xfrm>
          <a:off x="7444153" y="769327"/>
          <a:ext cx="4784481" cy="4784481"/>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1465385</xdr:colOff>
      <xdr:row>8</xdr:row>
      <xdr:rowOff>21981</xdr:rowOff>
    </xdr:from>
    <xdr:to>
      <xdr:col>20</xdr:col>
      <xdr:colOff>2146788</xdr:colOff>
      <xdr:row>10</xdr:row>
      <xdr:rowOff>21981</xdr:rowOff>
    </xdr:to>
    <xdr:sp macro="" textlink="[1]gas!$F$5">
      <xdr:nvSpPr>
        <xdr:cNvPr id="40" name="CuadroTexto 3">
          <a:extLst>
            <a:ext uri="{FF2B5EF4-FFF2-40B4-BE49-F238E27FC236}">
              <a16:creationId xmlns:a16="http://schemas.microsoft.com/office/drawing/2014/main" id="{00000000-0008-0000-0500-000028000000}"/>
            </a:ext>
          </a:extLst>
        </xdr:cNvPr>
        <xdr:cNvSpPr txBox="1"/>
      </xdr:nvSpPr>
      <xdr:spPr>
        <a:xfrm>
          <a:off x="17166981" y="1421423"/>
          <a:ext cx="681403" cy="3077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r"/>
          <a:fld id="{42F76415-F626-4493-80AB-702E16D0C774}" type="TxLink">
            <a:rPr lang="en-US" sz="1200" b="1" i="0" u="none" strike="noStrike">
              <a:solidFill>
                <a:srgbClr val="7030A0"/>
              </a:solidFill>
              <a:latin typeface="Arial Narrow" panose="020B0606020202030204" pitchFamily="34" charset="0"/>
              <a:cs typeface="Arial"/>
            </a:rPr>
            <a:pPr algn="r"/>
            <a:t>34,35</a:t>
          </a:fld>
          <a:endParaRPr lang="es-ES" sz="11500" b="1">
            <a:solidFill>
              <a:srgbClr val="7030A0"/>
            </a:solidFill>
            <a:latin typeface="Arial Narrow" panose="020B0606020202030204" pitchFamily="34" charset="0"/>
          </a:endParaRPr>
        </a:p>
      </xdr:txBody>
    </xdr:sp>
    <xdr:clientData/>
  </xdr:twoCellAnchor>
  <xdr:twoCellAnchor>
    <xdr:from>
      <xdr:col>20</xdr:col>
      <xdr:colOff>1419958</xdr:colOff>
      <xdr:row>21</xdr:row>
      <xdr:rowOff>20516</xdr:rowOff>
    </xdr:from>
    <xdr:to>
      <xdr:col>20</xdr:col>
      <xdr:colOff>2101361</xdr:colOff>
      <xdr:row>23</xdr:row>
      <xdr:rowOff>20516</xdr:rowOff>
    </xdr:to>
    <xdr:sp macro="" textlink="[1]co2!$F$6">
      <xdr:nvSpPr>
        <xdr:cNvPr id="41" name="CuadroTexto 3">
          <a:extLst>
            <a:ext uri="{FF2B5EF4-FFF2-40B4-BE49-F238E27FC236}">
              <a16:creationId xmlns:a16="http://schemas.microsoft.com/office/drawing/2014/main" id="{00000000-0008-0000-0500-000029000000}"/>
            </a:ext>
          </a:extLst>
        </xdr:cNvPr>
        <xdr:cNvSpPr txBox="1"/>
      </xdr:nvSpPr>
      <xdr:spPr>
        <a:xfrm>
          <a:off x="17121554" y="3420208"/>
          <a:ext cx="681403" cy="3077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9A2E3E5-4BA7-4358-AB52-D7E595E795E5}" type="TxLink">
            <a:rPr lang="en-US" sz="1200" b="1" i="0" u="none" strike="noStrike">
              <a:solidFill>
                <a:srgbClr val="7030A0"/>
              </a:solidFill>
              <a:latin typeface="Arial Narrow" panose="020B0606020202030204" pitchFamily="34" charset="0"/>
              <a:ea typeface="+mn-ea"/>
              <a:cs typeface="Arial"/>
            </a:rPr>
            <a:pPr marL="0" indent="0" algn="r"/>
            <a:t>70,97</a:t>
          </a:fld>
          <a:endParaRPr lang="es-ES" sz="1200" b="1" i="0" u="none" strike="noStrike">
            <a:solidFill>
              <a:srgbClr val="7030A0"/>
            </a:solidFill>
            <a:latin typeface="Arial Narrow" panose="020B0606020202030204" pitchFamily="34" charset="0"/>
            <a:ea typeface="+mn-ea"/>
            <a:cs typeface="Arial"/>
          </a:endParaRPr>
        </a:p>
      </xdr:txBody>
    </xdr:sp>
    <xdr:clientData/>
  </xdr:twoCellAnchor>
  <xdr:twoCellAnchor editAs="oneCell">
    <xdr:from>
      <xdr:col>17</xdr:col>
      <xdr:colOff>29307</xdr:colOff>
      <xdr:row>33</xdr:row>
      <xdr:rowOff>124557</xdr:rowOff>
    </xdr:from>
    <xdr:to>
      <xdr:col>19</xdr:col>
      <xdr:colOff>110745</xdr:colOff>
      <xdr:row>44</xdr:row>
      <xdr:rowOff>65942</xdr:rowOff>
    </xdr:to>
    <xdr:pic>
      <xdr:nvPicPr>
        <xdr:cNvPr id="52" name="Imagen 51">
          <a:extLst>
            <a:ext uri="{FF2B5EF4-FFF2-40B4-BE49-F238E27FC236}">
              <a16:creationId xmlns:a16="http://schemas.microsoft.com/office/drawing/2014/main" id="{00000000-0008-0000-0500-000034000000}"/>
            </a:ext>
          </a:extLst>
        </xdr:cNvPr>
        <xdr:cNvPicPr>
          <a:picLocks noChangeAspect="1"/>
        </xdr:cNvPicPr>
      </xdr:nvPicPr>
      <xdr:blipFill>
        <a:blip xmlns:r="http://schemas.openxmlformats.org/officeDocument/2006/relationships" r:embed="rId12"/>
        <a:stretch>
          <a:fillRect/>
        </a:stretch>
      </xdr:blipFill>
      <xdr:spPr>
        <a:xfrm>
          <a:off x="13166480" y="5370634"/>
          <a:ext cx="1605438" cy="1633904"/>
        </a:xfrm>
        <a:prstGeom prst="rect">
          <a:avLst/>
        </a:prstGeom>
      </xdr:spPr>
    </xdr:pic>
    <xdr:clientData/>
  </xdr:twoCellAnchor>
  <xdr:twoCellAnchor>
    <xdr:from>
      <xdr:col>15</xdr:col>
      <xdr:colOff>0</xdr:colOff>
      <xdr:row>36</xdr:row>
      <xdr:rowOff>0</xdr:rowOff>
    </xdr:from>
    <xdr:to>
      <xdr:col>17</xdr:col>
      <xdr:colOff>0</xdr:colOff>
      <xdr:row>44</xdr:row>
      <xdr:rowOff>153865</xdr:rowOff>
    </xdr:to>
    <xdr:sp macro="" textlink="">
      <xdr:nvSpPr>
        <xdr:cNvPr id="54" name="CuadroTexto 53">
          <a:extLst>
            <a:ext uri="{FF2B5EF4-FFF2-40B4-BE49-F238E27FC236}">
              <a16:creationId xmlns:a16="http://schemas.microsoft.com/office/drawing/2014/main" id="{00000000-0008-0000-0500-000036000000}"/>
            </a:ext>
          </a:extLst>
        </xdr:cNvPr>
        <xdr:cNvSpPr txBox="1"/>
      </xdr:nvSpPr>
      <xdr:spPr>
        <a:xfrm>
          <a:off x="11986846" y="5707673"/>
          <a:ext cx="1150327" cy="138478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400">
              <a:latin typeface="Arial Narrow" panose="020B0606020202030204" pitchFamily="34" charset="0"/>
            </a:rPr>
            <a:t>Recuerda:</a:t>
          </a:r>
          <a:r>
            <a:rPr lang="es-ES" sz="1400" baseline="0">
              <a:latin typeface="Arial Narrow" panose="020B0606020202030204" pitchFamily="34" charset="0"/>
            </a:rPr>
            <a:t> </a:t>
          </a:r>
        </a:p>
        <a:p>
          <a:r>
            <a:rPr lang="es-ES" sz="1600" baseline="0">
              <a:latin typeface="Arial Narrow" panose="020B0606020202030204" pitchFamily="34" charset="0"/>
            </a:rPr>
            <a:t>La energía sin control</a:t>
          </a:r>
          <a:r>
            <a:rPr lang="es-ES" sz="1400" baseline="0">
              <a:latin typeface="Arial Narrow" panose="020B0606020202030204" pitchFamily="34" charset="0"/>
            </a:rPr>
            <a:t>...</a:t>
          </a:r>
        </a:p>
        <a:p>
          <a:r>
            <a:rPr lang="es-ES" sz="1600" baseline="0">
              <a:latin typeface="Arial Narrow" panose="020B0606020202030204" pitchFamily="34" charset="0"/>
            </a:rPr>
            <a:t>...te pasará factura!!</a:t>
          </a:r>
        </a:p>
      </xdr:txBody>
    </xdr:sp>
    <xdr:clientData/>
  </xdr:twoCellAnchor>
  <xdr:twoCellAnchor>
    <xdr:from>
      <xdr:col>17</xdr:col>
      <xdr:colOff>0</xdr:colOff>
      <xdr:row>30</xdr:row>
      <xdr:rowOff>0</xdr:rowOff>
    </xdr:from>
    <xdr:to>
      <xdr:col>20</xdr:col>
      <xdr:colOff>0</xdr:colOff>
      <xdr:row>45</xdr:row>
      <xdr:rowOff>0</xdr:rowOff>
    </xdr:to>
    <xdr:sp macro="" textlink="">
      <xdr:nvSpPr>
        <xdr:cNvPr id="53" name="Rectángulo 52">
          <a:extLst>
            <a:ext uri="{FF2B5EF4-FFF2-40B4-BE49-F238E27FC236}">
              <a16:creationId xmlns:a16="http://schemas.microsoft.com/office/drawing/2014/main" id="{00000000-0008-0000-0500-000035000000}"/>
            </a:ext>
          </a:extLst>
        </xdr:cNvPr>
        <xdr:cNvSpPr/>
      </xdr:nvSpPr>
      <xdr:spPr>
        <a:xfrm>
          <a:off x="13137173" y="4784481"/>
          <a:ext cx="2322635" cy="2307981"/>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15</xdr:col>
      <xdr:colOff>0</xdr:colOff>
      <xdr:row>36</xdr:row>
      <xdr:rowOff>1</xdr:rowOff>
    </xdr:from>
    <xdr:to>
      <xdr:col>17</xdr:col>
      <xdr:colOff>0</xdr:colOff>
      <xdr:row>45</xdr:row>
      <xdr:rowOff>0</xdr:rowOff>
    </xdr:to>
    <xdr:sp macro="" textlink="">
      <xdr:nvSpPr>
        <xdr:cNvPr id="12" name="Rectángulo 11">
          <a:extLst>
            <a:ext uri="{FF2B5EF4-FFF2-40B4-BE49-F238E27FC236}">
              <a16:creationId xmlns:a16="http://schemas.microsoft.com/office/drawing/2014/main" id="{00000000-0008-0000-0500-00000C000000}"/>
            </a:ext>
          </a:extLst>
        </xdr:cNvPr>
        <xdr:cNvSpPr/>
      </xdr:nvSpPr>
      <xdr:spPr>
        <a:xfrm>
          <a:off x="11986846" y="5707674"/>
          <a:ext cx="1150327" cy="1384788"/>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drawings/drawing7.xml><?xml version="1.0" encoding="utf-8"?>
<c:userShapes xmlns:c="http://schemas.openxmlformats.org/drawingml/2006/chart">
  <cdr:relSizeAnchor xmlns:cdr="http://schemas.openxmlformats.org/drawingml/2006/chartDrawing">
    <cdr:from>
      <cdr:x>0.86213</cdr:x>
      <cdr:y>0.01431</cdr:y>
    </cdr:from>
    <cdr:to>
      <cdr:x>0.98142</cdr:x>
      <cdr:y>0.15577</cdr:y>
    </cdr:to>
    <cdr:sp macro="" textlink="abr!$B$3">
      <cdr:nvSpPr>
        <cdr:cNvPr id="3" name="CuadroTexto 43">
          <a:extLst xmlns:a="http://schemas.openxmlformats.org/drawingml/2006/main">
            <a:ext uri="{FF2B5EF4-FFF2-40B4-BE49-F238E27FC236}">
              <a16:creationId xmlns:a16="http://schemas.microsoft.com/office/drawing/2014/main" id="{00000000-0008-0000-0400-00002C000000}"/>
            </a:ext>
          </a:extLst>
        </cdr:cNvPr>
        <cdr:cNvSpPr txBox="1"/>
      </cdr:nvSpPr>
      <cdr:spPr>
        <a:xfrm xmlns:a="http://schemas.openxmlformats.org/drawingml/2006/main">
          <a:off x="4080627" y="21494"/>
          <a:ext cx="564641" cy="212475"/>
        </a:xfrm>
        <a:prstGeom xmlns:a="http://schemas.openxmlformats.org/drawingml/2006/main" prst="rect">
          <a:avLst/>
        </a:prstGeom>
        <a:solidFill xmlns:a="http://schemas.openxmlformats.org/drawingml/2006/main">
          <a:schemeClr val="bg1"/>
        </a:solidFill>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A363394-EB0C-4972-9D53-DE472227AC0C}" type="TxLink">
            <a:rPr lang="en-US" sz="1200" b="1" i="0" u="none" strike="noStrike">
              <a:solidFill>
                <a:schemeClr val="tx1">
                  <a:lumMod val="50000"/>
                  <a:lumOff val="50000"/>
                </a:schemeClr>
              </a:solidFill>
              <a:latin typeface="Arial Narrow" panose="020B0606020202030204" pitchFamily="34" charset="0"/>
              <a:ea typeface="+mn-ea"/>
              <a:cs typeface="Arial"/>
            </a:rPr>
            <a:pPr marL="0" indent="0" algn="r"/>
            <a:t>13,67</a:t>
          </a:fld>
          <a:endParaRPr lang="es-ES" sz="3600" b="1" i="0" u="none" strike="noStrike">
            <a:solidFill>
              <a:schemeClr val="tx1">
                <a:lumMod val="50000"/>
                <a:lumOff val="50000"/>
              </a:schemeClr>
            </a:solidFill>
            <a:latin typeface="Arial Narrow" panose="020B0606020202030204" pitchFamily="34" charset="0"/>
            <a:ea typeface="+mn-ea"/>
            <a:cs typeface="Arial"/>
          </a:endParaRPr>
        </a:p>
      </cdr:txBody>
    </cdr:sp>
  </cdr:relSizeAnchor>
  <cdr:relSizeAnchor xmlns:cdr="http://schemas.openxmlformats.org/drawingml/2006/chartDrawing">
    <cdr:from>
      <cdr:x>0.55418</cdr:x>
      <cdr:y>0.01463</cdr:y>
    </cdr:from>
    <cdr:to>
      <cdr:x>0.89009</cdr:x>
      <cdr:y>0.1561</cdr:y>
    </cdr:to>
    <cdr:sp macro="" textlink="">
      <cdr:nvSpPr>
        <cdr:cNvPr id="4" name="CuadroTexto 3">
          <a:extLst xmlns:a="http://schemas.openxmlformats.org/drawingml/2006/main">
            <a:ext uri="{FF2B5EF4-FFF2-40B4-BE49-F238E27FC236}">
              <a16:creationId xmlns:a16="http://schemas.microsoft.com/office/drawing/2014/main" id="{DAD9CCA0-51B9-190C-4A01-68CA8A53D550}"/>
            </a:ext>
          </a:extLst>
        </cdr:cNvPr>
        <cdr:cNvSpPr txBox="1"/>
      </cdr:nvSpPr>
      <cdr:spPr>
        <a:xfrm xmlns:a="http://schemas.openxmlformats.org/drawingml/2006/main">
          <a:off x="2623038" y="21979"/>
          <a:ext cx="1589942" cy="212481"/>
        </a:xfrm>
        <a:prstGeom xmlns:a="http://schemas.openxmlformats.org/drawingml/2006/main" prst="rect">
          <a:avLst/>
        </a:prstGeom>
        <a:solidFill xmlns:a="http://schemas.openxmlformats.org/drawingml/2006/main">
          <a:schemeClr val="bg1"/>
        </a:solidFill>
      </cdr:spPr>
      <cdr:txBody>
        <a:bodyPr xmlns:a="http://schemas.openxmlformats.org/drawingml/2006/main" vertOverflow="clip" wrap="square" rtlCol="0"/>
        <a:lstStyle xmlns:a="http://schemas.openxmlformats.org/drawingml/2006/main"/>
        <a:p xmlns:a="http://schemas.openxmlformats.org/drawingml/2006/main">
          <a:pPr algn="r"/>
          <a:r>
            <a:rPr lang="es-ES" sz="1000">
              <a:solidFill>
                <a:schemeClr val="tx1">
                  <a:lumMod val="50000"/>
                  <a:lumOff val="50000"/>
                </a:schemeClr>
              </a:solidFill>
              <a:latin typeface="Arial Narrow" panose="020B0606020202030204" pitchFamily="34" charset="0"/>
            </a:rPr>
            <a:t>omie</a:t>
          </a:r>
          <a:r>
            <a:rPr lang="es-ES" sz="1000" baseline="0">
              <a:solidFill>
                <a:schemeClr val="tx1">
                  <a:lumMod val="50000"/>
                  <a:lumOff val="50000"/>
                </a:schemeClr>
              </a:solidFill>
              <a:latin typeface="Arial Narrow" panose="020B0606020202030204" pitchFamily="34" charset="0"/>
            </a:rPr>
            <a:t> media mensual €/MWh</a:t>
          </a:r>
          <a:endParaRPr lang="es-ES" sz="1000">
            <a:solidFill>
              <a:schemeClr val="tx1">
                <a:lumMod val="50000"/>
                <a:lumOff val="50000"/>
              </a:schemeClr>
            </a:solidFill>
            <a:latin typeface="Arial Narrow" panose="020B0606020202030204" pitchFamily="34" charset="0"/>
          </a:endParaRPr>
        </a:p>
      </cdr:txBody>
    </cdr:sp>
  </cdr:relSizeAnchor>
</c:userShapes>
</file>

<file path=xl/drawings/drawing8.xml><?xml version="1.0" encoding="utf-8"?>
<xdr:wsDr xmlns:xdr="http://schemas.openxmlformats.org/drawingml/2006/spreadsheetDrawing" xmlns:a="http://schemas.openxmlformats.org/drawingml/2006/main">
  <xdr:twoCellAnchor editAs="oneCell">
    <xdr:from>
      <xdr:col>15</xdr:col>
      <xdr:colOff>0</xdr:colOff>
      <xdr:row>36</xdr:row>
      <xdr:rowOff>153865</xdr:rowOff>
    </xdr:from>
    <xdr:to>
      <xdr:col>17</xdr:col>
      <xdr:colOff>1674</xdr:colOff>
      <xdr:row>49</xdr:row>
      <xdr:rowOff>0</xdr:rowOff>
    </xdr:to>
    <xdr:pic>
      <xdr:nvPicPr>
        <xdr:cNvPr id="55" name="Imagen 54">
          <a:extLst>
            <a:ext uri="{FF2B5EF4-FFF2-40B4-BE49-F238E27FC236}">
              <a16:creationId xmlns:a16="http://schemas.microsoft.com/office/drawing/2014/main" id="{00000000-0008-0000-0600-000037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0205" r="75031" b="12922"/>
        <a:stretch/>
      </xdr:blipFill>
      <xdr:spPr>
        <a:xfrm>
          <a:off x="12426462" y="5861538"/>
          <a:ext cx="1152000" cy="1846385"/>
        </a:xfrm>
        <a:prstGeom prst="rect">
          <a:avLst/>
        </a:prstGeom>
      </xdr:spPr>
    </xdr:pic>
    <xdr:clientData/>
  </xdr:twoCellAnchor>
  <xdr:twoCellAnchor>
    <xdr:from>
      <xdr:col>19</xdr:col>
      <xdr:colOff>783979</xdr:colOff>
      <xdr:row>5</xdr:row>
      <xdr:rowOff>227135</xdr:rowOff>
    </xdr:from>
    <xdr:to>
      <xdr:col>21</xdr:col>
      <xdr:colOff>7327</xdr:colOff>
      <xdr:row>13</xdr:row>
      <xdr:rowOff>1</xdr:rowOff>
    </xdr:to>
    <xdr:graphicFrame macro="">
      <xdr:nvGraphicFramePr>
        <xdr:cNvPr id="2" name="Gráfico 1">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571500</xdr:colOff>
      <xdr:row>12</xdr:row>
      <xdr:rowOff>10990</xdr:rowOff>
    </xdr:from>
    <xdr:to>
      <xdr:col>20</xdr:col>
      <xdr:colOff>0</xdr:colOff>
      <xdr:row>14</xdr:row>
      <xdr:rowOff>0</xdr:rowOff>
    </xdr:to>
    <xdr:sp macro="" textlink="">
      <xdr:nvSpPr>
        <xdr:cNvPr id="3" name="CuadroTexto 2">
          <a:extLst>
            <a:ext uri="{FF2B5EF4-FFF2-40B4-BE49-F238E27FC236}">
              <a16:creationId xmlns:a16="http://schemas.microsoft.com/office/drawing/2014/main" id="{00000000-0008-0000-0600-000003000000}"/>
            </a:ext>
          </a:extLst>
        </xdr:cNvPr>
        <xdr:cNvSpPr txBox="1"/>
      </xdr:nvSpPr>
      <xdr:spPr>
        <a:xfrm>
          <a:off x="13576788" y="2025894"/>
          <a:ext cx="2322635" cy="29674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Pmh según tecnologías (€/MWh)</a:t>
          </a:r>
        </a:p>
      </xdr:txBody>
    </xdr:sp>
    <xdr:clientData/>
  </xdr:twoCellAnchor>
  <mc:AlternateContent xmlns:mc="http://schemas.openxmlformats.org/markup-compatibility/2006">
    <mc:Choice xmlns:a14="http://schemas.microsoft.com/office/drawing/2010/main" Requires="a14">
      <xdr:twoCellAnchor>
        <xdr:from>
          <xdr:col>3</xdr:col>
          <xdr:colOff>19050</xdr:colOff>
          <xdr:row>0</xdr:row>
          <xdr:rowOff>0</xdr:rowOff>
        </xdr:from>
        <xdr:to>
          <xdr:col>4</xdr:col>
          <xdr:colOff>0</xdr:colOff>
          <xdr:row>3</xdr:row>
          <xdr:rowOff>0</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0600-00000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9525</xdr:rowOff>
        </xdr:from>
        <xdr:to>
          <xdr:col>6</xdr:col>
          <xdr:colOff>0</xdr:colOff>
          <xdr:row>3</xdr:row>
          <xdr:rowOff>0</xdr:rowOff>
        </xdr:to>
        <xdr:sp macro="" textlink="">
          <xdr:nvSpPr>
            <xdr:cNvPr id="28674" name="Spinner 2" hidden="1">
              <a:extLst>
                <a:ext uri="{63B3BB69-23CF-44E3-9099-C40C66FF867C}">
                  <a14:compatExt spid="_x0000_s28674"/>
                </a:ext>
                <a:ext uri="{FF2B5EF4-FFF2-40B4-BE49-F238E27FC236}">
                  <a16:creationId xmlns:a16="http://schemas.microsoft.com/office/drawing/2014/main" id="{00000000-0008-0000-0600-0000027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16</xdr:col>
      <xdr:colOff>571500</xdr:colOff>
      <xdr:row>5</xdr:row>
      <xdr:rowOff>1</xdr:rowOff>
    </xdr:from>
    <xdr:to>
      <xdr:col>20</xdr:col>
      <xdr:colOff>0</xdr:colOff>
      <xdr:row>6</xdr:row>
      <xdr:rowOff>1</xdr:rowOff>
    </xdr:to>
    <xdr:sp macro="" textlink="">
      <xdr:nvSpPr>
        <xdr:cNvPr id="4" name="CuadroTexto 3">
          <a:extLst>
            <a:ext uri="{FF2B5EF4-FFF2-40B4-BE49-F238E27FC236}">
              <a16:creationId xmlns:a16="http://schemas.microsoft.com/office/drawing/2014/main" id="{00000000-0008-0000-0600-000004000000}"/>
            </a:ext>
          </a:extLst>
        </xdr:cNvPr>
        <xdr:cNvSpPr txBox="1"/>
      </xdr:nvSpPr>
      <xdr:spPr>
        <a:xfrm>
          <a:off x="13576788" y="769328"/>
          <a:ext cx="2322635" cy="315058"/>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marginales</a:t>
          </a:r>
          <a:r>
            <a:rPr lang="es-ES" sz="1200" baseline="0">
              <a:latin typeface="Arial Narrow" panose="020B0606020202030204" pitchFamily="34" charset="0"/>
            </a:rPr>
            <a:t> (%)</a:t>
          </a:r>
          <a:endParaRPr lang="es-ES" sz="1200">
            <a:latin typeface="Arial Narrow" panose="020B0606020202030204" pitchFamily="34" charset="0"/>
          </a:endParaRPr>
        </a:p>
      </xdr:txBody>
    </xdr:sp>
    <xdr:clientData/>
  </xdr:twoCellAnchor>
  <xdr:twoCellAnchor>
    <xdr:from>
      <xdr:col>16</xdr:col>
      <xdr:colOff>571500</xdr:colOff>
      <xdr:row>12</xdr:row>
      <xdr:rowOff>1</xdr:rowOff>
    </xdr:from>
    <xdr:to>
      <xdr:col>20</xdr:col>
      <xdr:colOff>0</xdr:colOff>
      <xdr:row>25</xdr:row>
      <xdr:rowOff>1</xdr:rowOff>
    </xdr:to>
    <xdr:sp macro="" textlink="">
      <xdr:nvSpPr>
        <xdr:cNvPr id="5" name="Rectángulo 4">
          <a:extLst>
            <a:ext uri="{FF2B5EF4-FFF2-40B4-BE49-F238E27FC236}">
              <a16:creationId xmlns:a16="http://schemas.microsoft.com/office/drawing/2014/main" id="{00000000-0008-0000-0600-000005000000}"/>
            </a:ext>
          </a:extLst>
        </xdr:cNvPr>
        <xdr:cNvSpPr/>
      </xdr:nvSpPr>
      <xdr:spPr>
        <a:xfrm>
          <a:off x="13576788" y="2014905"/>
          <a:ext cx="2322635" cy="200025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0</xdr:row>
      <xdr:rowOff>1</xdr:rowOff>
    </xdr:from>
    <xdr:to>
      <xdr:col>20</xdr:col>
      <xdr:colOff>0</xdr:colOff>
      <xdr:row>5</xdr:row>
      <xdr:rowOff>1</xdr:rowOff>
    </xdr:to>
    <xdr:sp macro="" textlink="">
      <xdr:nvSpPr>
        <xdr:cNvPr id="6" name="Rectángulo 5">
          <a:extLst>
            <a:ext uri="{FF2B5EF4-FFF2-40B4-BE49-F238E27FC236}">
              <a16:creationId xmlns:a16="http://schemas.microsoft.com/office/drawing/2014/main" id="{00000000-0008-0000-0600-000006000000}"/>
            </a:ext>
          </a:extLst>
        </xdr:cNvPr>
        <xdr:cNvSpPr/>
      </xdr:nvSpPr>
      <xdr:spPr>
        <a:xfrm>
          <a:off x="13134975" y="1"/>
          <a:ext cx="23241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0</xdr:row>
      <xdr:rowOff>0</xdr:rowOff>
    </xdr:from>
    <xdr:to>
      <xdr:col>12</xdr:col>
      <xdr:colOff>0</xdr:colOff>
      <xdr:row>5</xdr:row>
      <xdr:rowOff>0</xdr:rowOff>
    </xdr:to>
    <xdr:sp macro="" textlink="">
      <xdr:nvSpPr>
        <xdr:cNvPr id="7" name="Rectángulo 6">
          <a:extLst>
            <a:ext uri="{FF2B5EF4-FFF2-40B4-BE49-F238E27FC236}">
              <a16:creationId xmlns:a16="http://schemas.microsoft.com/office/drawing/2014/main" id="{00000000-0008-0000-0600-000007000000}"/>
            </a:ext>
          </a:extLst>
        </xdr:cNvPr>
        <xdr:cNvSpPr/>
      </xdr:nvSpPr>
      <xdr:spPr>
        <a:xfrm>
          <a:off x="7200900" y="0"/>
          <a:ext cx="249555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1</xdr:colOff>
      <xdr:row>0</xdr:row>
      <xdr:rowOff>0</xdr:rowOff>
    </xdr:from>
    <xdr:to>
      <xdr:col>15</xdr:col>
      <xdr:colOff>1</xdr:colOff>
      <xdr:row>5</xdr:row>
      <xdr:rowOff>0</xdr:rowOff>
    </xdr:to>
    <xdr:sp macro="" textlink="">
      <xdr:nvSpPr>
        <xdr:cNvPr id="8" name="Rectángulo 7">
          <a:extLst>
            <a:ext uri="{FF2B5EF4-FFF2-40B4-BE49-F238E27FC236}">
              <a16:creationId xmlns:a16="http://schemas.microsoft.com/office/drawing/2014/main" id="{00000000-0008-0000-0600-000008000000}"/>
            </a:ext>
          </a:extLst>
        </xdr:cNvPr>
        <xdr:cNvSpPr/>
      </xdr:nvSpPr>
      <xdr:spPr>
        <a:xfrm>
          <a:off x="9696451" y="0"/>
          <a:ext cx="22860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99828</xdr:colOff>
      <xdr:row>6</xdr:row>
      <xdr:rowOff>0</xdr:rowOff>
    </xdr:from>
    <xdr:to>
      <xdr:col>19</xdr:col>
      <xdr:colOff>713916</xdr:colOff>
      <xdr:row>6</xdr:row>
      <xdr:rowOff>0</xdr:rowOff>
    </xdr:to>
    <xdr:cxnSp macro="">
      <xdr:nvCxnSpPr>
        <xdr:cNvPr id="9" name="Conector recto 8">
          <a:extLst>
            <a:ext uri="{FF2B5EF4-FFF2-40B4-BE49-F238E27FC236}">
              <a16:creationId xmlns:a16="http://schemas.microsoft.com/office/drawing/2014/main" id="{00000000-0008-0000-0600-000009000000}"/>
            </a:ext>
          </a:extLst>
        </xdr:cNvPr>
        <xdr:cNvCxnSpPr/>
      </xdr:nvCxnSpPr>
      <xdr:spPr>
        <a:xfrm>
          <a:off x="13676616" y="1084385"/>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29672</xdr:colOff>
      <xdr:row>13</xdr:row>
      <xdr:rowOff>152400</xdr:rowOff>
    </xdr:from>
    <xdr:to>
      <xdr:col>19</xdr:col>
      <xdr:colOff>643760</xdr:colOff>
      <xdr:row>13</xdr:row>
      <xdr:rowOff>152400</xdr:rowOff>
    </xdr:to>
    <xdr:cxnSp macro="">
      <xdr:nvCxnSpPr>
        <xdr:cNvPr id="10" name="Conector recto 9">
          <a:extLst>
            <a:ext uri="{FF2B5EF4-FFF2-40B4-BE49-F238E27FC236}">
              <a16:creationId xmlns:a16="http://schemas.microsoft.com/office/drawing/2014/main" id="{00000000-0008-0000-0600-00000A000000}"/>
            </a:ext>
          </a:extLst>
        </xdr:cNvPr>
        <xdr:cNvCxnSpPr/>
      </xdr:nvCxnSpPr>
      <xdr:spPr>
        <a:xfrm>
          <a:off x="13606460" y="2321169"/>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571500</xdr:colOff>
      <xdr:row>24</xdr:row>
      <xdr:rowOff>10990</xdr:rowOff>
    </xdr:from>
    <xdr:to>
      <xdr:col>20</xdr:col>
      <xdr:colOff>0</xdr:colOff>
      <xdr:row>26</xdr:row>
      <xdr:rowOff>0</xdr:rowOff>
    </xdr:to>
    <xdr:sp macro="" textlink="">
      <xdr:nvSpPr>
        <xdr:cNvPr id="11" name="CuadroTexto 10">
          <a:extLst>
            <a:ext uri="{FF2B5EF4-FFF2-40B4-BE49-F238E27FC236}">
              <a16:creationId xmlns:a16="http://schemas.microsoft.com/office/drawing/2014/main" id="{00000000-0008-0000-0600-00000B000000}"/>
            </a:ext>
          </a:extLst>
        </xdr:cNvPr>
        <xdr:cNvSpPr txBox="1"/>
      </xdr:nvSpPr>
      <xdr:spPr>
        <a:xfrm>
          <a:off x="13576788" y="3872278"/>
          <a:ext cx="2322635" cy="29674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 (%)</a:t>
          </a:r>
          <a:endParaRPr lang="es-ES" sz="1200">
            <a:latin typeface="Arial Narrow" panose="020B0606020202030204" pitchFamily="34" charset="0"/>
          </a:endParaRPr>
        </a:p>
      </xdr:txBody>
    </xdr:sp>
    <xdr:clientData/>
  </xdr:twoCellAnchor>
  <xdr:twoCellAnchor>
    <xdr:from>
      <xdr:col>17</xdr:col>
      <xdr:colOff>64843</xdr:colOff>
      <xdr:row>25</xdr:row>
      <xdr:rowOff>149560</xdr:rowOff>
    </xdr:from>
    <xdr:to>
      <xdr:col>19</xdr:col>
      <xdr:colOff>678931</xdr:colOff>
      <xdr:row>25</xdr:row>
      <xdr:rowOff>149560</xdr:rowOff>
    </xdr:to>
    <xdr:cxnSp macro="">
      <xdr:nvCxnSpPr>
        <xdr:cNvPr id="12" name="Conector recto 11">
          <a:extLst>
            <a:ext uri="{FF2B5EF4-FFF2-40B4-BE49-F238E27FC236}">
              <a16:creationId xmlns:a16="http://schemas.microsoft.com/office/drawing/2014/main" id="{00000000-0008-0000-0600-00000C000000}"/>
            </a:ext>
          </a:extLst>
        </xdr:cNvPr>
        <xdr:cNvCxnSpPr/>
      </xdr:nvCxnSpPr>
      <xdr:spPr>
        <a:xfrm>
          <a:off x="13641631" y="4164714"/>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80595</xdr:colOff>
      <xdr:row>7</xdr:row>
      <xdr:rowOff>14653</xdr:rowOff>
    </xdr:from>
    <xdr:to>
      <xdr:col>19</xdr:col>
      <xdr:colOff>29308</xdr:colOff>
      <xdr:row>8</xdr:row>
      <xdr:rowOff>153864</xdr:rowOff>
    </xdr:to>
    <xdr:sp macro="" textlink="[1]omie_dinamic_dia!$K$6">
      <xdr:nvSpPr>
        <xdr:cNvPr id="13" name="CuadroTexto 1">
          <a:extLst>
            <a:ext uri="{FF2B5EF4-FFF2-40B4-BE49-F238E27FC236}">
              <a16:creationId xmlns:a16="http://schemas.microsoft.com/office/drawing/2014/main" id="{00000000-0008-0000-0600-00000D000000}"/>
            </a:ext>
          </a:extLst>
        </xdr:cNvPr>
        <xdr:cNvSpPr txBox="1"/>
      </xdr:nvSpPr>
      <xdr:spPr>
        <a:xfrm>
          <a:off x="14419383" y="1260230"/>
          <a:ext cx="710713" cy="293076"/>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5F058528-BE17-476D-A9E3-52C422B0B3CF}" type="TxLink">
            <a:rPr lang="en-US" sz="1200" b="1" i="0" u="none" strike="noStrike">
              <a:solidFill>
                <a:schemeClr val="accent2"/>
              </a:solidFill>
              <a:latin typeface="Arial"/>
              <a:ea typeface="+mn-ea"/>
              <a:cs typeface="Arial"/>
            </a:rPr>
            <a:pPr marL="0" indent="0" algn="ctr"/>
            <a:t>2,5%</a:t>
          </a:fld>
          <a:endParaRPr lang="es-ES" sz="1200" b="1" i="0" u="none" strike="noStrike">
            <a:solidFill>
              <a:schemeClr val="accent2"/>
            </a:solidFill>
            <a:latin typeface="Arial"/>
            <a:ea typeface="+mn-ea"/>
            <a:cs typeface="Arial"/>
          </a:endParaRPr>
        </a:p>
      </xdr:txBody>
    </xdr:sp>
    <xdr:clientData/>
  </xdr:twoCellAnchor>
  <xdr:twoCellAnchor editAs="oneCell">
    <xdr:from>
      <xdr:col>17</xdr:col>
      <xdr:colOff>43963</xdr:colOff>
      <xdr:row>6</xdr:row>
      <xdr:rowOff>43962</xdr:rowOff>
    </xdr:from>
    <xdr:to>
      <xdr:col>19</xdr:col>
      <xdr:colOff>718039</xdr:colOff>
      <xdr:row>7</xdr:row>
      <xdr:rowOff>53566</xdr:rowOff>
    </xdr:to>
    <xdr:pic>
      <xdr:nvPicPr>
        <xdr:cNvPr id="14" name="Imagen 13">
          <a:extLst>
            <a:ext uri="{FF2B5EF4-FFF2-40B4-BE49-F238E27FC236}">
              <a16:creationId xmlns:a16="http://schemas.microsoft.com/office/drawing/2014/main" id="{00000000-0008-0000-0600-00000E000000}"/>
            </a:ext>
          </a:extLst>
        </xdr:cNvPr>
        <xdr:cNvPicPr>
          <a:picLocks noChangeAspect="1"/>
        </xdr:cNvPicPr>
      </xdr:nvPicPr>
      <xdr:blipFill>
        <a:blip xmlns:r="http://schemas.openxmlformats.org/officeDocument/2006/relationships" r:embed="rId3"/>
        <a:stretch>
          <a:fillRect/>
        </a:stretch>
      </xdr:blipFill>
      <xdr:spPr>
        <a:xfrm>
          <a:off x="13620751" y="1128347"/>
          <a:ext cx="2198076" cy="170796"/>
        </a:xfrm>
        <a:prstGeom prst="rect">
          <a:avLst/>
        </a:prstGeom>
      </xdr:spPr>
    </xdr:pic>
    <xdr:clientData/>
  </xdr:twoCellAnchor>
  <xdr:twoCellAnchor>
    <xdr:from>
      <xdr:col>17</xdr:col>
      <xdr:colOff>86458</xdr:colOff>
      <xdr:row>7</xdr:row>
      <xdr:rowOff>13188</xdr:rowOff>
    </xdr:from>
    <xdr:to>
      <xdr:col>17</xdr:col>
      <xdr:colOff>760536</xdr:colOff>
      <xdr:row>8</xdr:row>
      <xdr:rowOff>152399</xdr:rowOff>
    </xdr:to>
    <xdr:sp macro="" textlink="[1]omie_dinamic_dia!$I$6">
      <xdr:nvSpPr>
        <xdr:cNvPr id="15" name="CuadroTexto 1">
          <a:extLst>
            <a:ext uri="{FF2B5EF4-FFF2-40B4-BE49-F238E27FC236}">
              <a16:creationId xmlns:a16="http://schemas.microsoft.com/office/drawing/2014/main" id="{00000000-0008-0000-0600-00000F000000}"/>
            </a:ext>
          </a:extLst>
        </xdr:cNvPr>
        <xdr:cNvSpPr txBox="1"/>
      </xdr:nvSpPr>
      <xdr:spPr>
        <a:xfrm>
          <a:off x="13663246" y="1258765"/>
          <a:ext cx="674078" cy="293076"/>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4627F6AA-9CD2-4938-899E-947A01933C91}" type="TxLink">
            <a:rPr lang="en-US" sz="1200" b="1" i="0" u="none" strike="noStrike">
              <a:solidFill>
                <a:schemeClr val="accent6"/>
              </a:solidFill>
              <a:latin typeface="Arial"/>
              <a:ea typeface="+mn-ea"/>
              <a:cs typeface="Arial"/>
            </a:rPr>
            <a:pPr marL="0" indent="0" algn="ctr"/>
            <a:t>38,8%</a:t>
          </a:fld>
          <a:endParaRPr lang="es-ES" sz="1200" b="1" i="0" u="none" strike="noStrike">
            <a:solidFill>
              <a:schemeClr val="accent6"/>
            </a:solidFill>
            <a:latin typeface="Arial"/>
            <a:ea typeface="+mn-ea"/>
            <a:cs typeface="Arial"/>
          </a:endParaRPr>
        </a:p>
      </xdr:txBody>
    </xdr:sp>
    <xdr:clientData/>
  </xdr:twoCellAnchor>
  <xdr:twoCellAnchor>
    <xdr:from>
      <xdr:col>19</xdr:col>
      <xdr:colOff>79130</xdr:colOff>
      <xdr:row>7</xdr:row>
      <xdr:rowOff>27841</xdr:rowOff>
    </xdr:from>
    <xdr:to>
      <xdr:col>19</xdr:col>
      <xdr:colOff>732693</xdr:colOff>
      <xdr:row>9</xdr:row>
      <xdr:rowOff>7326</xdr:rowOff>
    </xdr:to>
    <xdr:sp macro="" textlink="[1]omie_dinamic_dia!$M$6">
      <xdr:nvSpPr>
        <xdr:cNvPr id="16" name="CuadroTexto 1">
          <a:extLst>
            <a:ext uri="{FF2B5EF4-FFF2-40B4-BE49-F238E27FC236}">
              <a16:creationId xmlns:a16="http://schemas.microsoft.com/office/drawing/2014/main" id="{00000000-0008-0000-0600-000010000000}"/>
            </a:ext>
          </a:extLst>
        </xdr:cNvPr>
        <xdr:cNvSpPr txBox="1"/>
      </xdr:nvSpPr>
      <xdr:spPr>
        <a:xfrm>
          <a:off x="15179918" y="1273418"/>
          <a:ext cx="653563" cy="287216"/>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F09DA1D6-99D8-4D0E-A38A-6381D565D981}" type="TxLink">
            <a:rPr lang="en-US" sz="1200" b="1" i="0" u="none" strike="noStrike">
              <a:solidFill>
                <a:schemeClr val="accent1"/>
              </a:solidFill>
              <a:latin typeface="Arial"/>
              <a:ea typeface="+mn-ea"/>
              <a:cs typeface="Arial"/>
            </a:rPr>
            <a:pPr marL="0" indent="0" algn="ctr"/>
            <a:t>37,5%</a:t>
          </a:fld>
          <a:endParaRPr lang="es-ES" sz="1200" b="1" i="0" u="none" strike="noStrike">
            <a:solidFill>
              <a:schemeClr val="accent1"/>
            </a:solidFill>
            <a:latin typeface="Arial"/>
            <a:ea typeface="+mn-ea"/>
            <a:cs typeface="Arial"/>
          </a:endParaRPr>
        </a:p>
      </xdr:txBody>
    </xdr:sp>
    <xdr:clientData/>
  </xdr:twoCellAnchor>
  <xdr:oneCellAnchor>
    <xdr:from>
      <xdr:col>17</xdr:col>
      <xdr:colOff>158885</xdr:colOff>
      <xdr:row>14</xdr:row>
      <xdr:rowOff>118870</xdr:rowOff>
    </xdr:from>
    <xdr:ext cx="569836" cy="269369"/>
    <xdr:sp macro="" textlink="[1]curva_precios_tec_2024!$V$2">
      <xdr:nvSpPr>
        <xdr:cNvPr id="17" name="CuadroTexto 1">
          <a:extLst>
            <a:ext uri="{FF2B5EF4-FFF2-40B4-BE49-F238E27FC236}">
              <a16:creationId xmlns:a16="http://schemas.microsoft.com/office/drawing/2014/main" id="{00000000-0008-0000-0600-000011000000}"/>
            </a:ext>
          </a:extLst>
        </xdr:cNvPr>
        <xdr:cNvSpPr txBox="1"/>
      </xdr:nvSpPr>
      <xdr:spPr>
        <a:xfrm>
          <a:off x="13735673" y="2441505"/>
          <a:ext cx="56983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5CB5AD5-F300-4BB2-BA29-A82CA49DD408}" type="TxLink">
            <a:rPr lang="en-US" sz="1200" b="1" i="0" u="none" strike="noStrike">
              <a:solidFill>
                <a:schemeClr val="accent6"/>
              </a:solidFill>
              <a:latin typeface="Arial"/>
              <a:ea typeface="+mn-ea"/>
              <a:cs typeface="Arial"/>
            </a:rPr>
            <a:pPr marL="0" indent="0" algn="r"/>
            <a:t>23,08</a:t>
          </a:fld>
          <a:endParaRPr lang="es-ES" sz="1200" b="1" i="0" u="none" strike="noStrike">
            <a:solidFill>
              <a:schemeClr val="accent6"/>
            </a:solidFill>
            <a:latin typeface="Arial"/>
            <a:ea typeface="+mn-ea"/>
            <a:cs typeface="Arial"/>
          </a:endParaRPr>
        </a:p>
      </xdr:txBody>
    </xdr:sp>
    <xdr:clientData/>
  </xdr:oneCellAnchor>
  <xdr:oneCellAnchor>
    <xdr:from>
      <xdr:col>18</xdr:col>
      <xdr:colOff>27858</xdr:colOff>
      <xdr:row>14</xdr:row>
      <xdr:rowOff>124731</xdr:rowOff>
    </xdr:from>
    <xdr:ext cx="655436" cy="269369"/>
    <xdr:sp macro="" textlink="[1]curva_precios_tec_2024!$W$2">
      <xdr:nvSpPr>
        <xdr:cNvPr id="18" name="CuadroTexto 1">
          <a:extLst>
            <a:ext uri="{FF2B5EF4-FFF2-40B4-BE49-F238E27FC236}">
              <a16:creationId xmlns:a16="http://schemas.microsoft.com/office/drawing/2014/main" id="{00000000-0008-0000-0600-000012000000}"/>
            </a:ext>
          </a:extLst>
        </xdr:cNvPr>
        <xdr:cNvSpPr txBox="1"/>
      </xdr:nvSpPr>
      <xdr:spPr>
        <a:xfrm>
          <a:off x="14366646" y="2447366"/>
          <a:ext cx="65543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BE2D409-6E2D-4FF7-B74B-12A1A656BBE8}" type="TxLink">
            <a:rPr lang="en-US" sz="1200" b="1" i="0" u="none" strike="noStrike">
              <a:solidFill>
                <a:schemeClr val="accent2"/>
              </a:solidFill>
              <a:latin typeface="Arial"/>
              <a:ea typeface="+mn-ea"/>
              <a:cs typeface="Arial"/>
            </a:rPr>
            <a:pPr marL="0" indent="0" algn="r"/>
            <a:t>128,61</a:t>
          </a:fld>
          <a:endParaRPr lang="es-ES" sz="1200" b="1" i="0" u="none" strike="noStrike">
            <a:solidFill>
              <a:schemeClr val="accent2"/>
            </a:solidFill>
            <a:latin typeface="Arial"/>
            <a:ea typeface="+mn-ea"/>
            <a:cs typeface="Arial"/>
          </a:endParaRPr>
        </a:p>
      </xdr:txBody>
    </xdr:sp>
    <xdr:clientData/>
  </xdr:oneCellAnchor>
  <xdr:oneCellAnchor>
    <xdr:from>
      <xdr:col>19</xdr:col>
      <xdr:colOff>76822</xdr:colOff>
      <xdr:row>14</xdr:row>
      <xdr:rowOff>117405</xdr:rowOff>
    </xdr:from>
    <xdr:ext cx="569836" cy="269369"/>
    <xdr:sp macro="" textlink="[1]curva_precios_tec_2024!$X$2">
      <xdr:nvSpPr>
        <xdr:cNvPr id="19" name="CuadroTexto 1">
          <a:extLst>
            <a:ext uri="{FF2B5EF4-FFF2-40B4-BE49-F238E27FC236}">
              <a16:creationId xmlns:a16="http://schemas.microsoft.com/office/drawing/2014/main" id="{00000000-0008-0000-0600-000013000000}"/>
            </a:ext>
          </a:extLst>
        </xdr:cNvPr>
        <xdr:cNvSpPr txBox="1"/>
      </xdr:nvSpPr>
      <xdr:spPr>
        <a:xfrm>
          <a:off x="15177610" y="2440040"/>
          <a:ext cx="56983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693FD3DD-EB52-4EA4-B4F6-2FF9279FA19A}" type="TxLink">
            <a:rPr lang="en-US" sz="1200" b="1" i="0" u="none" strike="noStrike">
              <a:solidFill>
                <a:schemeClr val="accent1"/>
              </a:solidFill>
              <a:latin typeface="Arial"/>
              <a:ea typeface="+mn-ea"/>
              <a:cs typeface="Arial"/>
            </a:rPr>
            <a:pPr marL="0" indent="0" algn="r"/>
            <a:t>75,78</a:t>
          </a:fld>
          <a:endParaRPr lang="es-ES" sz="1200" b="1" i="0" u="none" strike="noStrike">
            <a:solidFill>
              <a:schemeClr val="accent1"/>
            </a:solidFill>
            <a:latin typeface="Arial"/>
            <a:ea typeface="+mn-ea"/>
            <a:cs typeface="Arial"/>
          </a:endParaRPr>
        </a:p>
      </xdr:txBody>
    </xdr:sp>
    <xdr:clientData/>
  </xdr:oneCellAnchor>
  <xdr:twoCellAnchor editAs="oneCell">
    <xdr:from>
      <xdr:col>17</xdr:col>
      <xdr:colOff>161194</xdr:colOff>
      <xdr:row>14</xdr:row>
      <xdr:rowOff>51287</xdr:rowOff>
    </xdr:from>
    <xdr:to>
      <xdr:col>19</xdr:col>
      <xdr:colOff>607337</xdr:colOff>
      <xdr:row>15</xdr:row>
      <xdr:rowOff>39272</xdr:rowOff>
    </xdr:to>
    <xdr:pic>
      <xdr:nvPicPr>
        <xdr:cNvPr id="20" name="Imagen 19">
          <a:extLst>
            <a:ext uri="{FF2B5EF4-FFF2-40B4-BE49-F238E27FC236}">
              <a16:creationId xmlns:a16="http://schemas.microsoft.com/office/drawing/2014/main" id="{00000000-0008-0000-0600-000014000000}"/>
            </a:ext>
          </a:extLst>
        </xdr:cNvPr>
        <xdr:cNvPicPr>
          <a:picLocks noChangeAspect="1"/>
        </xdr:cNvPicPr>
      </xdr:nvPicPr>
      <xdr:blipFill>
        <a:blip xmlns:r="http://schemas.openxmlformats.org/officeDocument/2006/relationships" r:embed="rId4"/>
        <a:stretch>
          <a:fillRect/>
        </a:stretch>
      </xdr:blipFill>
      <xdr:spPr>
        <a:xfrm>
          <a:off x="13737982" y="2373922"/>
          <a:ext cx="1970143" cy="141850"/>
        </a:xfrm>
        <a:prstGeom prst="rect">
          <a:avLst/>
        </a:prstGeom>
      </xdr:spPr>
    </xdr:pic>
    <xdr:clientData/>
  </xdr:twoCellAnchor>
  <xdr:twoCellAnchor>
    <xdr:from>
      <xdr:col>17</xdr:col>
      <xdr:colOff>1</xdr:colOff>
      <xdr:row>15</xdr:row>
      <xdr:rowOff>117230</xdr:rowOff>
    </xdr:from>
    <xdr:to>
      <xdr:col>20</xdr:col>
      <xdr:colOff>14654</xdr:colOff>
      <xdr:row>24</xdr:row>
      <xdr:rowOff>58615</xdr:rowOff>
    </xdr:to>
    <xdr:graphicFrame macro="">
      <xdr:nvGraphicFramePr>
        <xdr:cNvPr id="21" name="Gráfico 20">
          <a:extLst>
            <a:ext uri="{FF2B5EF4-FFF2-40B4-BE49-F238E27FC236}">
              <a16:creationId xmlns:a16="http://schemas.microsoft.com/office/drawing/2014/main" id="{00000000-0008-0000-06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0</xdr:colOff>
      <xdr:row>5</xdr:row>
      <xdr:rowOff>0</xdr:rowOff>
    </xdr:from>
    <xdr:to>
      <xdr:col>21</xdr:col>
      <xdr:colOff>0</xdr:colOff>
      <xdr:row>6</xdr:row>
      <xdr:rowOff>0</xdr:rowOff>
    </xdr:to>
    <xdr:sp macro="" textlink="">
      <xdr:nvSpPr>
        <xdr:cNvPr id="22" name="CuadroTexto 21">
          <a:extLst>
            <a:ext uri="{FF2B5EF4-FFF2-40B4-BE49-F238E27FC236}">
              <a16:creationId xmlns:a16="http://schemas.microsoft.com/office/drawing/2014/main" id="{00000000-0008-0000-0600-000016000000}"/>
            </a:ext>
          </a:extLst>
        </xdr:cNvPr>
        <xdr:cNvSpPr txBox="1"/>
      </xdr:nvSpPr>
      <xdr:spPr>
        <a:xfrm>
          <a:off x="15899423" y="769327"/>
          <a:ext cx="2242039" cy="315058"/>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LP GDAES_D+1 (€/MWh)</a:t>
          </a:r>
          <a:endParaRPr lang="es-ES" sz="1200">
            <a:latin typeface="Arial Narrow" panose="020B0606020202030204" pitchFamily="34" charset="0"/>
          </a:endParaRPr>
        </a:p>
      </xdr:txBody>
    </xdr:sp>
    <xdr:clientData/>
  </xdr:twoCellAnchor>
  <xdr:twoCellAnchor>
    <xdr:from>
      <xdr:col>16</xdr:col>
      <xdr:colOff>571500</xdr:colOff>
      <xdr:row>5</xdr:row>
      <xdr:rowOff>1</xdr:rowOff>
    </xdr:from>
    <xdr:to>
      <xdr:col>20</xdr:col>
      <xdr:colOff>0</xdr:colOff>
      <xdr:row>12</xdr:row>
      <xdr:rowOff>0</xdr:rowOff>
    </xdr:to>
    <xdr:sp macro="" textlink="">
      <xdr:nvSpPr>
        <xdr:cNvPr id="23" name="Rectángulo 22">
          <a:extLst>
            <a:ext uri="{FF2B5EF4-FFF2-40B4-BE49-F238E27FC236}">
              <a16:creationId xmlns:a16="http://schemas.microsoft.com/office/drawing/2014/main" id="{00000000-0008-0000-0600-000017000000}"/>
            </a:ext>
          </a:extLst>
        </xdr:cNvPr>
        <xdr:cNvSpPr/>
      </xdr:nvSpPr>
      <xdr:spPr>
        <a:xfrm>
          <a:off x="13576788" y="769328"/>
          <a:ext cx="2322635" cy="124557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0</xdr:colOff>
      <xdr:row>5</xdr:row>
      <xdr:rowOff>0</xdr:rowOff>
    </xdr:from>
    <xdr:to>
      <xdr:col>21</xdr:col>
      <xdr:colOff>0</xdr:colOff>
      <xdr:row>13</xdr:row>
      <xdr:rowOff>0</xdr:rowOff>
    </xdr:to>
    <xdr:sp macro="" textlink="">
      <xdr:nvSpPr>
        <xdr:cNvPr id="24" name="Rectángulo 23">
          <a:extLst>
            <a:ext uri="{FF2B5EF4-FFF2-40B4-BE49-F238E27FC236}">
              <a16:creationId xmlns:a16="http://schemas.microsoft.com/office/drawing/2014/main" id="{00000000-0008-0000-0600-000018000000}"/>
            </a:ext>
          </a:extLst>
        </xdr:cNvPr>
        <xdr:cNvSpPr/>
      </xdr:nvSpPr>
      <xdr:spPr>
        <a:xfrm>
          <a:off x="15899423" y="769327"/>
          <a:ext cx="2242039" cy="1399442"/>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21</xdr:col>
      <xdr:colOff>1436329</xdr:colOff>
      <xdr:row>7</xdr:row>
      <xdr:rowOff>48357</xdr:rowOff>
    </xdr:from>
    <xdr:to>
      <xdr:col>21</xdr:col>
      <xdr:colOff>2176349</xdr:colOff>
      <xdr:row>9</xdr:row>
      <xdr:rowOff>27843</xdr:rowOff>
    </xdr:to>
    <xdr:sp macro="" textlink="[1]gas!$F$5">
      <xdr:nvSpPr>
        <xdr:cNvPr id="25" name="CuadroTexto 1">
          <a:extLst>
            <a:ext uri="{FF2B5EF4-FFF2-40B4-BE49-F238E27FC236}">
              <a16:creationId xmlns:a16="http://schemas.microsoft.com/office/drawing/2014/main" id="{00000000-0008-0000-0600-000019000000}"/>
            </a:ext>
          </a:extLst>
        </xdr:cNvPr>
        <xdr:cNvSpPr txBox="1"/>
      </xdr:nvSpPr>
      <xdr:spPr>
        <a:xfrm>
          <a:off x="18457504" y="1286607"/>
          <a:ext cx="6595" cy="284286"/>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A5C7D6D-184B-49E3-B106-12047537AD4D}" type="TxLink">
            <a:rPr lang="en-US" sz="1200" b="1" i="0" u="none" strike="noStrike">
              <a:solidFill>
                <a:srgbClr val="7030A0"/>
              </a:solidFill>
              <a:latin typeface="Arial"/>
              <a:ea typeface="+mn-ea"/>
              <a:cs typeface="Arial"/>
            </a:rPr>
            <a:pPr marL="0" indent="0" algn="r"/>
            <a:t>34,35</a:t>
          </a:fld>
          <a:endParaRPr lang="es-ES" sz="1200" b="1" i="0" u="none" strike="noStrike">
            <a:solidFill>
              <a:srgbClr val="7030A0"/>
            </a:solidFill>
            <a:latin typeface="Arial"/>
            <a:ea typeface="+mn-ea"/>
            <a:cs typeface="Arial"/>
          </a:endParaRPr>
        </a:p>
      </xdr:txBody>
    </xdr:sp>
    <xdr:clientData/>
  </xdr:twoCellAnchor>
  <xdr:twoCellAnchor>
    <xdr:from>
      <xdr:col>20</xdr:col>
      <xdr:colOff>124555</xdr:colOff>
      <xdr:row>5</xdr:row>
      <xdr:rowOff>307731</xdr:rowOff>
    </xdr:from>
    <xdr:to>
      <xdr:col>20</xdr:col>
      <xdr:colOff>2176095</xdr:colOff>
      <xdr:row>5</xdr:row>
      <xdr:rowOff>311394</xdr:rowOff>
    </xdr:to>
    <xdr:cxnSp macro="">
      <xdr:nvCxnSpPr>
        <xdr:cNvPr id="26" name="Conector recto 25">
          <a:extLst>
            <a:ext uri="{FF2B5EF4-FFF2-40B4-BE49-F238E27FC236}">
              <a16:creationId xmlns:a16="http://schemas.microsoft.com/office/drawing/2014/main" id="{00000000-0008-0000-0600-00001A000000}"/>
            </a:ext>
          </a:extLst>
        </xdr:cNvPr>
        <xdr:cNvCxnSpPr/>
      </xdr:nvCxnSpPr>
      <xdr:spPr>
        <a:xfrm flipV="1">
          <a:off x="16023978" y="1077058"/>
          <a:ext cx="2051540" cy="366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13</xdr:row>
      <xdr:rowOff>0</xdr:rowOff>
    </xdr:from>
    <xdr:to>
      <xdr:col>21</xdr:col>
      <xdr:colOff>0</xdr:colOff>
      <xdr:row>15</xdr:row>
      <xdr:rowOff>0</xdr:rowOff>
    </xdr:to>
    <xdr:sp macro="" textlink="">
      <xdr:nvSpPr>
        <xdr:cNvPr id="27" name="CuadroTexto 26">
          <a:extLst>
            <a:ext uri="{FF2B5EF4-FFF2-40B4-BE49-F238E27FC236}">
              <a16:creationId xmlns:a16="http://schemas.microsoft.com/office/drawing/2014/main" id="{00000000-0008-0000-0600-00001B000000}"/>
            </a:ext>
          </a:extLst>
        </xdr:cNvPr>
        <xdr:cNvSpPr txBox="1"/>
      </xdr:nvSpPr>
      <xdr:spPr>
        <a:xfrm>
          <a:off x="15899423" y="2168769"/>
          <a:ext cx="2242039" cy="30773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13</xdr:row>
      <xdr:rowOff>1</xdr:rowOff>
    </xdr:from>
    <xdr:to>
      <xdr:col>21</xdr:col>
      <xdr:colOff>0</xdr:colOff>
      <xdr:row>23</xdr:row>
      <xdr:rowOff>153865</xdr:rowOff>
    </xdr:to>
    <xdr:sp macro="" textlink="">
      <xdr:nvSpPr>
        <xdr:cNvPr id="28" name="Rectángulo 27">
          <a:extLst>
            <a:ext uri="{FF2B5EF4-FFF2-40B4-BE49-F238E27FC236}">
              <a16:creationId xmlns:a16="http://schemas.microsoft.com/office/drawing/2014/main" id="{00000000-0008-0000-0600-00001C000000}"/>
            </a:ext>
          </a:extLst>
        </xdr:cNvPr>
        <xdr:cNvSpPr/>
      </xdr:nvSpPr>
      <xdr:spPr>
        <a:xfrm>
          <a:off x="15899423" y="2168770"/>
          <a:ext cx="2242039" cy="1692518"/>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109901</xdr:colOff>
      <xdr:row>14</xdr:row>
      <xdr:rowOff>139211</xdr:rowOff>
    </xdr:from>
    <xdr:to>
      <xdr:col>20</xdr:col>
      <xdr:colOff>2117479</xdr:colOff>
      <xdr:row>14</xdr:row>
      <xdr:rowOff>139212</xdr:rowOff>
    </xdr:to>
    <xdr:cxnSp macro="">
      <xdr:nvCxnSpPr>
        <xdr:cNvPr id="29" name="Conector recto 28">
          <a:extLst>
            <a:ext uri="{FF2B5EF4-FFF2-40B4-BE49-F238E27FC236}">
              <a16:creationId xmlns:a16="http://schemas.microsoft.com/office/drawing/2014/main" id="{00000000-0008-0000-0600-00001D000000}"/>
            </a:ext>
          </a:extLst>
        </xdr:cNvPr>
        <xdr:cNvCxnSpPr/>
      </xdr:nvCxnSpPr>
      <xdr:spPr>
        <a:xfrm flipV="1">
          <a:off x="16009324" y="2461846"/>
          <a:ext cx="2007578" cy="1"/>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0</xdr:row>
      <xdr:rowOff>0</xdr:rowOff>
    </xdr:from>
    <xdr:to>
      <xdr:col>21</xdr:col>
      <xdr:colOff>0</xdr:colOff>
      <xdr:row>5</xdr:row>
      <xdr:rowOff>0</xdr:rowOff>
    </xdr:to>
    <xdr:sp macro="" textlink="">
      <xdr:nvSpPr>
        <xdr:cNvPr id="30" name="Rectángulo 29">
          <a:extLst>
            <a:ext uri="{FF2B5EF4-FFF2-40B4-BE49-F238E27FC236}">
              <a16:creationId xmlns:a16="http://schemas.microsoft.com/office/drawing/2014/main" id="{00000000-0008-0000-0600-00001E000000}"/>
            </a:ext>
          </a:extLst>
        </xdr:cNvPr>
        <xdr:cNvSpPr/>
      </xdr:nvSpPr>
      <xdr:spPr>
        <a:xfrm>
          <a:off x="15459075" y="0"/>
          <a:ext cx="22383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67331</xdr:colOff>
      <xdr:row>0</xdr:row>
      <xdr:rowOff>39666</xdr:rowOff>
    </xdr:from>
    <xdr:to>
      <xdr:col>20</xdr:col>
      <xdr:colOff>2095500</xdr:colOff>
      <xdr:row>2</xdr:row>
      <xdr:rowOff>25012</xdr:rowOff>
    </xdr:to>
    <xdr:sp macro="" textlink="">
      <xdr:nvSpPr>
        <xdr:cNvPr id="31" name="CuadroTexto 30">
          <a:extLst>
            <a:ext uri="{FF2B5EF4-FFF2-40B4-BE49-F238E27FC236}">
              <a16:creationId xmlns:a16="http://schemas.microsoft.com/office/drawing/2014/main" id="{00000000-0008-0000-0600-00001F000000}"/>
            </a:ext>
          </a:extLst>
        </xdr:cNvPr>
        <xdr:cNvSpPr txBox="1"/>
      </xdr:nvSpPr>
      <xdr:spPr>
        <a:xfrm>
          <a:off x="15526406" y="39666"/>
          <a:ext cx="2028169"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20</xdr:col>
      <xdr:colOff>72258</xdr:colOff>
      <xdr:row>2</xdr:row>
      <xdr:rowOff>71803</xdr:rowOff>
    </xdr:from>
    <xdr:to>
      <xdr:col>20</xdr:col>
      <xdr:colOff>2108638</xdr:colOff>
      <xdr:row>4</xdr:row>
      <xdr:rowOff>57149</xdr:rowOff>
    </xdr:to>
    <xdr:sp macro="" textlink="">
      <xdr:nvSpPr>
        <xdr:cNvPr id="32" name="CuadroTexto 31">
          <a:extLst>
            <a:ext uri="{FF2B5EF4-FFF2-40B4-BE49-F238E27FC236}">
              <a16:creationId xmlns:a16="http://schemas.microsoft.com/office/drawing/2014/main" id="{00000000-0008-0000-0600-000020000000}"/>
            </a:ext>
          </a:extLst>
        </xdr:cNvPr>
        <xdr:cNvSpPr txBox="1"/>
      </xdr:nvSpPr>
      <xdr:spPr>
        <a:xfrm>
          <a:off x="15531333" y="376603"/>
          <a:ext cx="2036380"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#miniporramayo2024</a:t>
          </a:r>
        </a:p>
      </xdr:txBody>
    </xdr:sp>
    <xdr:clientData/>
  </xdr:twoCellAnchor>
  <xdr:twoCellAnchor>
    <xdr:from>
      <xdr:col>20</xdr:col>
      <xdr:colOff>14653</xdr:colOff>
      <xdr:row>14</xdr:row>
      <xdr:rowOff>109903</xdr:rowOff>
    </xdr:from>
    <xdr:to>
      <xdr:col>20</xdr:col>
      <xdr:colOff>2110152</xdr:colOff>
      <xdr:row>23</xdr:row>
      <xdr:rowOff>153865</xdr:rowOff>
    </xdr:to>
    <xdr:graphicFrame macro="">
      <xdr:nvGraphicFramePr>
        <xdr:cNvPr id="33" name="Gráfico 32">
          <a:extLst>
            <a:ext uri="{FF2B5EF4-FFF2-40B4-BE49-F238E27FC236}">
              <a16:creationId xmlns:a16="http://schemas.microsoft.com/office/drawing/2014/main" id="{00000000-0008-0000-06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1242345</xdr:colOff>
      <xdr:row>18</xdr:row>
      <xdr:rowOff>41586</xdr:rowOff>
    </xdr:from>
    <xdr:to>
      <xdr:col>21</xdr:col>
      <xdr:colOff>2112785</xdr:colOff>
      <xdr:row>20</xdr:row>
      <xdr:rowOff>18292</xdr:rowOff>
    </xdr:to>
    <xdr:sp macro="" textlink="[1]co2!$F$6">
      <xdr:nvSpPr>
        <xdr:cNvPr id="34" name="CuadroTexto 1">
          <a:extLst>
            <a:ext uri="{FF2B5EF4-FFF2-40B4-BE49-F238E27FC236}">
              <a16:creationId xmlns:a16="http://schemas.microsoft.com/office/drawing/2014/main" id="{00000000-0008-0000-0600-000022000000}"/>
            </a:ext>
          </a:extLst>
        </xdr:cNvPr>
        <xdr:cNvSpPr txBox="1"/>
      </xdr:nvSpPr>
      <xdr:spPr>
        <a:xfrm>
          <a:off x="18463545" y="2956236"/>
          <a:ext cx="0" cy="281506"/>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4C71EA8-E455-4BC4-8148-EDD2FD2E021B}" type="TxLink">
            <a:rPr lang="en-US" sz="1200" b="1" i="0" u="none" strike="noStrike">
              <a:solidFill>
                <a:srgbClr val="7030A0"/>
              </a:solidFill>
              <a:latin typeface="Arial"/>
              <a:ea typeface="+mn-ea"/>
              <a:cs typeface="Arial"/>
            </a:rPr>
            <a:pPr marL="0" indent="0" algn="r"/>
            <a:t>70,97</a:t>
          </a:fld>
          <a:endParaRPr lang="es-ES" sz="1200" b="1" i="0" u="none" strike="noStrike">
            <a:solidFill>
              <a:srgbClr val="7030A0"/>
            </a:solidFill>
            <a:latin typeface="Arial"/>
            <a:ea typeface="+mn-ea"/>
            <a:cs typeface="Arial"/>
          </a:endParaRPr>
        </a:p>
      </xdr:txBody>
    </xdr:sp>
    <xdr:clientData/>
  </xdr:twoCellAnchor>
  <xdr:twoCellAnchor>
    <xdr:from>
      <xdr:col>20</xdr:col>
      <xdr:colOff>0</xdr:colOff>
      <xdr:row>23</xdr:row>
      <xdr:rowOff>153865</xdr:rowOff>
    </xdr:from>
    <xdr:to>
      <xdr:col>21</xdr:col>
      <xdr:colOff>0</xdr:colOff>
      <xdr:row>26</xdr:row>
      <xdr:rowOff>0</xdr:rowOff>
    </xdr:to>
    <xdr:sp macro="" textlink="">
      <xdr:nvSpPr>
        <xdr:cNvPr id="35" name="CuadroTexto 34">
          <a:extLst>
            <a:ext uri="{FF2B5EF4-FFF2-40B4-BE49-F238E27FC236}">
              <a16:creationId xmlns:a16="http://schemas.microsoft.com/office/drawing/2014/main" id="{00000000-0008-0000-0600-000023000000}"/>
            </a:ext>
          </a:extLst>
        </xdr:cNvPr>
        <xdr:cNvSpPr txBox="1"/>
      </xdr:nvSpPr>
      <xdr:spPr>
        <a:xfrm>
          <a:off x="15899423" y="3861288"/>
          <a:ext cx="2242039" cy="30773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Demanda real (GWh) </a:t>
          </a:r>
          <a:endParaRPr lang="es-ES" sz="1200">
            <a:latin typeface="Arial Narrow" panose="020B0606020202030204" pitchFamily="34" charset="0"/>
          </a:endParaRPr>
        </a:p>
      </xdr:txBody>
    </xdr:sp>
    <xdr:clientData/>
  </xdr:twoCellAnchor>
  <xdr:twoCellAnchor>
    <xdr:from>
      <xdr:col>20</xdr:col>
      <xdr:colOff>0</xdr:colOff>
      <xdr:row>23</xdr:row>
      <xdr:rowOff>153865</xdr:rowOff>
    </xdr:from>
    <xdr:to>
      <xdr:col>21</xdr:col>
      <xdr:colOff>0</xdr:colOff>
      <xdr:row>36</xdr:row>
      <xdr:rowOff>153865</xdr:rowOff>
    </xdr:to>
    <xdr:sp macro="" textlink="">
      <xdr:nvSpPr>
        <xdr:cNvPr id="36" name="Rectángulo 35">
          <a:extLst>
            <a:ext uri="{FF2B5EF4-FFF2-40B4-BE49-F238E27FC236}">
              <a16:creationId xmlns:a16="http://schemas.microsoft.com/office/drawing/2014/main" id="{00000000-0008-0000-0600-000024000000}"/>
            </a:ext>
          </a:extLst>
        </xdr:cNvPr>
        <xdr:cNvSpPr/>
      </xdr:nvSpPr>
      <xdr:spPr>
        <a:xfrm>
          <a:off x="15899423" y="3861288"/>
          <a:ext cx="2242039" cy="200025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120160</xdr:colOff>
      <xdr:row>25</xdr:row>
      <xdr:rowOff>153864</xdr:rowOff>
    </xdr:from>
    <xdr:to>
      <xdr:col>20</xdr:col>
      <xdr:colOff>2110154</xdr:colOff>
      <xdr:row>26</xdr:row>
      <xdr:rowOff>14654</xdr:rowOff>
    </xdr:to>
    <xdr:cxnSp macro="">
      <xdr:nvCxnSpPr>
        <xdr:cNvPr id="37" name="Conector recto 36">
          <a:extLst>
            <a:ext uri="{FF2B5EF4-FFF2-40B4-BE49-F238E27FC236}">
              <a16:creationId xmlns:a16="http://schemas.microsoft.com/office/drawing/2014/main" id="{00000000-0008-0000-0600-000025000000}"/>
            </a:ext>
          </a:extLst>
        </xdr:cNvPr>
        <xdr:cNvCxnSpPr/>
      </xdr:nvCxnSpPr>
      <xdr:spPr>
        <a:xfrm>
          <a:off x="16019583" y="4169018"/>
          <a:ext cx="1989994" cy="14655"/>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19</xdr:col>
      <xdr:colOff>131886</xdr:colOff>
      <xdr:row>27</xdr:row>
      <xdr:rowOff>80596</xdr:rowOff>
    </xdr:from>
    <xdr:to>
      <xdr:col>19</xdr:col>
      <xdr:colOff>706200</xdr:colOff>
      <xdr:row>34</xdr:row>
      <xdr:rowOff>43963</xdr:rowOff>
    </xdr:to>
    <xdr:pic>
      <xdr:nvPicPr>
        <xdr:cNvPr id="38" name="Imagen 37">
          <a:extLst>
            <a:ext uri="{FF2B5EF4-FFF2-40B4-BE49-F238E27FC236}">
              <a16:creationId xmlns:a16="http://schemas.microsoft.com/office/drawing/2014/main" id="{00000000-0008-0000-0600-000026000000}"/>
            </a:ext>
          </a:extLst>
        </xdr:cNvPr>
        <xdr:cNvPicPr>
          <a:picLocks noChangeAspect="1"/>
        </xdr:cNvPicPr>
      </xdr:nvPicPr>
      <xdr:blipFill>
        <a:blip xmlns:r="http://schemas.openxmlformats.org/officeDocument/2006/relationships" r:embed="rId7"/>
        <a:stretch>
          <a:fillRect/>
        </a:stretch>
      </xdr:blipFill>
      <xdr:spPr>
        <a:xfrm>
          <a:off x="15232674" y="4403481"/>
          <a:ext cx="574314" cy="1040424"/>
        </a:xfrm>
        <a:prstGeom prst="rect">
          <a:avLst/>
        </a:prstGeom>
      </xdr:spPr>
    </xdr:pic>
    <xdr:clientData/>
  </xdr:twoCellAnchor>
  <xdr:twoCellAnchor>
    <xdr:from>
      <xdr:col>17</xdr:col>
      <xdr:colOff>29308</xdr:colOff>
      <xdr:row>37</xdr:row>
      <xdr:rowOff>51289</xdr:rowOff>
    </xdr:from>
    <xdr:to>
      <xdr:col>20</xdr:col>
      <xdr:colOff>2205405</xdr:colOff>
      <xdr:row>49</xdr:row>
      <xdr:rowOff>0</xdr:rowOff>
    </xdr:to>
    <xdr:graphicFrame macro="">
      <xdr:nvGraphicFramePr>
        <xdr:cNvPr id="39" name="Gráfico 38">
          <a:extLst>
            <a:ext uri="{FF2B5EF4-FFF2-40B4-BE49-F238E27FC236}">
              <a16:creationId xmlns:a16="http://schemas.microsoft.com/office/drawing/2014/main" id="{00000000-0008-0000-06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17</xdr:col>
      <xdr:colOff>29308</xdr:colOff>
      <xdr:row>9</xdr:row>
      <xdr:rowOff>7326</xdr:rowOff>
    </xdr:from>
    <xdr:to>
      <xdr:col>18</xdr:col>
      <xdr:colOff>42626</xdr:colOff>
      <xdr:row>13</xdr:row>
      <xdr:rowOff>66673</xdr:rowOff>
    </xdr:to>
    <xdr:graphicFrame macro="">
      <xdr:nvGraphicFramePr>
        <xdr:cNvPr id="40" name="Gráfico 39">
          <a:extLst>
            <a:ext uri="{FF2B5EF4-FFF2-40B4-BE49-F238E27FC236}">
              <a16:creationId xmlns:a16="http://schemas.microsoft.com/office/drawing/2014/main" id="{00000000-0008-0000-0600-000028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xdr:from>
      <xdr:col>18</xdr:col>
      <xdr:colOff>51290</xdr:colOff>
      <xdr:row>8</xdr:row>
      <xdr:rowOff>102578</xdr:rowOff>
    </xdr:from>
    <xdr:to>
      <xdr:col>19</xdr:col>
      <xdr:colOff>73271</xdr:colOff>
      <xdr:row>15</xdr:row>
      <xdr:rowOff>0</xdr:rowOff>
    </xdr:to>
    <xdr:graphicFrame macro="">
      <xdr:nvGraphicFramePr>
        <xdr:cNvPr id="41" name="Gráfico 40">
          <a:extLst>
            <a:ext uri="{FF2B5EF4-FFF2-40B4-BE49-F238E27FC236}">
              <a16:creationId xmlns:a16="http://schemas.microsoft.com/office/drawing/2014/main" id="{00000000-0008-0000-06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twoCellAnchor>
  <xdr:twoCellAnchor>
    <xdr:from>
      <xdr:col>19</xdr:col>
      <xdr:colOff>58617</xdr:colOff>
      <xdr:row>8</xdr:row>
      <xdr:rowOff>87923</xdr:rowOff>
    </xdr:from>
    <xdr:to>
      <xdr:col>19</xdr:col>
      <xdr:colOff>756032</xdr:colOff>
      <xdr:row>14</xdr:row>
      <xdr:rowOff>99380</xdr:rowOff>
    </xdr:to>
    <xdr:graphicFrame macro="">
      <xdr:nvGraphicFramePr>
        <xdr:cNvPr id="42" name="Gráfico 41">
          <a:extLst>
            <a:ext uri="{FF2B5EF4-FFF2-40B4-BE49-F238E27FC236}">
              <a16:creationId xmlns:a16="http://schemas.microsoft.com/office/drawing/2014/main" id="{00000000-0008-0000-0600-00002A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fLocksWithSheet="0"/>
  </xdr:twoCellAnchor>
  <xdr:twoCellAnchor>
    <xdr:from>
      <xdr:col>20</xdr:col>
      <xdr:colOff>21981</xdr:colOff>
      <xdr:row>26</xdr:row>
      <xdr:rowOff>58616</xdr:rowOff>
    </xdr:from>
    <xdr:to>
      <xdr:col>20</xdr:col>
      <xdr:colOff>2190751</xdr:colOff>
      <xdr:row>36</xdr:row>
      <xdr:rowOff>95250</xdr:rowOff>
    </xdr:to>
    <xdr:graphicFrame macro="">
      <xdr:nvGraphicFramePr>
        <xdr:cNvPr id="43" name="Gráfico 42">
          <a:extLst>
            <a:ext uri="{FF2B5EF4-FFF2-40B4-BE49-F238E27FC236}">
              <a16:creationId xmlns:a16="http://schemas.microsoft.com/office/drawing/2014/main" id="{00000000-0008-0000-06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mc:AlternateContent xmlns:mc="http://schemas.openxmlformats.org/markup-compatibility/2006">
    <mc:Choice xmlns:a14="http://schemas.microsoft.com/office/drawing/2010/main" Requires="a14">
      <xdr:twoCellAnchor>
        <xdr:from>
          <xdr:col>2</xdr:col>
          <xdr:colOff>723900</xdr:colOff>
          <xdr:row>3</xdr:row>
          <xdr:rowOff>0</xdr:rowOff>
        </xdr:from>
        <xdr:to>
          <xdr:col>3</xdr:col>
          <xdr:colOff>1381125</xdr:colOff>
          <xdr:row>5</xdr:row>
          <xdr:rowOff>0</xdr:rowOff>
        </xdr:to>
        <xdr:sp macro="" textlink="">
          <xdr:nvSpPr>
            <xdr:cNvPr id="28675" name="Button 3" hidden="1">
              <a:extLst>
                <a:ext uri="{63B3BB69-23CF-44E3-9099-C40C66FF867C}">
                  <a14:compatExt spid="_x0000_s28675"/>
                </a:ext>
                <a:ext uri="{FF2B5EF4-FFF2-40B4-BE49-F238E27FC236}">
                  <a16:creationId xmlns:a16="http://schemas.microsoft.com/office/drawing/2014/main" id="{00000000-0008-0000-0600-000003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xdr:twoCellAnchor>
    <xdr:from>
      <xdr:col>16</xdr:col>
      <xdr:colOff>571500</xdr:colOff>
      <xdr:row>36</xdr:row>
      <xdr:rowOff>153864</xdr:rowOff>
    </xdr:from>
    <xdr:to>
      <xdr:col>21</xdr:col>
      <xdr:colOff>0</xdr:colOff>
      <xdr:row>48</xdr:row>
      <xdr:rowOff>153864</xdr:rowOff>
    </xdr:to>
    <xdr:sp macro="" textlink="">
      <xdr:nvSpPr>
        <xdr:cNvPr id="44" name="Rectángulo 43">
          <a:extLst>
            <a:ext uri="{FF2B5EF4-FFF2-40B4-BE49-F238E27FC236}">
              <a16:creationId xmlns:a16="http://schemas.microsoft.com/office/drawing/2014/main" id="{00000000-0008-0000-0600-00002C000000}"/>
            </a:ext>
          </a:extLst>
        </xdr:cNvPr>
        <xdr:cNvSpPr/>
      </xdr:nvSpPr>
      <xdr:spPr>
        <a:xfrm>
          <a:off x="13576788" y="5861537"/>
          <a:ext cx="4564674" cy="1846385"/>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21</xdr:col>
      <xdr:colOff>1186961</xdr:colOff>
      <xdr:row>30</xdr:row>
      <xdr:rowOff>51288</xdr:rowOff>
    </xdr:from>
    <xdr:to>
      <xdr:col>21</xdr:col>
      <xdr:colOff>2057401</xdr:colOff>
      <xdr:row>32</xdr:row>
      <xdr:rowOff>27994</xdr:rowOff>
    </xdr:to>
    <xdr:sp macro="" textlink="[1]omie_dinamic_dia!$N$2">
      <xdr:nvSpPr>
        <xdr:cNvPr id="45" name="CuadroTexto 1">
          <a:extLst>
            <a:ext uri="{FF2B5EF4-FFF2-40B4-BE49-F238E27FC236}">
              <a16:creationId xmlns:a16="http://schemas.microsoft.com/office/drawing/2014/main" id="{00000000-0008-0000-0600-00002D000000}"/>
            </a:ext>
          </a:extLst>
        </xdr:cNvPr>
        <xdr:cNvSpPr txBox="1"/>
      </xdr:nvSpPr>
      <xdr:spPr>
        <a:xfrm>
          <a:off x="18455786" y="4794738"/>
          <a:ext cx="3665" cy="281506"/>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C2349CF5-43E9-405E-B17B-1EB378677D01}" type="TxLink">
            <a:rPr lang="en-US" sz="1200" b="1" i="0" u="none" strike="noStrike">
              <a:solidFill>
                <a:schemeClr val="accent1">
                  <a:lumMod val="60000"/>
                  <a:lumOff val="40000"/>
                </a:schemeClr>
              </a:solidFill>
              <a:latin typeface="Arial Narrow" panose="020B0606020202030204" pitchFamily="34" charset="0"/>
              <a:ea typeface="+mn-ea"/>
              <a:cs typeface="Arial"/>
            </a:rPr>
            <a:pPr marL="0" indent="0" algn="r"/>
            <a:t>5.273</a:t>
          </a:fld>
          <a:endParaRPr lang="es-ES" sz="2000" b="1" i="0" u="none" strike="noStrike">
            <a:solidFill>
              <a:schemeClr val="accent1">
                <a:lumMod val="60000"/>
                <a:lumOff val="40000"/>
              </a:schemeClr>
            </a:solidFill>
            <a:latin typeface="Arial Narrow" panose="020B0606020202030204" pitchFamily="34" charset="0"/>
            <a:ea typeface="+mn-ea"/>
            <a:cs typeface="Arial"/>
          </a:endParaRPr>
        </a:p>
      </xdr:txBody>
    </xdr:sp>
    <xdr:clientData/>
  </xdr:twoCellAnchor>
  <xdr:twoCellAnchor>
    <xdr:from>
      <xdr:col>21</xdr:col>
      <xdr:colOff>1164982</xdr:colOff>
      <xdr:row>30</xdr:row>
      <xdr:rowOff>73269</xdr:rowOff>
    </xdr:from>
    <xdr:to>
      <xdr:col>21</xdr:col>
      <xdr:colOff>1626578</xdr:colOff>
      <xdr:row>32</xdr:row>
      <xdr:rowOff>0</xdr:rowOff>
    </xdr:to>
    <xdr:sp macro="" textlink="">
      <xdr:nvSpPr>
        <xdr:cNvPr id="46" name="CuadroTexto 45">
          <a:extLst>
            <a:ext uri="{FF2B5EF4-FFF2-40B4-BE49-F238E27FC236}">
              <a16:creationId xmlns:a16="http://schemas.microsoft.com/office/drawing/2014/main" id="{00000000-0008-0000-0600-00002E000000}"/>
            </a:ext>
          </a:extLst>
        </xdr:cNvPr>
        <xdr:cNvSpPr txBox="1"/>
      </xdr:nvSpPr>
      <xdr:spPr>
        <a:xfrm>
          <a:off x="18462382" y="4816719"/>
          <a:ext cx="0" cy="23153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s-ES" sz="1100">
              <a:solidFill>
                <a:schemeClr val="accent1">
                  <a:lumMod val="60000"/>
                  <a:lumOff val="40000"/>
                </a:schemeClr>
              </a:solidFill>
              <a:latin typeface="Arial Narrow" panose="020B0606020202030204" pitchFamily="34" charset="0"/>
            </a:rPr>
            <a:t>Total</a:t>
          </a:r>
        </a:p>
      </xdr:txBody>
    </xdr:sp>
    <xdr:clientData/>
  </xdr:twoCellAnchor>
  <mc:AlternateContent xmlns:mc="http://schemas.openxmlformats.org/markup-compatibility/2006">
    <mc:Choice xmlns:a14="http://schemas.microsoft.com/office/drawing/2010/main" Requires="a14">
      <xdr:twoCellAnchor>
        <xdr:from>
          <xdr:col>3</xdr:col>
          <xdr:colOff>1400175</xdr:colOff>
          <xdr:row>3</xdr:row>
          <xdr:rowOff>0</xdr:rowOff>
        </xdr:from>
        <xdr:to>
          <xdr:col>6</xdr:col>
          <xdr:colOff>0</xdr:colOff>
          <xdr:row>5</xdr:row>
          <xdr:rowOff>0</xdr:rowOff>
        </xdr:to>
        <xdr:sp macro="" textlink="">
          <xdr:nvSpPr>
            <xdr:cNvPr id="28676" name="Button 4" hidden="1">
              <a:extLst>
                <a:ext uri="{63B3BB69-23CF-44E3-9099-C40C66FF867C}">
                  <a14:compatExt spid="_x0000_s28676"/>
                </a:ext>
                <a:ext uri="{FF2B5EF4-FFF2-40B4-BE49-F238E27FC236}">
                  <a16:creationId xmlns:a16="http://schemas.microsoft.com/office/drawing/2014/main" id="{00000000-0008-0000-0600-000004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EXT</a:t>
              </a:r>
            </a:p>
          </xdr:txBody>
        </xdr:sp>
        <xdr:clientData fPrintsWithSheet="0"/>
      </xdr:twoCellAnchor>
    </mc:Choice>
    <mc:Fallback/>
  </mc:AlternateContent>
  <xdr:twoCellAnchor>
    <xdr:from>
      <xdr:col>10</xdr:col>
      <xdr:colOff>0</xdr:colOff>
      <xdr:row>5</xdr:row>
      <xdr:rowOff>0</xdr:rowOff>
    </xdr:from>
    <xdr:to>
      <xdr:col>15</xdr:col>
      <xdr:colOff>0</xdr:colOff>
      <xdr:row>49</xdr:row>
      <xdr:rowOff>0</xdr:rowOff>
    </xdr:to>
    <xdr:sp macro="" textlink="">
      <xdr:nvSpPr>
        <xdr:cNvPr id="47" name="Rectángulo 46">
          <a:extLst>
            <a:ext uri="{FF2B5EF4-FFF2-40B4-BE49-F238E27FC236}">
              <a16:creationId xmlns:a16="http://schemas.microsoft.com/office/drawing/2014/main" id="{00000000-0008-0000-0600-00002F000000}"/>
            </a:ext>
          </a:extLst>
        </xdr:cNvPr>
        <xdr:cNvSpPr/>
      </xdr:nvSpPr>
      <xdr:spPr>
        <a:xfrm>
          <a:off x="7641981" y="769327"/>
          <a:ext cx="4784481" cy="693859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1414096</xdr:colOff>
      <xdr:row>6</xdr:row>
      <xdr:rowOff>131884</xdr:rowOff>
    </xdr:from>
    <xdr:to>
      <xdr:col>20</xdr:col>
      <xdr:colOff>2095499</xdr:colOff>
      <xdr:row>8</xdr:row>
      <xdr:rowOff>124558</xdr:rowOff>
    </xdr:to>
    <xdr:sp macro="" textlink="[1]gas!$F$5">
      <xdr:nvSpPr>
        <xdr:cNvPr id="48" name="CuadroTexto 3">
          <a:extLst>
            <a:ext uri="{FF2B5EF4-FFF2-40B4-BE49-F238E27FC236}">
              <a16:creationId xmlns:a16="http://schemas.microsoft.com/office/drawing/2014/main" id="{00000000-0008-0000-0600-000030000000}"/>
            </a:ext>
          </a:extLst>
        </xdr:cNvPr>
        <xdr:cNvSpPr txBox="1"/>
      </xdr:nvSpPr>
      <xdr:spPr>
        <a:xfrm>
          <a:off x="17313519" y="1216269"/>
          <a:ext cx="681403" cy="3077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C1F8DA14-9348-44AF-8DAE-BAE5A97B325D}" type="TxLink">
            <a:rPr lang="en-US" sz="1200" b="1" i="0" u="none" strike="noStrike">
              <a:solidFill>
                <a:srgbClr val="7030A0"/>
              </a:solidFill>
              <a:latin typeface="Arial Narrow" panose="020B0606020202030204" pitchFamily="34" charset="0"/>
              <a:ea typeface="+mn-ea"/>
              <a:cs typeface="Arial"/>
            </a:rPr>
            <a:pPr marL="0" indent="0" algn="r"/>
            <a:t>34,35</a:t>
          </a:fld>
          <a:endParaRPr lang="es-ES" sz="1200" b="1" i="0" u="none" strike="noStrike">
            <a:solidFill>
              <a:srgbClr val="7030A0"/>
            </a:solidFill>
            <a:latin typeface="Arial Narrow" panose="020B0606020202030204" pitchFamily="34" charset="0"/>
            <a:ea typeface="+mn-ea"/>
            <a:cs typeface="Arial"/>
          </a:endParaRPr>
        </a:p>
      </xdr:txBody>
    </xdr:sp>
    <xdr:clientData/>
  </xdr:twoCellAnchor>
  <xdr:twoCellAnchor>
    <xdr:from>
      <xdr:col>20</xdr:col>
      <xdr:colOff>1390650</xdr:colOff>
      <xdr:row>15</xdr:row>
      <xdr:rowOff>101112</xdr:rowOff>
    </xdr:from>
    <xdr:to>
      <xdr:col>20</xdr:col>
      <xdr:colOff>2072053</xdr:colOff>
      <xdr:row>17</xdr:row>
      <xdr:rowOff>101112</xdr:rowOff>
    </xdr:to>
    <xdr:sp macro="" textlink="[1]co2!$F$6">
      <xdr:nvSpPr>
        <xdr:cNvPr id="49" name="CuadroTexto 3">
          <a:extLst>
            <a:ext uri="{FF2B5EF4-FFF2-40B4-BE49-F238E27FC236}">
              <a16:creationId xmlns:a16="http://schemas.microsoft.com/office/drawing/2014/main" id="{00000000-0008-0000-0600-000031000000}"/>
            </a:ext>
          </a:extLst>
        </xdr:cNvPr>
        <xdr:cNvSpPr txBox="1"/>
      </xdr:nvSpPr>
      <xdr:spPr>
        <a:xfrm>
          <a:off x="17290073" y="2577612"/>
          <a:ext cx="681403" cy="3077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9A2E3E5-4BA7-4358-AB52-D7E595E795E5}" type="TxLink">
            <a:rPr lang="en-US" sz="1200" b="1" i="0" u="none" strike="noStrike">
              <a:solidFill>
                <a:srgbClr val="7030A0"/>
              </a:solidFill>
              <a:latin typeface="Arial Narrow" panose="020B0606020202030204" pitchFamily="34" charset="0"/>
              <a:ea typeface="+mn-ea"/>
              <a:cs typeface="Arial"/>
            </a:rPr>
            <a:pPr marL="0" indent="0" algn="r"/>
            <a:t>70,97</a:t>
          </a:fld>
          <a:endParaRPr lang="es-ES" sz="1200" b="1" i="0" u="none" strike="noStrike">
            <a:solidFill>
              <a:srgbClr val="7030A0"/>
            </a:solidFill>
            <a:latin typeface="Arial Narrow" panose="020B0606020202030204" pitchFamily="34" charset="0"/>
            <a:ea typeface="+mn-ea"/>
            <a:cs typeface="Arial"/>
          </a:endParaRPr>
        </a:p>
      </xdr:txBody>
    </xdr:sp>
    <xdr:clientData/>
  </xdr:twoCellAnchor>
  <xdr:twoCellAnchor>
    <xdr:from>
      <xdr:col>15</xdr:col>
      <xdr:colOff>0</xdr:colOff>
      <xdr:row>36</xdr:row>
      <xdr:rowOff>153865</xdr:rowOff>
    </xdr:from>
    <xdr:to>
      <xdr:col>16</xdr:col>
      <xdr:colOff>571500</xdr:colOff>
      <xdr:row>49</xdr:row>
      <xdr:rowOff>1</xdr:rowOff>
    </xdr:to>
    <xdr:sp macro="" textlink="">
      <xdr:nvSpPr>
        <xdr:cNvPr id="51" name="CuadroTexto 50">
          <a:extLst>
            <a:ext uri="{FF2B5EF4-FFF2-40B4-BE49-F238E27FC236}">
              <a16:creationId xmlns:a16="http://schemas.microsoft.com/office/drawing/2014/main" id="{00000000-0008-0000-0600-000033000000}"/>
            </a:ext>
          </a:extLst>
        </xdr:cNvPr>
        <xdr:cNvSpPr txBox="1"/>
      </xdr:nvSpPr>
      <xdr:spPr>
        <a:xfrm>
          <a:off x="12426462" y="5861538"/>
          <a:ext cx="1150326" cy="18463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400">
              <a:effectLst>
                <a:glow rad="63500">
                  <a:schemeClr val="accent3">
                    <a:satMod val="175000"/>
                    <a:alpha val="40000"/>
                  </a:schemeClr>
                </a:glow>
              </a:effectLst>
              <a:latin typeface="Arial Narrow" panose="020B0606020202030204" pitchFamily="34" charset="0"/>
            </a:rPr>
            <a:t>Recuerda</a:t>
          </a:r>
          <a:r>
            <a:rPr lang="es-ES" sz="1400">
              <a:latin typeface="Arial Narrow" panose="020B0606020202030204" pitchFamily="34" charset="0"/>
            </a:rPr>
            <a:t>:</a:t>
          </a:r>
          <a:r>
            <a:rPr lang="es-ES" sz="1400" baseline="0">
              <a:latin typeface="Arial Narrow" panose="020B0606020202030204" pitchFamily="34" charset="0"/>
            </a:rPr>
            <a:t> </a:t>
          </a:r>
        </a:p>
        <a:p>
          <a:endParaRPr lang="es-ES" sz="1400" baseline="0">
            <a:latin typeface="Arial Narrow" panose="020B0606020202030204" pitchFamily="34" charset="0"/>
          </a:endParaRPr>
        </a:p>
        <a:p>
          <a:pPr algn="l"/>
          <a:r>
            <a:rPr lang="es-ES" sz="1600" b="1" baseline="0">
              <a:solidFill>
                <a:schemeClr val="bg1"/>
              </a:solidFill>
              <a:latin typeface="Arial Narrow" panose="020B0606020202030204" pitchFamily="34" charset="0"/>
            </a:rPr>
            <a:t>La </a:t>
          </a:r>
          <a:r>
            <a:rPr lang="es-ES" sz="1600" b="1" baseline="0">
              <a:solidFill>
                <a:sysClr val="windowText" lastClr="000000"/>
              </a:solidFill>
              <a:effectLst>
                <a:glow rad="63500">
                  <a:schemeClr val="accent2">
                    <a:satMod val="175000"/>
                    <a:alpha val="40000"/>
                  </a:schemeClr>
                </a:glow>
              </a:effectLst>
              <a:latin typeface="Arial Narrow" panose="020B0606020202030204" pitchFamily="34" charset="0"/>
            </a:rPr>
            <a:t>energía</a:t>
          </a:r>
          <a:r>
            <a:rPr lang="es-ES" sz="1600" b="1" baseline="0">
              <a:solidFill>
                <a:schemeClr val="bg1"/>
              </a:solidFill>
              <a:latin typeface="Arial Narrow" panose="020B0606020202030204" pitchFamily="34" charset="0"/>
            </a:rPr>
            <a:t>  sin </a:t>
          </a:r>
          <a:r>
            <a:rPr lang="es-ES" sz="1600" b="1" baseline="0">
              <a:solidFill>
                <a:sysClr val="windowText" lastClr="000000"/>
              </a:solidFill>
              <a:effectLst>
                <a:glow rad="139700">
                  <a:schemeClr val="accent4">
                    <a:satMod val="175000"/>
                    <a:alpha val="40000"/>
                  </a:schemeClr>
                </a:glow>
              </a:effectLst>
              <a:latin typeface="Arial Narrow" panose="020B0606020202030204" pitchFamily="34" charset="0"/>
            </a:rPr>
            <a:t>control</a:t>
          </a:r>
          <a:r>
            <a:rPr lang="es-ES" sz="1400" b="1" baseline="0">
              <a:solidFill>
                <a:schemeClr val="bg1"/>
              </a:solidFill>
              <a:latin typeface="Arial Narrow" panose="020B0606020202030204" pitchFamily="34" charset="0"/>
            </a:rPr>
            <a:t>...</a:t>
          </a:r>
        </a:p>
        <a:p>
          <a:r>
            <a:rPr lang="es-ES" sz="1600" b="1" baseline="0">
              <a:solidFill>
                <a:schemeClr val="bg1"/>
              </a:solidFill>
              <a:latin typeface="Arial Narrow" panose="020B0606020202030204" pitchFamily="34" charset="0"/>
            </a:rPr>
            <a:t>...te pasará </a:t>
          </a:r>
          <a:r>
            <a:rPr lang="es-ES" sz="1600" b="1" baseline="0">
              <a:solidFill>
                <a:sysClr val="windowText" lastClr="000000"/>
              </a:solidFill>
              <a:effectLst>
                <a:glow rad="228600">
                  <a:schemeClr val="accent6">
                    <a:satMod val="175000"/>
                    <a:alpha val="40000"/>
                  </a:schemeClr>
                </a:glow>
              </a:effectLst>
              <a:latin typeface="Arial Narrow" panose="020B0606020202030204" pitchFamily="34" charset="0"/>
            </a:rPr>
            <a:t>factura</a:t>
          </a:r>
          <a:r>
            <a:rPr lang="es-ES" sz="1600" b="1" baseline="0">
              <a:solidFill>
                <a:schemeClr val="bg1"/>
              </a:solidFill>
              <a:latin typeface="Arial Narrow" panose="020B0606020202030204" pitchFamily="34" charset="0"/>
            </a:rPr>
            <a:t>!!</a:t>
          </a:r>
        </a:p>
      </xdr:txBody>
    </xdr:sp>
    <xdr:clientData/>
  </xdr:twoCellAnchor>
  <xdr:twoCellAnchor>
    <xdr:from>
      <xdr:col>16</xdr:col>
      <xdr:colOff>571500</xdr:colOff>
      <xdr:row>24</xdr:row>
      <xdr:rowOff>1</xdr:rowOff>
    </xdr:from>
    <xdr:to>
      <xdr:col>20</xdr:col>
      <xdr:colOff>0</xdr:colOff>
      <xdr:row>36</xdr:row>
      <xdr:rowOff>153865</xdr:rowOff>
    </xdr:to>
    <xdr:sp macro="" textlink="">
      <xdr:nvSpPr>
        <xdr:cNvPr id="52" name="Rectángulo 51">
          <a:extLst>
            <a:ext uri="{FF2B5EF4-FFF2-40B4-BE49-F238E27FC236}">
              <a16:creationId xmlns:a16="http://schemas.microsoft.com/office/drawing/2014/main" id="{00000000-0008-0000-0600-000034000000}"/>
            </a:ext>
          </a:extLst>
        </xdr:cNvPr>
        <xdr:cNvSpPr/>
      </xdr:nvSpPr>
      <xdr:spPr>
        <a:xfrm>
          <a:off x="13576788" y="3861289"/>
          <a:ext cx="2322635" cy="200024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15</xdr:col>
      <xdr:colOff>0</xdr:colOff>
      <xdr:row>36</xdr:row>
      <xdr:rowOff>153865</xdr:rowOff>
    </xdr:from>
    <xdr:to>
      <xdr:col>16</xdr:col>
      <xdr:colOff>571500</xdr:colOff>
      <xdr:row>49</xdr:row>
      <xdr:rowOff>2</xdr:rowOff>
    </xdr:to>
    <xdr:sp macro="" textlink="">
      <xdr:nvSpPr>
        <xdr:cNvPr id="56" name="Rectángulo 55">
          <a:extLst>
            <a:ext uri="{FF2B5EF4-FFF2-40B4-BE49-F238E27FC236}">
              <a16:creationId xmlns:a16="http://schemas.microsoft.com/office/drawing/2014/main" id="{00000000-0008-0000-0600-000038000000}"/>
            </a:ext>
          </a:extLst>
        </xdr:cNvPr>
        <xdr:cNvSpPr/>
      </xdr:nvSpPr>
      <xdr:spPr>
        <a:xfrm>
          <a:off x="12426462" y="5861538"/>
          <a:ext cx="1150326" cy="184638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17</xdr:col>
      <xdr:colOff>14654</xdr:colOff>
      <xdr:row>26</xdr:row>
      <xdr:rowOff>21981</xdr:rowOff>
    </xdr:from>
    <xdr:to>
      <xdr:col>19</xdr:col>
      <xdr:colOff>131158</xdr:colOff>
      <xdr:row>36</xdr:row>
      <xdr:rowOff>95250</xdr:rowOff>
    </xdr:to>
    <xdr:pic>
      <xdr:nvPicPr>
        <xdr:cNvPr id="53" name="Imagen 52">
          <a:extLst>
            <a:ext uri="{FF2B5EF4-FFF2-40B4-BE49-F238E27FC236}">
              <a16:creationId xmlns:a16="http://schemas.microsoft.com/office/drawing/2014/main" id="{00000000-0008-0000-0600-000035000000}"/>
            </a:ext>
          </a:extLst>
        </xdr:cNvPr>
        <xdr:cNvPicPr>
          <a:picLocks noChangeAspect="1"/>
        </xdr:cNvPicPr>
      </xdr:nvPicPr>
      <xdr:blipFill>
        <a:blip xmlns:r="http://schemas.openxmlformats.org/officeDocument/2006/relationships" r:embed="rId13"/>
        <a:stretch>
          <a:fillRect/>
        </a:stretch>
      </xdr:blipFill>
      <xdr:spPr>
        <a:xfrm>
          <a:off x="13591442" y="4191000"/>
          <a:ext cx="1640504" cy="1611923"/>
        </a:xfrm>
        <a:prstGeom prst="rect">
          <a:avLst/>
        </a:prstGeom>
      </xdr:spPr>
    </xdr:pic>
    <xdr:clientData/>
  </xdr:twoCellAnchor>
</xdr:wsDr>
</file>

<file path=xl/drawings/drawing9.xml><?xml version="1.0" encoding="utf-8"?>
<c:userShapes xmlns:c="http://schemas.openxmlformats.org/drawingml/2006/chart">
  <cdr:relSizeAnchor xmlns:cdr="http://schemas.openxmlformats.org/drawingml/2006/chartDrawing">
    <cdr:from>
      <cdr:x>0.86213</cdr:x>
      <cdr:y>0.01431</cdr:y>
    </cdr:from>
    <cdr:to>
      <cdr:x>0.98142</cdr:x>
      <cdr:y>0.15577</cdr:y>
    </cdr:to>
    <cdr:sp macro="" textlink="may!$B$3">
      <cdr:nvSpPr>
        <cdr:cNvPr id="3" name="CuadroTexto 43">
          <a:extLst xmlns:a="http://schemas.openxmlformats.org/drawingml/2006/main">
            <a:ext uri="{FF2B5EF4-FFF2-40B4-BE49-F238E27FC236}">
              <a16:creationId xmlns:a16="http://schemas.microsoft.com/office/drawing/2014/main" id="{00000000-0008-0000-0400-00002C000000}"/>
            </a:ext>
          </a:extLst>
        </cdr:cNvPr>
        <cdr:cNvSpPr txBox="1"/>
      </cdr:nvSpPr>
      <cdr:spPr>
        <a:xfrm xmlns:a="http://schemas.openxmlformats.org/drawingml/2006/main">
          <a:off x="4080627" y="21494"/>
          <a:ext cx="564641" cy="212475"/>
        </a:xfrm>
        <a:prstGeom xmlns:a="http://schemas.openxmlformats.org/drawingml/2006/main" prst="rect">
          <a:avLst/>
        </a:prstGeom>
        <a:solidFill xmlns:a="http://schemas.openxmlformats.org/drawingml/2006/main">
          <a:schemeClr val="bg1"/>
        </a:solidFill>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A363394-EB0C-4972-9D53-DE472227AC0C}" type="TxLink">
            <a:rPr lang="en-US" sz="1200" b="1" i="0" u="none" strike="noStrike">
              <a:solidFill>
                <a:schemeClr val="tx1">
                  <a:lumMod val="50000"/>
                  <a:lumOff val="50000"/>
                </a:schemeClr>
              </a:solidFill>
              <a:latin typeface="Arial Narrow" panose="020B0606020202030204" pitchFamily="34" charset="0"/>
              <a:ea typeface="+mn-ea"/>
              <a:cs typeface="Arial"/>
            </a:rPr>
            <a:pPr marL="0" indent="0" algn="r"/>
            <a:t>30,40</a:t>
          </a:fld>
          <a:endParaRPr lang="es-ES" sz="3600" b="1" i="0" u="none" strike="noStrike">
            <a:solidFill>
              <a:schemeClr val="tx1">
                <a:lumMod val="50000"/>
                <a:lumOff val="50000"/>
              </a:schemeClr>
            </a:solidFill>
            <a:latin typeface="Arial Narrow" panose="020B0606020202030204" pitchFamily="34" charset="0"/>
            <a:ea typeface="+mn-ea"/>
            <a:cs typeface="Arial"/>
          </a:endParaRPr>
        </a:p>
      </cdr:txBody>
    </cdr:sp>
  </cdr:relSizeAnchor>
  <cdr:relSizeAnchor xmlns:cdr="http://schemas.openxmlformats.org/drawingml/2006/chartDrawing">
    <cdr:from>
      <cdr:x>0.55418</cdr:x>
      <cdr:y>0.01463</cdr:y>
    </cdr:from>
    <cdr:to>
      <cdr:x>0.89009</cdr:x>
      <cdr:y>0.1561</cdr:y>
    </cdr:to>
    <cdr:sp macro="" textlink="">
      <cdr:nvSpPr>
        <cdr:cNvPr id="4" name="CuadroTexto 3">
          <a:extLst xmlns:a="http://schemas.openxmlformats.org/drawingml/2006/main">
            <a:ext uri="{FF2B5EF4-FFF2-40B4-BE49-F238E27FC236}">
              <a16:creationId xmlns:a16="http://schemas.microsoft.com/office/drawing/2014/main" id="{DAD9CCA0-51B9-190C-4A01-68CA8A53D550}"/>
            </a:ext>
          </a:extLst>
        </cdr:cNvPr>
        <cdr:cNvSpPr txBox="1"/>
      </cdr:nvSpPr>
      <cdr:spPr>
        <a:xfrm xmlns:a="http://schemas.openxmlformats.org/drawingml/2006/main">
          <a:off x="2623038" y="21979"/>
          <a:ext cx="1589942" cy="212481"/>
        </a:xfrm>
        <a:prstGeom xmlns:a="http://schemas.openxmlformats.org/drawingml/2006/main" prst="rect">
          <a:avLst/>
        </a:prstGeom>
        <a:solidFill xmlns:a="http://schemas.openxmlformats.org/drawingml/2006/main">
          <a:schemeClr val="bg1"/>
        </a:solidFill>
      </cdr:spPr>
      <cdr:txBody>
        <a:bodyPr xmlns:a="http://schemas.openxmlformats.org/drawingml/2006/main" vertOverflow="clip" wrap="square" rtlCol="0"/>
        <a:lstStyle xmlns:a="http://schemas.openxmlformats.org/drawingml/2006/main"/>
        <a:p xmlns:a="http://schemas.openxmlformats.org/drawingml/2006/main">
          <a:pPr algn="r"/>
          <a:r>
            <a:rPr lang="es-ES" sz="1000">
              <a:solidFill>
                <a:schemeClr val="tx1">
                  <a:lumMod val="50000"/>
                  <a:lumOff val="50000"/>
                </a:schemeClr>
              </a:solidFill>
              <a:latin typeface="Arial Narrow" panose="020B0606020202030204" pitchFamily="34" charset="0"/>
            </a:rPr>
            <a:t>omie</a:t>
          </a:r>
          <a:r>
            <a:rPr lang="es-ES" sz="1000" baseline="0">
              <a:solidFill>
                <a:schemeClr val="tx1">
                  <a:lumMod val="50000"/>
                  <a:lumOff val="50000"/>
                </a:schemeClr>
              </a:solidFill>
              <a:latin typeface="Arial Narrow" panose="020B0606020202030204" pitchFamily="34" charset="0"/>
            </a:rPr>
            <a:t> media mensual €/MWh</a:t>
          </a:r>
          <a:endParaRPr lang="es-ES" sz="1000">
            <a:solidFill>
              <a:schemeClr val="tx1">
                <a:lumMod val="50000"/>
                <a:lumOff val="50000"/>
              </a:schemeClr>
            </a:solidFill>
            <a:latin typeface="Arial Narrow" panose="020B0606020202030204" pitchFamily="34" charset="0"/>
          </a:endParaRPr>
        </a:p>
      </cdr:txBody>
    </cdr:sp>
  </cdr:relSizeAnchor>
</c:userShapes>
</file>

<file path=xl/drawings/drawing10.xml><?xml version="1.0" encoding="utf-8"?>
<xdr:wsDr xmlns:xdr="http://schemas.openxmlformats.org/drawingml/2006/spreadsheetDrawing" xmlns:a="http://schemas.openxmlformats.org/drawingml/2006/main">
  <xdr:twoCellAnchor>
    <xdr:from>
      <xdr:col>20</xdr:col>
      <xdr:colOff>16565</xdr:colOff>
      <xdr:row>5</xdr:row>
      <xdr:rowOff>218853</xdr:rowOff>
    </xdr:from>
    <xdr:to>
      <xdr:col>22</xdr:col>
      <xdr:colOff>811696</xdr:colOff>
      <xdr:row>14</xdr:row>
      <xdr:rowOff>0</xdr:rowOff>
    </xdr:to>
    <xdr:graphicFrame macro="">
      <xdr:nvGraphicFramePr>
        <xdr:cNvPr id="3" name="Gráfico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0</xdr:colOff>
      <xdr:row>12</xdr:row>
      <xdr:rowOff>0</xdr:rowOff>
    </xdr:from>
    <xdr:to>
      <xdr:col>20</xdr:col>
      <xdr:colOff>0</xdr:colOff>
      <xdr:row>13</xdr:row>
      <xdr:rowOff>138097</xdr:rowOff>
    </xdr:to>
    <xdr:sp macro="" textlink="">
      <xdr:nvSpPr>
        <xdr:cNvPr id="4" name="CuadroTexto 3">
          <a:extLst>
            <a:ext uri="{FF2B5EF4-FFF2-40B4-BE49-F238E27FC236}">
              <a16:creationId xmlns:a16="http://schemas.microsoft.com/office/drawing/2014/main" id="{00000000-0008-0000-0700-000004000000}"/>
            </a:ext>
          </a:extLst>
        </xdr:cNvPr>
        <xdr:cNvSpPr txBox="1"/>
      </xdr:nvSpPr>
      <xdr:spPr>
        <a:xfrm>
          <a:off x="13889935" y="1971261"/>
          <a:ext cx="2534478" cy="287184"/>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Pmh según tecnologías (€/MWh)</a:t>
          </a:r>
        </a:p>
      </xdr:txBody>
    </xdr:sp>
    <xdr:clientData/>
  </xdr:twoCellAnchor>
  <mc:AlternateContent xmlns:mc="http://schemas.openxmlformats.org/markup-compatibility/2006">
    <mc:Choice xmlns:a14="http://schemas.microsoft.com/office/drawing/2010/main" Requires="a14">
      <xdr:twoCellAnchor>
        <xdr:from>
          <xdr:col>3</xdr:col>
          <xdr:colOff>19050</xdr:colOff>
          <xdr:row>0</xdr:row>
          <xdr:rowOff>0</xdr:rowOff>
        </xdr:from>
        <xdr:to>
          <xdr:col>4</xdr:col>
          <xdr:colOff>0</xdr:colOff>
          <xdr:row>3</xdr:row>
          <xdr:rowOff>0</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0700-0000018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9525</xdr:rowOff>
        </xdr:from>
        <xdr:to>
          <xdr:col>6</xdr:col>
          <xdr:colOff>0</xdr:colOff>
          <xdr:row>3</xdr:row>
          <xdr:rowOff>0</xdr:rowOff>
        </xdr:to>
        <xdr:sp macro="" textlink="">
          <xdr:nvSpPr>
            <xdr:cNvPr id="33794" name="Spinner 2" hidden="1">
              <a:extLst>
                <a:ext uri="{63B3BB69-23CF-44E3-9099-C40C66FF867C}">
                  <a14:compatExt spid="_x0000_s33794"/>
                </a:ext>
                <a:ext uri="{FF2B5EF4-FFF2-40B4-BE49-F238E27FC236}">
                  <a16:creationId xmlns:a16="http://schemas.microsoft.com/office/drawing/2014/main" id="{00000000-0008-0000-0700-0000028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17</xdr:col>
      <xdr:colOff>0</xdr:colOff>
      <xdr:row>5</xdr:row>
      <xdr:rowOff>1</xdr:rowOff>
    </xdr:from>
    <xdr:to>
      <xdr:col>20</xdr:col>
      <xdr:colOff>0</xdr:colOff>
      <xdr:row>6</xdr:row>
      <xdr:rowOff>1</xdr:rowOff>
    </xdr:to>
    <xdr:sp macro="" textlink="">
      <xdr:nvSpPr>
        <xdr:cNvPr id="5" name="CuadroTexto 4">
          <a:extLst>
            <a:ext uri="{FF2B5EF4-FFF2-40B4-BE49-F238E27FC236}">
              <a16:creationId xmlns:a16="http://schemas.microsoft.com/office/drawing/2014/main" id="{00000000-0008-0000-0700-000005000000}"/>
            </a:ext>
          </a:extLst>
        </xdr:cNvPr>
        <xdr:cNvSpPr txBox="1"/>
      </xdr:nvSpPr>
      <xdr:spPr>
        <a:xfrm>
          <a:off x="13573125" y="762001"/>
          <a:ext cx="2324100" cy="3143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marginales</a:t>
          </a:r>
          <a:r>
            <a:rPr lang="es-ES" sz="1200" baseline="0">
              <a:latin typeface="Arial Narrow" panose="020B0606020202030204" pitchFamily="34" charset="0"/>
            </a:rPr>
            <a:t> (%)</a:t>
          </a:r>
          <a:endParaRPr lang="es-ES" sz="1200">
            <a:latin typeface="Arial Narrow" panose="020B0606020202030204" pitchFamily="34" charset="0"/>
          </a:endParaRPr>
        </a:p>
      </xdr:txBody>
    </xdr:sp>
    <xdr:clientData/>
  </xdr:twoCellAnchor>
  <xdr:twoCellAnchor>
    <xdr:from>
      <xdr:col>17</xdr:col>
      <xdr:colOff>0</xdr:colOff>
      <xdr:row>0</xdr:row>
      <xdr:rowOff>0</xdr:rowOff>
    </xdr:from>
    <xdr:to>
      <xdr:col>20</xdr:col>
      <xdr:colOff>0</xdr:colOff>
      <xdr:row>5</xdr:row>
      <xdr:rowOff>0</xdr:rowOff>
    </xdr:to>
    <xdr:sp macro="" textlink="">
      <xdr:nvSpPr>
        <xdr:cNvPr id="7" name="Rectángulo 6">
          <a:extLst>
            <a:ext uri="{FF2B5EF4-FFF2-40B4-BE49-F238E27FC236}">
              <a16:creationId xmlns:a16="http://schemas.microsoft.com/office/drawing/2014/main" id="{00000000-0008-0000-0700-000007000000}"/>
            </a:ext>
          </a:extLst>
        </xdr:cNvPr>
        <xdr:cNvSpPr/>
      </xdr:nvSpPr>
      <xdr:spPr>
        <a:xfrm>
          <a:off x="13749130" y="0"/>
          <a:ext cx="2103783" cy="745435"/>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0</xdr:row>
      <xdr:rowOff>0</xdr:rowOff>
    </xdr:from>
    <xdr:to>
      <xdr:col>12</xdr:col>
      <xdr:colOff>0</xdr:colOff>
      <xdr:row>5</xdr:row>
      <xdr:rowOff>0</xdr:rowOff>
    </xdr:to>
    <xdr:sp macro="" textlink="">
      <xdr:nvSpPr>
        <xdr:cNvPr id="8" name="Rectángulo 7">
          <a:extLst>
            <a:ext uri="{FF2B5EF4-FFF2-40B4-BE49-F238E27FC236}">
              <a16:creationId xmlns:a16="http://schemas.microsoft.com/office/drawing/2014/main" id="{00000000-0008-0000-0700-000008000000}"/>
            </a:ext>
          </a:extLst>
        </xdr:cNvPr>
        <xdr:cNvSpPr/>
      </xdr:nvSpPr>
      <xdr:spPr>
        <a:xfrm>
          <a:off x="7639050" y="0"/>
          <a:ext cx="249555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1</xdr:colOff>
      <xdr:row>0</xdr:row>
      <xdr:rowOff>0</xdr:rowOff>
    </xdr:from>
    <xdr:to>
      <xdr:col>15</xdr:col>
      <xdr:colOff>1</xdr:colOff>
      <xdr:row>5</xdr:row>
      <xdr:rowOff>0</xdr:rowOff>
    </xdr:to>
    <xdr:sp macro="" textlink="">
      <xdr:nvSpPr>
        <xdr:cNvPr id="9" name="Rectángulo 8">
          <a:extLst>
            <a:ext uri="{FF2B5EF4-FFF2-40B4-BE49-F238E27FC236}">
              <a16:creationId xmlns:a16="http://schemas.microsoft.com/office/drawing/2014/main" id="{00000000-0008-0000-0700-000009000000}"/>
            </a:ext>
          </a:extLst>
        </xdr:cNvPr>
        <xdr:cNvSpPr/>
      </xdr:nvSpPr>
      <xdr:spPr>
        <a:xfrm>
          <a:off x="10154479" y="0"/>
          <a:ext cx="2286000" cy="745435"/>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99828</xdr:colOff>
      <xdr:row>6</xdr:row>
      <xdr:rowOff>0</xdr:rowOff>
    </xdr:from>
    <xdr:to>
      <xdr:col>19</xdr:col>
      <xdr:colOff>713916</xdr:colOff>
      <xdr:row>6</xdr:row>
      <xdr:rowOff>0</xdr:rowOff>
    </xdr:to>
    <xdr:cxnSp macro="">
      <xdr:nvCxnSpPr>
        <xdr:cNvPr id="10" name="Conector recto 9">
          <a:extLst>
            <a:ext uri="{FF2B5EF4-FFF2-40B4-BE49-F238E27FC236}">
              <a16:creationId xmlns:a16="http://schemas.microsoft.com/office/drawing/2014/main" id="{00000000-0008-0000-0700-00000A000000}"/>
            </a:ext>
          </a:extLst>
        </xdr:cNvPr>
        <xdr:cNvCxnSpPr/>
      </xdr:nvCxnSpPr>
      <xdr:spPr>
        <a:xfrm>
          <a:off x="13672953" y="1076325"/>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37954</xdr:colOff>
      <xdr:row>13</xdr:row>
      <xdr:rowOff>132522</xdr:rowOff>
    </xdr:from>
    <xdr:to>
      <xdr:col>19</xdr:col>
      <xdr:colOff>728870</xdr:colOff>
      <xdr:row>13</xdr:row>
      <xdr:rowOff>135835</xdr:rowOff>
    </xdr:to>
    <xdr:cxnSp macro="">
      <xdr:nvCxnSpPr>
        <xdr:cNvPr id="11" name="Conector recto 10">
          <a:extLst>
            <a:ext uri="{FF2B5EF4-FFF2-40B4-BE49-F238E27FC236}">
              <a16:creationId xmlns:a16="http://schemas.microsoft.com/office/drawing/2014/main" id="{00000000-0008-0000-0700-00000B000000}"/>
            </a:ext>
          </a:extLst>
        </xdr:cNvPr>
        <xdr:cNvCxnSpPr/>
      </xdr:nvCxnSpPr>
      <xdr:spPr>
        <a:xfrm flipV="1">
          <a:off x="13927889" y="2252870"/>
          <a:ext cx="2380568" cy="331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155952</xdr:colOff>
      <xdr:row>28</xdr:row>
      <xdr:rowOff>0</xdr:rowOff>
    </xdr:from>
    <xdr:to>
      <xdr:col>19</xdr:col>
      <xdr:colOff>621196</xdr:colOff>
      <xdr:row>28</xdr:row>
      <xdr:rowOff>474</xdr:rowOff>
    </xdr:to>
    <xdr:cxnSp macro="">
      <xdr:nvCxnSpPr>
        <xdr:cNvPr id="13" name="Conector recto 12">
          <a:extLst>
            <a:ext uri="{FF2B5EF4-FFF2-40B4-BE49-F238E27FC236}">
              <a16:creationId xmlns:a16="http://schemas.microsoft.com/office/drawing/2014/main" id="{00000000-0008-0000-0700-00000D000000}"/>
            </a:ext>
          </a:extLst>
        </xdr:cNvPr>
        <xdr:cNvCxnSpPr/>
      </xdr:nvCxnSpPr>
      <xdr:spPr>
        <a:xfrm flipV="1">
          <a:off x="14045887" y="4356652"/>
          <a:ext cx="2154896" cy="474"/>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179986</xdr:colOff>
      <xdr:row>7</xdr:row>
      <xdr:rowOff>47785</xdr:rowOff>
    </xdr:from>
    <xdr:to>
      <xdr:col>18</xdr:col>
      <xdr:colOff>700199</xdr:colOff>
      <xdr:row>9</xdr:row>
      <xdr:rowOff>37909</xdr:rowOff>
    </xdr:to>
    <xdr:sp macro="" textlink="[1]omie_dinamic_dia!$K$6">
      <xdr:nvSpPr>
        <xdr:cNvPr id="14" name="CuadroTexto 1">
          <a:extLst>
            <a:ext uri="{FF2B5EF4-FFF2-40B4-BE49-F238E27FC236}">
              <a16:creationId xmlns:a16="http://schemas.microsoft.com/office/drawing/2014/main" id="{00000000-0008-0000-0700-00000E000000}"/>
            </a:ext>
          </a:extLst>
        </xdr:cNvPr>
        <xdr:cNvSpPr txBox="1"/>
      </xdr:nvSpPr>
      <xdr:spPr>
        <a:xfrm>
          <a:off x="14773943" y="1273611"/>
          <a:ext cx="520213" cy="288298"/>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5F058528-BE17-476D-A9E3-52C422B0B3CF}" type="TxLink">
            <a:rPr lang="en-US" sz="1200" b="1" i="0" u="none" strike="noStrike">
              <a:solidFill>
                <a:schemeClr val="accent2"/>
              </a:solidFill>
              <a:latin typeface="Arial"/>
              <a:ea typeface="+mn-ea"/>
              <a:cs typeface="Arial"/>
            </a:rPr>
            <a:pPr marL="0" indent="0" algn="ctr"/>
            <a:t>2,5%</a:t>
          </a:fld>
          <a:endParaRPr lang="es-ES" sz="1200" b="1" i="0" u="none" strike="noStrike">
            <a:solidFill>
              <a:schemeClr val="accent2"/>
            </a:solidFill>
            <a:latin typeface="Arial"/>
            <a:ea typeface="+mn-ea"/>
            <a:cs typeface="Arial"/>
          </a:endParaRPr>
        </a:p>
      </xdr:txBody>
    </xdr:sp>
    <xdr:clientData/>
  </xdr:twoCellAnchor>
  <xdr:twoCellAnchor editAs="oneCell">
    <xdr:from>
      <xdr:col>17</xdr:col>
      <xdr:colOff>68811</xdr:colOff>
      <xdr:row>6</xdr:row>
      <xdr:rowOff>52244</xdr:rowOff>
    </xdr:from>
    <xdr:to>
      <xdr:col>19</xdr:col>
      <xdr:colOff>712305</xdr:colOff>
      <xdr:row>7</xdr:row>
      <xdr:rowOff>72618</xdr:rowOff>
    </xdr:to>
    <xdr:pic>
      <xdr:nvPicPr>
        <xdr:cNvPr id="15" name="Imagen 14">
          <a:extLst>
            <a:ext uri="{FF2B5EF4-FFF2-40B4-BE49-F238E27FC236}">
              <a16:creationId xmlns:a16="http://schemas.microsoft.com/office/drawing/2014/main" id="{00000000-0008-0000-0700-00000F000000}"/>
            </a:ext>
          </a:extLst>
        </xdr:cNvPr>
        <xdr:cNvPicPr>
          <a:picLocks noChangeAspect="1"/>
        </xdr:cNvPicPr>
      </xdr:nvPicPr>
      <xdr:blipFill>
        <a:blip xmlns:r="http://schemas.openxmlformats.org/officeDocument/2006/relationships" r:embed="rId2"/>
        <a:stretch>
          <a:fillRect/>
        </a:stretch>
      </xdr:blipFill>
      <xdr:spPr>
        <a:xfrm>
          <a:off x="13817941" y="1112418"/>
          <a:ext cx="2333146" cy="186026"/>
        </a:xfrm>
        <a:prstGeom prst="rect">
          <a:avLst/>
        </a:prstGeom>
      </xdr:spPr>
    </xdr:pic>
    <xdr:clientData/>
  </xdr:twoCellAnchor>
  <xdr:twoCellAnchor>
    <xdr:from>
      <xdr:col>17</xdr:col>
      <xdr:colOff>260393</xdr:colOff>
      <xdr:row>7</xdr:row>
      <xdr:rowOff>79448</xdr:rowOff>
    </xdr:from>
    <xdr:to>
      <xdr:col>17</xdr:col>
      <xdr:colOff>753496</xdr:colOff>
      <xdr:row>9</xdr:row>
      <xdr:rowOff>69572</xdr:rowOff>
    </xdr:to>
    <xdr:sp macro="" textlink="[1]omie_dinamic_dia!$I$6">
      <xdr:nvSpPr>
        <xdr:cNvPr id="16" name="CuadroTexto 1">
          <a:extLst>
            <a:ext uri="{FF2B5EF4-FFF2-40B4-BE49-F238E27FC236}">
              <a16:creationId xmlns:a16="http://schemas.microsoft.com/office/drawing/2014/main" id="{00000000-0008-0000-0700-000010000000}"/>
            </a:ext>
          </a:extLst>
        </xdr:cNvPr>
        <xdr:cNvSpPr txBox="1"/>
      </xdr:nvSpPr>
      <xdr:spPr>
        <a:xfrm>
          <a:off x="14150328" y="1305274"/>
          <a:ext cx="493103" cy="288298"/>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4627F6AA-9CD2-4938-899E-947A01933C91}" type="TxLink">
            <a:rPr lang="en-US" sz="1200" b="1" i="0" u="none" strike="noStrike">
              <a:solidFill>
                <a:schemeClr val="accent6"/>
              </a:solidFill>
              <a:latin typeface="Arial"/>
              <a:ea typeface="+mn-ea"/>
              <a:cs typeface="Arial"/>
            </a:rPr>
            <a:pPr marL="0" indent="0" algn="ctr"/>
            <a:t>38,8%</a:t>
          </a:fld>
          <a:endParaRPr lang="es-ES" sz="1200" b="1" i="0" u="none" strike="noStrike">
            <a:solidFill>
              <a:schemeClr val="accent6"/>
            </a:solidFill>
            <a:latin typeface="Arial"/>
            <a:ea typeface="+mn-ea"/>
            <a:cs typeface="Arial"/>
          </a:endParaRPr>
        </a:p>
      </xdr:txBody>
    </xdr:sp>
    <xdr:clientData/>
  </xdr:twoCellAnchor>
  <xdr:twoCellAnchor>
    <xdr:from>
      <xdr:col>18</xdr:col>
      <xdr:colOff>716891</xdr:colOff>
      <xdr:row>7</xdr:row>
      <xdr:rowOff>27840</xdr:rowOff>
    </xdr:from>
    <xdr:to>
      <xdr:col>20</xdr:col>
      <xdr:colOff>28671</xdr:colOff>
      <xdr:row>9</xdr:row>
      <xdr:rowOff>7325</xdr:rowOff>
    </xdr:to>
    <xdr:sp macro="" textlink="[1]omie_dinamic_dia!$M$6">
      <xdr:nvSpPr>
        <xdr:cNvPr id="17" name="CuadroTexto 1">
          <a:extLst>
            <a:ext uri="{FF2B5EF4-FFF2-40B4-BE49-F238E27FC236}">
              <a16:creationId xmlns:a16="http://schemas.microsoft.com/office/drawing/2014/main" id="{00000000-0008-0000-0700-000011000000}"/>
            </a:ext>
          </a:extLst>
        </xdr:cNvPr>
        <xdr:cNvSpPr txBox="1"/>
      </xdr:nvSpPr>
      <xdr:spPr>
        <a:xfrm>
          <a:off x="15310848" y="1253666"/>
          <a:ext cx="1001432" cy="277659"/>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F09DA1D6-99D8-4D0E-A38A-6381D565D981}" type="TxLink">
            <a:rPr lang="en-US" sz="1200" b="1" i="0" u="none" strike="noStrike">
              <a:solidFill>
                <a:schemeClr val="accent1"/>
              </a:solidFill>
              <a:latin typeface="Arial"/>
              <a:ea typeface="+mn-ea"/>
              <a:cs typeface="Arial"/>
            </a:rPr>
            <a:pPr marL="0" indent="0" algn="ctr"/>
            <a:t>37,5%</a:t>
          </a:fld>
          <a:endParaRPr lang="es-ES" sz="1200" b="1" i="0" u="none" strike="noStrike">
            <a:solidFill>
              <a:schemeClr val="accent1"/>
            </a:solidFill>
            <a:latin typeface="Arial"/>
            <a:ea typeface="+mn-ea"/>
            <a:cs typeface="Arial"/>
          </a:endParaRPr>
        </a:p>
      </xdr:txBody>
    </xdr:sp>
    <xdr:clientData/>
  </xdr:twoCellAnchor>
  <xdr:oneCellAnchor>
    <xdr:from>
      <xdr:col>17</xdr:col>
      <xdr:colOff>49697</xdr:colOff>
      <xdr:row>15</xdr:row>
      <xdr:rowOff>54459</xdr:rowOff>
    </xdr:from>
    <xdr:ext cx="637612" cy="298800"/>
    <xdr:sp macro="" textlink="[1]curva_precios_tec_2024!$V$2">
      <xdr:nvSpPr>
        <xdr:cNvPr id="18" name="CuadroTexto 1">
          <a:extLst>
            <a:ext uri="{FF2B5EF4-FFF2-40B4-BE49-F238E27FC236}">
              <a16:creationId xmlns:a16="http://schemas.microsoft.com/office/drawing/2014/main" id="{00000000-0008-0000-0700-000012000000}"/>
            </a:ext>
          </a:extLst>
        </xdr:cNvPr>
        <xdr:cNvSpPr txBox="1"/>
      </xdr:nvSpPr>
      <xdr:spPr>
        <a:xfrm>
          <a:off x="13939632" y="2472981"/>
          <a:ext cx="637612" cy="298800"/>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5CB5AD5-F300-4BB2-BA29-A82CA49DD408}" type="TxLink">
            <a:rPr lang="en-US" sz="1400" b="1" i="0" u="none" strike="noStrike">
              <a:solidFill>
                <a:schemeClr val="accent6"/>
              </a:solidFill>
              <a:latin typeface="Arial"/>
              <a:ea typeface="+mn-ea"/>
              <a:cs typeface="Arial"/>
            </a:rPr>
            <a:pPr marL="0" indent="0" algn="r"/>
            <a:t>23,08</a:t>
          </a:fld>
          <a:endParaRPr lang="es-ES" sz="1400" b="1" i="0" u="none" strike="noStrike">
            <a:solidFill>
              <a:schemeClr val="accent6"/>
            </a:solidFill>
            <a:latin typeface="Arial"/>
            <a:ea typeface="+mn-ea"/>
            <a:cs typeface="Arial"/>
          </a:endParaRPr>
        </a:p>
      </xdr:txBody>
    </xdr:sp>
    <xdr:clientData/>
  </xdr:oneCellAnchor>
  <xdr:oneCellAnchor>
    <xdr:from>
      <xdr:col>18</xdr:col>
      <xdr:colOff>33130</xdr:colOff>
      <xdr:row>15</xdr:row>
      <xdr:rowOff>52038</xdr:rowOff>
    </xdr:from>
    <xdr:ext cx="790969" cy="298800"/>
    <xdr:sp macro="" textlink="[1]curva_precios_tec_2024!$W$2">
      <xdr:nvSpPr>
        <xdr:cNvPr id="19" name="CuadroTexto 1">
          <a:extLst>
            <a:ext uri="{FF2B5EF4-FFF2-40B4-BE49-F238E27FC236}">
              <a16:creationId xmlns:a16="http://schemas.microsoft.com/office/drawing/2014/main" id="{00000000-0008-0000-0700-000013000000}"/>
            </a:ext>
          </a:extLst>
        </xdr:cNvPr>
        <xdr:cNvSpPr txBox="1"/>
      </xdr:nvSpPr>
      <xdr:spPr>
        <a:xfrm>
          <a:off x="14767891" y="2470560"/>
          <a:ext cx="790969" cy="298800"/>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BE2D409-6E2D-4FF7-B74B-12A1A656BBE8}" type="TxLink">
            <a:rPr lang="en-US" sz="1400" b="1" i="0" u="none" strike="noStrike">
              <a:solidFill>
                <a:schemeClr val="accent2"/>
              </a:solidFill>
              <a:latin typeface="Arial"/>
              <a:ea typeface="+mn-ea"/>
              <a:cs typeface="Arial"/>
            </a:rPr>
            <a:pPr marL="0" indent="0" algn="r"/>
            <a:t>128,61</a:t>
          </a:fld>
          <a:endParaRPr lang="es-ES" sz="1400" b="1" i="0" u="none" strike="noStrike">
            <a:solidFill>
              <a:schemeClr val="accent2"/>
            </a:solidFill>
            <a:latin typeface="Arial"/>
            <a:ea typeface="+mn-ea"/>
            <a:cs typeface="Arial"/>
          </a:endParaRPr>
        </a:p>
      </xdr:txBody>
    </xdr:sp>
    <xdr:clientData/>
  </xdr:oneCellAnchor>
  <xdr:oneCellAnchor>
    <xdr:from>
      <xdr:col>19</xdr:col>
      <xdr:colOff>124240</xdr:colOff>
      <xdr:row>15</xdr:row>
      <xdr:rowOff>44711</xdr:rowOff>
    </xdr:from>
    <xdr:ext cx="729484" cy="298800"/>
    <xdr:sp macro="" textlink="[1]curva_precios_tec_2024!$X$2">
      <xdr:nvSpPr>
        <xdr:cNvPr id="20" name="CuadroTexto 1">
          <a:extLst>
            <a:ext uri="{FF2B5EF4-FFF2-40B4-BE49-F238E27FC236}">
              <a16:creationId xmlns:a16="http://schemas.microsoft.com/office/drawing/2014/main" id="{00000000-0008-0000-0700-000014000000}"/>
            </a:ext>
          </a:extLst>
        </xdr:cNvPr>
        <xdr:cNvSpPr txBox="1"/>
      </xdr:nvSpPr>
      <xdr:spPr>
        <a:xfrm>
          <a:off x="15703827" y="2463233"/>
          <a:ext cx="729484" cy="298800"/>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693FD3DD-EB52-4EA4-B4F6-2FF9279FA19A}" type="TxLink">
            <a:rPr lang="en-US" sz="1400" b="1" i="0" u="none" strike="noStrike">
              <a:solidFill>
                <a:schemeClr val="accent1"/>
              </a:solidFill>
              <a:latin typeface="Arial"/>
              <a:ea typeface="+mn-ea"/>
              <a:cs typeface="Arial"/>
            </a:rPr>
            <a:pPr marL="0" indent="0" algn="r"/>
            <a:t>75,78</a:t>
          </a:fld>
          <a:endParaRPr lang="es-ES" sz="1400" b="1" i="0" u="none" strike="noStrike">
            <a:solidFill>
              <a:schemeClr val="accent1"/>
            </a:solidFill>
            <a:latin typeface="Arial"/>
            <a:ea typeface="+mn-ea"/>
            <a:cs typeface="Arial"/>
          </a:endParaRPr>
        </a:p>
      </xdr:txBody>
    </xdr:sp>
    <xdr:clientData/>
  </xdr:oneCellAnchor>
  <xdr:twoCellAnchor editAs="oneCell">
    <xdr:from>
      <xdr:col>17</xdr:col>
      <xdr:colOff>36955</xdr:colOff>
      <xdr:row>14</xdr:row>
      <xdr:rowOff>84416</xdr:rowOff>
    </xdr:from>
    <xdr:to>
      <xdr:col>19</xdr:col>
      <xdr:colOff>824398</xdr:colOff>
      <xdr:row>15</xdr:row>
      <xdr:rowOff>107672</xdr:rowOff>
    </xdr:to>
    <xdr:pic>
      <xdr:nvPicPr>
        <xdr:cNvPr id="21" name="Imagen 20">
          <a:extLst>
            <a:ext uri="{FF2B5EF4-FFF2-40B4-BE49-F238E27FC236}">
              <a16:creationId xmlns:a16="http://schemas.microsoft.com/office/drawing/2014/main" id="{00000000-0008-0000-0700-000015000000}"/>
            </a:ext>
          </a:extLst>
        </xdr:cNvPr>
        <xdr:cNvPicPr>
          <a:picLocks noChangeAspect="1"/>
        </xdr:cNvPicPr>
      </xdr:nvPicPr>
      <xdr:blipFill>
        <a:blip xmlns:r="http://schemas.openxmlformats.org/officeDocument/2006/relationships" r:embed="rId3"/>
        <a:stretch>
          <a:fillRect/>
        </a:stretch>
      </xdr:blipFill>
      <xdr:spPr>
        <a:xfrm>
          <a:off x="13926890" y="2353851"/>
          <a:ext cx="2477095" cy="172343"/>
        </a:xfrm>
        <a:prstGeom prst="rect">
          <a:avLst/>
        </a:prstGeom>
      </xdr:spPr>
    </xdr:pic>
    <xdr:clientData/>
  </xdr:twoCellAnchor>
  <xdr:twoCellAnchor>
    <xdr:from>
      <xdr:col>17</xdr:col>
      <xdr:colOff>1</xdr:colOff>
      <xdr:row>16</xdr:row>
      <xdr:rowOff>140804</xdr:rowOff>
    </xdr:from>
    <xdr:to>
      <xdr:col>19</xdr:col>
      <xdr:colOff>836543</xdr:colOff>
      <xdr:row>25</xdr:row>
      <xdr:rowOff>124239</xdr:rowOff>
    </xdr:to>
    <xdr:graphicFrame macro="">
      <xdr:nvGraphicFramePr>
        <xdr:cNvPr id="22" name="Gráfico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0</xdr:colOff>
      <xdr:row>5</xdr:row>
      <xdr:rowOff>0</xdr:rowOff>
    </xdr:from>
    <xdr:to>
      <xdr:col>23</xdr:col>
      <xdr:colOff>0</xdr:colOff>
      <xdr:row>6</xdr:row>
      <xdr:rowOff>0</xdr:rowOff>
    </xdr:to>
    <xdr:sp macro="" textlink="">
      <xdr:nvSpPr>
        <xdr:cNvPr id="23" name="CuadroTexto 22">
          <a:extLst>
            <a:ext uri="{FF2B5EF4-FFF2-40B4-BE49-F238E27FC236}">
              <a16:creationId xmlns:a16="http://schemas.microsoft.com/office/drawing/2014/main" id="{00000000-0008-0000-0700-000017000000}"/>
            </a:ext>
          </a:extLst>
        </xdr:cNvPr>
        <xdr:cNvSpPr txBox="1"/>
      </xdr:nvSpPr>
      <xdr:spPr>
        <a:xfrm>
          <a:off x="16283609" y="745435"/>
          <a:ext cx="2534478" cy="314739"/>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LP GDAES_D+1 (€/MWh)</a:t>
          </a:r>
          <a:endParaRPr lang="es-ES" sz="1200">
            <a:latin typeface="Arial Narrow" panose="020B0606020202030204" pitchFamily="34" charset="0"/>
          </a:endParaRPr>
        </a:p>
      </xdr:txBody>
    </xdr:sp>
    <xdr:clientData/>
  </xdr:twoCellAnchor>
  <xdr:twoCellAnchor>
    <xdr:from>
      <xdr:col>23</xdr:col>
      <xdr:colOff>1436329</xdr:colOff>
      <xdr:row>7</xdr:row>
      <xdr:rowOff>48357</xdr:rowOff>
    </xdr:from>
    <xdr:to>
      <xdr:col>23</xdr:col>
      <xdr:colOff>2176349</xdr:colOff>
      <xdr:row>9</xdr:row>
      <xdr:rowOff>27843</xdr:rowOff>
    </xdr:to>
    <xdr:sp macro="" textlink="[1]gas!$F$5">
      <xdr:nvSpPr>
        <xdr:cNvPr id="26" name="CuadroTexto 1">
          <a:extLst>
            <a:ext uri="{FF2B5EF4-FFF2-40B4-BE49-F238E27FC236}">
              <a16:creationId xmlns:a16="http://schemas.microsoft.com/office/drawing/2014/main" id="{00000000-0008-0000-0700-00001A000000}"/>
            </a:ext>
          </a:extLst>
        </xdr:cNvPr>
        <xdr:cNvSpPr txBox="1"/>
      </xdr:nvSpPr>
      <xdr:spPr>
        <a:xfrm>
          <a:off x="18895654" y="1286607"/>
          <a:ext cx="6595" cy="284286"/>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A5C7D6D-184B-49E3-B106-12047537AD4D}" type="TxLink">
            <a:rPr lang="en-US" sz="1200" b="1" i="0" u="none" strike="noStrike">
              <a:solidFill>
                <a:srgbClr val="7030A0"/>
              </a:solidFill>
              <a:latin typeface="Arial"/>
              <a:ea typeface="+mn-ea"/>
              <a:cs typeface="Arial"/>
            </a:rPr>
            <a:pPr marL="0" indent="0" algn="r"/>
            <a:t>34,35</a:t>
          </a:fld>
          <a:endParaRPr lang="es-ES" sz="1200" b="1" i="0" u="none" strike="noStrike">
            <a:solidFill>
              <a:srgbClr val="7030A0"/>
            </a:solidFill>
            <a:latin typeface="Arial"/>
            <a:ea typeface="+mn-ea"/>
            <a:cs typeface="Arial"/>
          </a:endParaRPr>
        </a:p>
      </xdr:txBody>
    </xdr:sp>
    <xdr:clientData/>
  </xdr:twoCellAnchor>
  <xdr:twoCellAnchor>
    <xdr:from>
      <xdr:col>20</xdr:col>
      <xdr:colOff>99707</xdr:colOff>
      <xdr:row>6</xdr:row>
      <xdr:rowOff>0</xdr:rowOff>
    </xdr:from>
    <xdr:to>
      <xdr:col>22</xdr:col>
      <xdr:colOff>621196</xdr:colOff>
      <xdr:row>6</xdr:row>
      <xdr:rowOff>4938</xdr:rowOff>
    </xdr:to>
    <xdr:cxnSp macro="">
      <xdr:nvCxnSpPr>
        <xdr:cNvPr id="27" name="Conector recto 26">
          <a:extLst>
            <a:ext uri="{FF2B5EF4-FFF2-40B4-BE49-F238E27FC236}">
              <a16:creationId xmlns:a16="http://schemas.microsoft.com/office/drawing/2014/main" id="{00000000-0008-0000-0700-00001B000000}"/>
            </a:ext>
          </a:extLst>
        </xdr:cNvPr>
        <xdr:cNvCxnSpPr/>
      </xdr:nvCxnSpPr>
      <xdr:spPr>
        <a:xfrm flipV="1">
          <a:off x="16482707" y="1060174"/>
          <a:ext cx="2211141" cy="4938"/>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14</xdr:row>
      <xdr:rowOff>0</xdr:rowOff>
    </xdr:from>
    <xdr:to>
      <xdr:col>23</xdr:col>
      <xdr:colOff>0</xdr:colOff>
      <xdr:row>16</xdr:row>
      <xdr:rowOff>0</xdr:rowOff>
    </xdr:to>
    <xdr:sp macro="" textlink="">
      <xdr:nvSpPr>
        <xdr:cNvPr id="28" name="CuadroTexto 27">
          <a:extLst>
            <a:ext uri="{FF2B5EF4-FFF2-40B4-BE49-F238E27FC236}">
              <a16:creationId xmlns:a16="http://schemas.microsoft.com/office/drawing/2014/main" id="{00000000-0008-0000-0700-00001C000000}"/>
            </a:ext>
          </a:extLst>
        </xdr:cNvPr>
        <xdr:cNvSpPr txBox="1"/>
      </xdr:nvSpPr>
      <xdr:spPr>
        <a:xfrm>
          <a:off x="16383000" y="2269435"/>
          <a:ext cx="2534478" cy="298174"/>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0</xdr:row>
      <xdr:rowOff>0</xdr:rowOff>
    </xdr:from>
    <xdr:to>
      <xdr:col>23</xdr:col>
      <xdr:colOff>0</xdr:colOff>
      <xdr:row>5</xdr:row>
      <xdr:rowOff>0</xdr:rowOff>
    </xdr:to>
    <xdr:sp macro="" textlink="">
      <xdr:nvSpPr>
        <xdr:cNvPr id="31" name="Rectángulo 30">
          <a:extLst>
            <a:ext uri="{FF2B5EF4-FFF2-40B4-BE49-F238E27FC236}">
              <a16:creationId xmlns:a16="http://schemas.microsoft.com/office/drawing/2014/main" id="{00000000-0008-0000-0700-00001F000000}"/>
            </a:ext>
          </a:extLst>
        </xdr:cNvPr>
        <xdr:cNvSpPr/>
      </xdr:nvSpPr>
      <xdr:spPr>
        <a:xfrm>
          <a:off x="16283609" y="0"/>
          <a:ext cx="2534478" cy="745435"/>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75614</xdr:colOff>
      <xdr:row>0</xdr:row>
      <xdr:rowOff>56231</xdr:rowOff>
    </xdr:from>
    <xdr:to>
      <xdr:col>22</xdr:col>
      <xdr:colOff>554935</xdr:colOff>
      <xdr:row>2</xdr:row>
      <xdr:rowOff>41577</xdr:rowOff>
    </xdr:to>
    <xdr:sp macro="" textlink="">
      <xdr:nvSpPr>
        <xdr:cNvPr id="32" name="CuadroTexto 31">
          <a:extLst>
            <a:ext uri="{FF2B5EF4-FFF2-40B4-BE49-F238E27FC236}">
              <a16:creationId xmlns:a16="http://schemas.microsoft.com/office/drawing/2014/main" id="{00000000-0008-0000-0700-000020000000}"/>
            </a:ext>
          </a:extLst>
        </xdr:cNvPr>
        <xdr:cNvSpPr txBox="1"/>
      </xdr:nvSpPr>
      <xdr:spPr>
        <a:xfrm>
          <a:off x="16359223" y="56231"/>
          <a:ext cx="2168973" cy="2835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20</xdr:col>
      <xdr:colOff>80539</xdr:colOff>
      <xdr:row>2</xdr:row>
      <xdr:rowOff>88369</xdr:rowOff>
    </xdr:from>
    <xdr:to>
      <xdr:col>22</xdr:col>
      <xdr:colOff>554934</xdr:colOff>
      <xdr:row>4</xdr:row>
      <xdr:rowOff>73715</xdr:rowOff>
    </xdr:to>
    <xdr:sp macro="" textlink="">
      <xdr:nvSpPr>
        <xdr:cNvPr id="33" name="CuadroTexto 32">
          <a:extLst>
            <a:ext uri="{FF2B5EF4-FFF2-40B4-BE49-F238E27FC236}">
              <a16:creationId xmlns:a16="http://schemas.microsoft.com/office/drawing/2014/main" id="{00000000-0008-0000-0700-000021000000}"/>
            </a:ext>
          </a:extLst>
        </xdr:cNvPr>
        <xdr:cNvSpPr txBox="1"/>
      </xdr:nvSpPr>
      <xdr:spPr>
        <a:xfrm>
          <a:off x="16364148" y="386543"/>
          <a:ext cx="2164047" cy="2835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#miniporrajunio2024</a:t>
          </a:r>
        </a:p>
      </xdr:txBody>
    </xdr:sp>
    <xdr:clientData/>
  </xdr:twoCellAnchor>
  <xdr:twoCellAnchor>
    <xdr:from>
      <xdr:col>19</xdr:col>
      <xdr:colOff>836544</xdr:colOff>
      <xdr:row>16</xdr:row>
      <xdr:rowOff>0</xdr:rowOff>
    </xdr:from>
    <xdr:to>
      <xdr:col>22</xdr:col>
      <xdr:colOff>835045</xdr:colOff>
      <xdr:row>26</xdr:row>
      <xdr:rowOff>1</xdr:rowOff>
    </xdr:to>
    <xdr:graphicFrame macro="">
      <xdr:nvGraphicFramePr>
        <xdr:cNvPr id="34" name="Gráfico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23</xdr:col>
      <xdr:colOff>1242345</xdr:colOff>
      <xdr:row>18</xdr:row>
      <xdr:rowOff>41586</xdr:rowOff>
    </xdr:from>
    <xdr:to>
      <xdr:col>23</xdr:col>
      <xdr:colOff>2112785</xdr:colOff>
      <xdr:row>20</xdr:row>
      <xdr:rowOff>18292</xdr:rowOff>
    </xdr:to>
    <xdr:sp macro="" textlink="[1]co2!$F$6">
      <xdr:nvSpPr>
        <xdr:cNvPr id="35" name="CuadroTexto 1">
          <a:extLst>
            <a:ext uri="{FF2B5EF4-FFF2-40B4-BE49-F238E27FC236}">
              <a16:creationId xmlns:a16="http://schemas.microsoft.com/office/drawing/2014/main" id="{00000000-0008-0000-0700-000023000000}"/>
            </a:ext>
          </a:extLst>
        </xdr:cNvPr>
        <xdr:cNvSpPr txBox="1"/>
      </xdr:nvSpPr>
      <xdr:spPr>
        <a:xfrm>
          <a:off x="18901695" y="2956236"/>
          <a:ext cx="0" cy="281506"/>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4C71EA8-E455-4BC4-8148-EDD2FD2E021B}" type="TxLink">
            <a:rPr lang="en-US" sz="1200" b="1" i="0" u="none" strike="noStrike">
              <a:solidFill>
                <a:srgbClr val="7030A0"/>
              </a:solidFill>
              <a:latin typeface="Arial"/>
              <a:ea typeface="+mn-ea"/>
              <a:cs typeface="Arial"/>
            </a:rPr>
            <a:pPr marL="0" indent="0" algn="r"/>
            <a:t>70,97</a:t>
          </a:fld>
          <a:endParaRPr lang="es-ES" sz="1200" b="1" i="0" u="none" strike="noStrike">
            <a:solidFill>
              <a:srgbClr val="7030A0"/>
            </a:solidFill>
            <a:latin typeface="Arial"/>
            <a:ea typeface="+mn-ea"/>
            <a:cs typeface="Arial"/>
          </a:endParaRPr>
        </a:p>
      </xdr:txBody>
    </xdr:sp>
    <xdr:clientData/>
  </xdr:twoCellAnchor>
  <xdr:twoCellAnchor editAs="oneCell">
    <xdr:from>
      <xdr:col>19</xdr:col>
      <xdr:colOff>123603</xdr:colOff>
      <xdr:row>28</xdr:row>
      <xdr:rowOff>113727</xdr:rowOff>
    </xdr:from>
    <xdr:to>
      <xdr:col>19</xdr:col>
      <xdr:colOff>697917</xdr:colOff>
      <xdr:row>35</xdr:row>
      <xdr:rowOff>77094</xdr:rowOff>
    </xdr:to>
    <xdr:pic>
      <xdr:nvPicPr>
        <xdr:cNvPr id="39" name="Imagen 38">
          <a:extLst>
            <a:ext uri="{FF2B5EF4-FFF2-40B4-BE49-F238E27FC236}">
              <a16:creationId xmlns:a16="http://schemas.microsoft.com/office/drawing/2014/main" id="{00000000-0008-0000-0700-000027000000}"/>
            </a:ext>
          </a:extLst>
        </xdr:cNvPr>
        <xdr:cNvPicPr>
          <a:picLocks noChangeAspect="1"/>
        </xdr:cNvPicPr>
      </xdr:nvPicPr>
      <xdr:blipFill>
        <a:blip xmlns:r="http://schemas.openxmlformats.org/officeDocument/2006/relationships" r:embed="rId6"/>
        <a:stretch>
          <a:fillRect/>
        </a:stretch>
      </xdr:blipFill>
      <xdr:spPr>
        <a:xfrm>
          <a:off x="15703190" y="4470379"/>
          <a:ext cx="574314" cy="1006976"/>
        </a:xfrm>
        <a:prstGeom prst="rect">
          <a:avLst/>
        </a:prstGeom>
      </xdr:spPr>
    </xdr:pic>
    <xdr:clientData/>
  </xdr:twoCellAnchor>
  <xdr:twoCellAnchor>
    <xdr:from>
      <xdr:col>17</xdr:col>
      <xdr:colOff>95568</xdr:colOff>
      <xdr:row>41</xdr:row>
      <xdr:rowOff>33131</xdr:rowOff>
    </xdr:from>
    <xdr:to>
      <xdr:col>22</xdr:col>
      <xdr:colOff>786848</xdr:colOff>
      <xdr:row>53</xdr:row>
      <xdr:rowOff>91110</xdr:rowOff>
    </xdr:to>
    <xdr:graphicFrame macro="">
      <xdr:nvGraphicFramePr>
        <xdr:cNvPr id="40" name="Gráfico 39">
          <a:extLst>
            <a:ext uri="{FF2B5EF4-FFF2-40B4-BE49-F238E27FC236}">
              <a16:creationId xmlns:a16="http://schemas.microsoft.com/office/drawing/2014/main" id="{00000000-0008-0000-07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170111</xdr:colOff>
      <xdr:row>9</xdr:row>
      <xdr:rowOff>2548</xdr:rowOff>
    </xdr:from>
    <xdr:to>
      <xdr:col>17</xdr:col>
      <xdr:colOff>819978</xdr:colOff>
      <xdr:row>13</xdr:row>
      <xdr:rowOff>124652</xdr:rowOff>
    </xdr:to>
    <xdr:graphicFrame macro="">
      <xdr:nvGraphicFramePr>
        <xdr:cNvPr id="41" name="Gráfico 40">
          <a:extLst>
            <a:ext uri="{FF2B5EF4-FFF2-40B4-BE49-F238E27FC236}">
              <a16:creationId xmlns:a16="http://schemas.microsoft.com/office/drawing/2014/main" id="{00000000-0008-0000-0700-000029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twoCellAnchor>
  <xdr:twoCellAnchor>
    <xdr:from>
      <xdr:col>18</xdr:col>
      <xdr:colOff>134116</xdr:colOff>
      <xdr:row>8</xdr:row>
      <xdr:rowOff>91108</xdr:rowOff>
    </xdr:from>
    <xdr:to>
      <xdr:col>18</xdr:col>
      <xdr:colOff>786846</xdr:colOff>
      <xdr:row>15</xdr:row>
      <xdr:rowOff>41412</xdr:rowOff>
    </xdr:to>
    <xdr:graphicFrame macro="">
      <xdr:nvGraphicFramePr>
        <xdr:cNvPr id="42" name="Gráfico 41">
          <a:extLst>
            <a:ext uri="{FF2B5EF4-FFF2-40B4-BE49-F238E27FC236}">
              <a16:creationId xmlns:a16="http://schemas.microsoft.com/office/drawing/2014/main" id="{00000000-0008-0000-07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xdr:from>
      <xdr:col>19</xdr:col>
      <xdr:colOff>58620</xdr:colOff>
      <xdr:row>8</xdr:row>
      <xdr:rowOff>107673</xdr:rowOff>
    </xdr:from>
    <xdr:to>
      <xdr:col>19</xdr:col>
      <xdr:colOff>689764</xdr:colOff>
      <xdr:row>13</xdr:row>
      <xdr:rowOff>74533</xdr:rowOff>
    </xdr:to>
    <xdr:graphicFrame macro="">
      <xdr:nvGraphicFramePr>
        <xdr:cNvPr id="43" name="Gráfico 42">
          <a:extLst>
            <a:ext uri="{FF2B5EF4-FFF2-40B4-BE49-F238E27FC236}">
              <a16:creationId xmlns:a16="http://schemas.microsoft.com/office/drawing/2014/main" id="{00000000-0008-0000-0700-00002B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twoCellAnchor>
  <xdr:twoCellAnchor>
    <xdr:from>
      <xdr:col>19</xdr:col>
      <xdr:colOff>836544</xdr:colOff>
      <xdr:row>28</xdr:row>
      <xdr:rowOff>57978</xdr:rowOff>
    </xdr:from>
    <xdr:to>
      <xdr:col>22</xdr:col>
      <xdr:colOff>839444</xdr:colOff>
      <xdr:row>39</xdr:row>
      <xdr:rowOff>0</xdr:rowOff>
    </xdr:to>
    <xdr:graphicFrame macro="">
      <xdr:nvGraphicFramePr>
        <xdr:cNvPr id="44" name="Gráfico 43">
          <a:extLst>
            <a:ext uri="{FF2B5EF4-FFF2-40B4-BE49-F238E27FC236}">
              <a16:creationId xmlns:a16="http://schemas.microsoft.com/office/drawing/2014/main" id="{00000000-0008-0000-07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mc:AlternateContent xmlns:mc="http://schemas.openxmlformats.org/markup-compatibility/2006">
    <mc:Choice xmlns:a14="http://schemas.microsoft.com/office/drawing/2010/main" Requires="a14">
      <xdr:twoCellAnchor>
        <xdr:from>
          <xdr:col>2</xdr:col>
          <xdr:colOff>723900</xdr:colOff>
          <xdr:row>3</xdr:row>
          <xdr:rowOff>0</xdr:rowOff>
        </xdr:from>
        <xdr:to>
          <xdr:col>3</xdr:col>
          <xdr:colOff>1381125</xdr:colOff>
          <xdr:row>5</xdr:row>
          <xdr:rowOff>0</xdr:rowOff>
        </xdr:to>
        <xdr:sp macro="" textlink="">
          <xdr:nvSpPr>
            <xdr:cNvPr id="33795" name="Button 3" hidden="1">
              <a:extLst>
                <a:ext uri="{63B3BB69-23CF-44E3-9099-C40C66FF867C}">
                  <a14:compatExt spid="_x0000_s33795"/>
                </a:ext>
                <a:ext uri="{FF2B5EF4-FFF2-40B4-BE49-F238E27FC236}">
                  <a16:creationId xmlns:a16="http://schemas.microsoft.com/office/drawing/2014/main" id="{00000000-0008-0000-0700-0000038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xdr:twoCellAnchor>
    <xdr:from>
      <xdr:col>23</xdr:col>
      <xdr:colOff>1186961</xdr:colOff>
      <xdr:row>30</xdr:row>
      <xdr:rowOff>51288</xdr:rowOff>
    </xdr:from>
    <xdr:to>
      <xdr:col>23</xdr:col>
      <xdr:colOff>2057401</xdr:colOff>
      <xdr:row>32</xdr:row>
      <xdr:rowOff>27994</xdr:rowOff>
    </xdr:to>
    <xdr:sp macro="" textlink="[1]omie_dinamic_dia!$N$2">
      <xdr:nvSpPr>
        <xdr:cNvPr id="46" name="CuadroTexto 1">
          <a:extLst>
            <a:ext uri="{FF2B5EF4-FFF2-40B4-BE49-F238E27FC236}">
              <a16:creationId xmlns:a16="http://schemas.microsoft.com/office/drawing/2014/main" id="{00000000-0008-0000-0700-00002E000000}"/>
            </a:ext>
          </a:extLst>
        </xdr:cNvPr>
        <xdr:cNvSpPr txBox="1"/>
      </xdr:nvSpPr>
      <xdr:spPr>
        <a:xfrm>
          <a:off x="18893936" y="4794738"/>
          <a:ext cx="3665" cy="281506"/>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C2349CF5-43E9-405E-B17B-1EB378677D01}" type="TxLink">
            <a:rPr lang="en-US" sz="1200" b="1" i="0" u="none" strike="noStrike">
              <a:solidFill>
                <a:schemeClr val="accent1">
                  <a:lumMod val="60000"/>
                  <a:lumOff val="40000"/>
                </a:schemeClr>
              </a:solidFill>
              <a:latin typeface="Arial Narrow" panose="020B0606020202030204" pitchFamily="34" charset="0"/>
              <a:ea typeface="+mn-ea"/>
              <a:cs typeface="Arial"/>
            </a:rPr>
            <a:pPr marL="0" indent="0" algn="r"/>
            <a:t>5.273</a:t>
          </a:fld>
          <a:endParaRPr lang="es-ES" sz="2000" b="1" i="0" u="none" strike="noStrike">
            <a:solidFill>
              <a:schemeClr val="accent1">
                <a:lumMod val="60000"/>
                <a:lumOff val="40000"/>
              </a:schemeClr>
            </a:solidFill>
            <a:latin typeface="Arial Narrow" panose="020B0606020202030204" pitchFamily="34" charset="0"/>
            <a:ea typeface="+mn-ea"/>
            <a:cs typeface="Arial"/>
          </a:endParaRPr>
        </a:p>
      </xdr:txBody>
    </xdr:sp>
    <xdr:clientData/>
  </xdr:twoCellAnchor>
  <xdr:twoCellAnchor>
    <xdr:from>
      <xdr:col>23</xdr:col>
      <xdr:colOff>1164982</xdr:colOff>
      <xdr:row>30</xdr:row>
      <xdr:rowOff>73269</xdr:rowOff>
    </xdr:from>
    <xdr:to>
      <xdr:col>23</xdr:col>
      <xdr:colOff>1626578</xdr:colOff>
      <xdr:row>32</xdr:row>
      <xdr:rowOff>0</xdr:rowOff>
    </xdr:to>
    <xdr:sp macro="" textlink="">
      <xdr:nvSpPr>
        <xdr:cNvPr id="47" name="CuadroTexto 46">
          <a:extLst>
            <a:ext uri="{FF2B5EF4-FFF2-40B4-BE49-F238E27FC236}">
              <a16:creationId xmlns:a16="http://schemas.microsoft.com/office/drawing/2014/main" id="{00000000-0008-0000-0700-00002F000000}"/>
            </a:ext>
          </a:extLst>
        </xdr:cNvPr>
        <xdr:cNvSpPr txBox="1"/>
      </xdr:nvSpPr>
      <xdr:spPr>
        <a:xfrm>
          <a:off x="18900532" y="4816719"/>
          <a:ext cx="0" cy="23153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s-ES" sz="1100">
              <a:solidFill>
                <a:schemeClr val="accent1">
                  <a:lumMod val="60000"/>
                  <a:lumOff val="40000"/>
                </a:schemeClr>
              </a:solidFill>
              <a:latin typeface="Arial Narrow" panose="020B0606020202030204" pitchFamily="34" charset="0"/>
            </a:rPr>
            <a:t>Total</a:t>
          </a:r>
        </a:p>
      </xdr:txBody>
    </xdr:sp>
    <xdr:clientData/>
  </xdr:twoCellAnchor>
  <mc:AlternateContent xmlns:mc="http://schemas.openxmlformats.org/markup-compatibility/2006">
    <mc:Choice xmlns:a14="http://schemas.microsoft.com/office/drawing/2010/main" Requires="a14">
      <xdr:twoCellAnchor>
        <xdr:from>
          <xdr:col>3</xdr:col>
          <xdr:colOff>1400175</xdr:colOff>
          <xdr:row>3</xdr:row>
          <xdr:rowOff>0</xdr:rowOff>
        </xdr:from>
        <xdr:to>
          <xdr:col>6</xdr:col>
          <xdr:colOff>0</xdr:colOff>
          <xdr:row>5</xdr:row>
          <xdr:rowOff>0</xdr:rowOff>
        </xdr:to>
        <xdr:sp macro="" textlink="">
          <xdr:nvSpPr>
            <xdr:cNvPr id="33796" name="Button 4" hidden="1">
              <a:extLst>
                <a:ext uri="{63B3BB69-23CF-44E3-9099-C40C66FF867C}">
                  <a14:compatExt spid="_x0000_s33796"/>
                </a:ext>
                <a:ext uri="{FF2B5EF4-FFF2-40B4-BE49-F238E27FC236}">
                  <a16:creationId xmlns:a16="http://schemas.microsoft.com/office/drawing/2014/main" id="{00000000-0008-0000-0700-0000048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EXT</a:t>
              </a:r>
            </a:p>
          </xdr:txBody>
        </xdr:sp>
        <xdr:clientData fPrintsWithSheet="0"/>
      </xdr:twoCellAnchor>
    </mc:Choice>
    <mc:Fallback/>
  </mc:AlternateContent>
  <xdr:twoCellAnchor>
    <xdr:from>
      <xdr:col>21</xdr:col>
      <xdr:colOff>803412</xdr:colOff>
      <xdr:row>6</xdr:row>
      <xdr:rowOff>107035</xdr:rowOff>
    </xdr:from>
    <xdr:to>
      <xdr:col>22</xdr:col>
      <xdr:colOff>646043</xdr:colOff>
      <xdr:row>8</xdr:row>
      <xdr:rowOff>99709</xdr:rowOff>
    </xdr:to>
    <xdr:sp macro="" textlink="[1]gas!$F$5">
      <xdr:nvSpPr>
        <xdr:cNvPr id="49" name="CuadroTexto 3">
          <a:extLst>
            <a:ext uri="{FF2B5EF4-FFF2-40B4-BE49-F238E27FC236}">
              <a16:creationId xmlns:a16="http://schemas.microsoft.com/office/drawing/2014/main" id="{00000000-0008-0000-0700-000031000000}"/>
            </a:ext>
          </a:extLst>
        </xdr:cNvPr>
        <xdr:cNvSpPr txBox="1"/>
      </xdr:nvSpPr>
      <xdr:spPr>
        <a:xfrm>
          <a:off x="17931847" y="1167209"/>
          <a:ext cx="687457" cy="3074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C1F8DA14-9348-44AF-8DAE-BAE5A97B325D}" type="TxLink">
            <a:rPr lang="en-US" sz="1200" b="1" i="0" u="none" strike="noStrike">
              <a:solidFill>
                <a:srgbClr val="7030A0"/>
              </a:solidFill>
              <a:latin typeface="Arial Narrow" panose="020B0606020202030204" pitchFamily="34" charset="0"/>
              <a:ea typeface="+mn-ea"/>
              <a:cs typeface="Arial"/>
            </a:rPr>
            <a:pPr marL="0" indent="0" algn="r"/>
            <a:t>34,35</a:t>
          </a:fld>
          <a:endParaRPr lang="es-ES" sz="1200" b="1" i="0" u="none" strike="noStrike">
            <a:solidFill>
              <a:srgbClr val="7030A0"/>
            </a:solidFill>
            <a:latin typeface="Arial Narrow" panose="020B0606020202030204" pitchFamily="34" charset="0"/>
            <a:ea typeface="+mn-ea"/>
            <a:cs typeface="Arial"/>
          </a:endParaRPr>
        </a:p>
      </xdr:txBody>
    </xdr:sp>
    <xdr:clientData/>
  </xdr:twoCellAnchor>
  <xdr:twoCellAnchor>
    <xdr:from>
      <xdr:col>21</xdr:col>
      <xdr:colOff>728870</xdr:colOff>
      <xdr:row>16</xdr:row>
      <xdr:rowOff>142526</xdr:rowOff>
    </xdr:from>
    <xdr:to>
      <xdr:col>22</xdr:col>
      <xdr:colOff>582682</xdr:colOff>
      <xdr:row>18</xdr:row>
      <xdr:rowOff>142526</xdr:rowOff>
    </xdr:to>
    <xdr:sp macro="" textlink="[1]co2!$F$6">
      <xdr:nvSpPr>
        <xdr:cNvPr id="50" name="CuadroTexto 3">
          <a:extLst>
            <a:ext uri="{FF2B5EF4-FFF2-40B4-BE49-F238E27FC236}">
              <a16:creationId xmlns:a16="http://schemas.microsoft.com/office/drawing/2014/main" id="{00000000-0008-0000-0700-000032000000}"/>
            </a:ext>
          </a:extLst>
        </xdr:cNvPr>
        <xdr:cNvSpPr txBox="1"/>
      </xdr:nvSpPr>
      <xdr:spPr>
        <a:xfrm>
          <a:off x="17998109" y="2710135"/>
          <a:ext cx="698638" cy="298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9A2E3E5-4BA7-4358-AB52-D7E595E795E5}" type="TxLink">
            <a:rPr lang="en-US" sz="1400" b="1" i="0" u="none" strike="noStrike">
              <a:solidFill>
                <a:srgbClr val="7030A0"/>
              </a:solidFill>
              <a:latin typeface="Arial Narrow" panose="020B0606020202030204" pitchFamily="34" charset="0"/>
              <a:ea typeface="+mn-ea"/>
              <a:cs typeface="Arial"/>
            </a:rPr>
            <a:pPr marL="0" indent="0" algn="r"/>
            <a:t>70,97</a:t>
          </a:fld>
          <a:endParaRPr lang="es-ES" sz="1400" b="1" i="0" u="none" strike="noStrike">
            <a:solidFill>
              <a:srgbClr val="7030A0"/>
            </a:solidFill>
            <a:latin typeface="Arial Narrow" panose="020B0606020202030204" pitchFamily="34" charset="0"/>
            <a:ea typeface="+mn-ea"/>
            <a:cs typeface="Arial"/>
          </a:endParaRPr>
        </a:p>
      </xdr:txBody>
    </xdr:sp>
    <xdr:clientData/>
  </xdr:twoCellAnchor>
  <xdr:twoCellAnchor>
    <xdr:from>
      <xdr:col>17</xdr:col>
      <xdr:colOff>57978</xdr:colOff>
      <xdr:row>54</xdr:row>
      <xdr:rowOff>16566</xdr:rowOff>
    </xdr:from>
    <xdr:to>
      <xdr:col>23</xdr:col>
      <xdr:colOff>0</xdr:colOff>
      <xdr:row>59</xdr:row>
      <xdr:rowOff>1</xdr:rowOff>
    </xdr:to>
    <xdr:sp macro="" textlink="">
      <xdr:nvSpPr>
        <xdr:cNvPr id="51" name="CuadroTexto 50">
          <a:extLst>
            <a:ext uri="{FF2B5EF4-FFF2-40B4-BE49-F238E27FC236}">
              <a16:creationId xmlns:a16="http://schemas.microsoft.com/office/drawing/2014/main" id="{00000000-0008-0000-0700-000033000000}"/>
            </a:ext>
          </a:extLst>
        </xdr:cNvPr>
        <xdr:cNvSpPr txBox="1"/>
      </xdr:nvSpPr>
      <xdr:spPr>
        <a:xfrm>
          <a:off x="13947913" y="8249479"/>
          <a:ext cx="5010978" cy="7288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400">
              <a:effectLst>
                <a:glow rad="63500">
                  <a:schemeClr val="accent3">
                    <a:satMod val="175000"/>
                    <a:alpha val="40000"/>
                  </a:schemeClr>
                </a:glow>
              </a:effectLst>
              <a:latin typeface="Arial Narrow" panose="020B0606020202030204" pitchFamily="34" charset="0"/>
            </a:rPr>
            <a:t>Recuerda</a:t>
          </a:r>
          <a:r>
            <a:rPr lang="es-ES" sz="1400">
              <a:latin typeface="Arial Narrow" panose="020B0606020202030204" pitchFamily="34" charset="0"/>
            </a:rPr>
            <a:t>:</a:t>
          </a:r>
          <a:r>
            <a:rPr lang="es-ES" sz="1400" baseline="0">
              <a:latin typeface="Arial Narrow" panose="020B0606020202030204" pitchFamily="34" charset="0"/>
            </a:rPr>
            <a:t>  </a:t>
          </a:r>
          <a:r>
            <a:rPr lang="es-ES" sz="1600" b="1" baseline="0">
              <a:solidFill>
                <a:schemeClr val="tx1"/>
              </a:solidFill>
              <a:latin typeface="Arial Narrow" panose="020B0606020202030204" pitchFamily="34" charset="0"/>
              <a:ea typeface="+mn-ea"/>
              <a:cs typeface="+mn-cs"/>
            </a:rPr>
            <a:t>La</a:t>
          </a:r>
          <a:r>
            <a:rPr lang="es-ES" sz="1400" baseline="0">
              <a:solidFill>
                <a:schemeClr val="tx1"/>
              </a:solidFill>
              <a:latin typeface="Arial Narrow" panose="020B0606020202030204" pitchFamily="34" charset="0"/>
            </a:rPr>
            <a:t> </a:t>
          </a:r>
          <a:r>
            <a:rPr lang="es-ES" sz="1600" b="1" baseline="0">
              <a:solidFill>
                <a:schemeClr val="tx1"/>
              </a:solidFill>
              <a:effectLst>
                <a:glow rad="63500">
                  <a:schemeClr val="accent2">
                    <a:satMod val="175000"/>
                    <a:alpha val="40000"/>
                  </a:schemeClr>
                </a:glow>
              </a:effectLst>
              <a:latin typeface="Arial Narrow" panose="020B0606020202030204" pitchFamily="34" charset="0"/>
            </a:rPr>
            <a:t>energía</a:t>
          </a:r>
          <a:r>
            <a:rPr lang="es-ES" sz="1600" b="1" baseline="0">
              <a:solidFill>
                <a:schemeClr val="tx1"/>
              </a:solidFill>
              <a:latin typeface="Arial Narrow" panose="020B0606020202030204" pitchFamily="34" charset="0"/>
            </a:rPr>
            <a:t>  sin </a:t>
          </a:r>
          <a:r>
            <a:rPr lang="es-ES" sz="1600" b="1" baseline="0">
              <a:solidFill>
                <a:schemeClr val="tx1"/>
              </a:solidFill>
              <a:effectLst>
                <a:glow rad="139700">
                  <a:schemeClr val="accent4">
                    <a:satMod val="175000"/>
                    <a:alpha val="40000"/>
                  </a:schemeClr>
                </a:glow>
              </a:effectLst>
              <a:latin typeface="Arial Narrow" panose="020B0606020202030204" pitchFamily="34" charset="0"/>
            </a:rPr>
            <a:t>control</a:t>
          </a:r>
          <a:r>
            <a:rPr lang="es-ES" sz="1400" b="1" baseline="0">
              <a:solidFill>
                <a:schemeClr val="tx1"/>
              </a:solidFill>
              <a:latin typeface="Arial Narrow" panose="020B0606020202030204" pitchFamily="34" charset="0"/>
            </a:rPr>
            <a:t>.</a:t>
          </a:r>
          <a:r>
            <a:rPr lang="es-ES" sz="1600" b="1" baseline="0">
              <a:solidFill>
                <a:schemeClr val="tx1"/>
              </a:solidFill>
              <a:latin typeface="Arial Narrow" panose="020B0606020202030204" pitchFamily="34" charset="0"/>
            </a:rPr>
            <a:t>...te pasará </a:t>
          </a:r>
          <a:r>
            <a:rPr lang="es-ES" sz="1600" b="1" baseline="0">
              <a:solidFill>
                <a:schemeClr val="tx1"/>
              </a:solidFill>
              <a:effectLst>
                <a:glow rad="228600">
                  <a:schemeClr val="accent6">
                    <a:satMod val="175000"/>
                    <a:alpha val="40000"/>
                  </a:schemeClr>
                </a:glow>
              </a:effectLst>
              <a:latin typeface="Arial Narrow" panose="020B0606020202030204" pitchFamily="34" charset="0"/>
            </a:rPr>
            <a:t>factura</a:t>
          </a:r>
          <a:r>
            <a:rPr lang="es-ES" sz="1600" b="1" baseline="0">
              <a:solidFill>
                <a:schemeClr val="bg1"/>
              </a:solidFill>
              <a:latin typeface="Arial Narrow" panose="020B0606020202030204" pitchFamily="34" charset="0"/>
            </a:rPr>
            <a:t>!!</a:t>
          </a:r>
        </a:p>
      </xdr:txBody>
    </xdr:sp>
    <xdr:clientData/>
  </xdr:twoCellAnchor>
  <xdr:twoCellAnchor>
    <xdr:from>
      <xdr:col>17</xdr:col>
      <xdr:colOff>0</xdr:colOff>
      <xdr:row>39</xdr:row>
      <xdr:rowOff>0</xdr:rowOff>
    </xdr:from>
    <xdr:to>
      <xdr:col>22</xdr:col>
      <xdr:colOff>828262</xdr:colOff>
      <xdr:row>40</xdr:row>
      <xdr:rowOff>138097</xdr:rowOff>
    </xdr:to>
    <xdr:sp macro="" textlink="">
      <xdr:nvSpPr>
        <xdr:cNvPr id="57" name="CuadroTexto 56">
          <a:extLst>
            <a:ext uri="{FF2B5EF4-FFF2-40B4-BE49-F238E27FC236}">
              <a16:creationId xmlns:a16="http://schemas.microsoft.com/office/drawing/2014/main" id="{00000000-0008-0000-0700-000039000000}"/>
            </a:ext>
          </a:extLst>
        </xdr:cNvPr>
        <xdr:cNvSpPr txBox="1"/>
      </xdr:nvSpPr>
      <xdr:spPr>
        <a:xfrm>
          <a:off x="13889935" y="5996609"/>
          <a:ext cx="5052392" cy="287184"/>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OMIE Evolution</a:t>
          </a:r>
          <a:r>
            <a:rPr lang="es-ES" sz="1200" baseline="0">
              <a:latin typeface="Arial Narrow" panose="020B0606020202030204" pitchFamily="34" charset="0"/>
            </a:rPr>
            <a:t> vs media futuros (€/MWh)</a:t>
          </a:r>
          <a:endParaRPr lang="es-ES" sz="1200">
            <a:latin typeface="Arial Narrow" panose="020B0606020202030204" pitchFamily="34" charset="0"/>
          </a:endParaRPr>
        </a:p>
      </xdr:txBody>
    </xdr:sp>
    <xdr:clientData/>
  </xdr:twoCellAnchor>
  <xdr:twoCellAnchor>
    <xdr:from>
      <xdr:col>17</xdr:col>
      <xdr:colOff>0</xdr:colOff>
      <xdr:row>26</xdr:row>
      <xdr:rowOff>10990</xdr:rowOff>
    </xdr:from>
    <xdr:to>
      <xdr:col>20</xdr:col>
      <xdr:colOff>0</xdr:colOff>
      <xdr:row>28</xdr:row>
      <xdr:rowOff>0</xdr:rowOff>
    </xdr:to>
    <xdr:sp macro="" textlink="">
      <xdr:nvSpPr>
        <xdr:cNvPr id="58" name="CuadroTexto 57">
          <a:extLst>
            <a:ext uri="{FF2B5EF4-FFF2-40B4-BE49-F238E27FC236}">
              <a16:creationId xmlns:a16="http://schemas.microsoft.com/office/drawing/2014/main" id="{00000000-0008-0000-0700-00003A000000}"/>
            </a:ext>
          </a:extLst>
        </xdr:cNvPr>
        <xdr:cNvSpPr txBox="1"/>
      </xdr:nvSpPr>
      <xdr:spPr>
        <a:xfrm>
          <a:off x="13889935" y="4069468"/>
          <a:ext cx="2534478" cy="287184"/>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 (%)</a:t>
          </a:r>
          <a:endParaRPr lang="es-ES" sz="1200">
            <a:latin typeface="Arial Narrow" panose="020B0606020202030204" pitchFamily="34" charset="0"/>
          </a:endParaRPr>
        </a:p>
      </xdr:txBody>
    </xdr:sp>
    <xdr:clientData/>
  </xdr:twoCellAnchor>
  <xdr:twoCellAnchor>
    <xdr:from>
      <xdr:col>20</xdr:col>
      <xdr:colOff>0</xdr:colOff>
      <xdr:row>26</xdr:row>
      <xdr:rowOff>4778</xdr:rowOff>
    </xdr:from>
    <xdr:to>
      <xdr:col>23</xdr:col>
      <xdr:colOff>0</xdr:colOff>
      <xdr:row>28</xdr:row>
      <xdr:rowOff>0</xdr:rowOff>
    </xdr:to>
    <xdr:sp macro="" textlink="">
      <xdr:nvSpPr>
        <xdr:cNvPr id="59" name="CuadroTexto 58">
          <a:extLst>
            <a:ext uri="{FF2B5EF4-FFF2-40B4-BE49-F238E27FC236}">
              <a16:creationId xmlns:a16="http://schemas.microsoft.com/office/drawing/2014/main" id="{00000000-0008-0000-0700-00003B000000}"/>
            </a:ext>
          </a:extLst>
        </xdr:cNvPr>
        <xdr:cNvSpPr txBox="1"/>
      </xdr:nvSpPr>
      <xdr:spPr>
        <a:xfrm>
          <a:off x="16424413" y="4063256"/>
          <a:ext cx="2534478" cy="29339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Demanda real (GWh) </a:t>
          </a:r>
          <a:endParaRPr lang="es-ES" sz="1200">
            <a:latin typeface="Arial Narrow" panose="020B0606020202030204" pitchFamily="34" charset="0"/>
          </a:endParaRPr>
        </a:p>
      </xdr:txBody>
    </xdr:sp>
    <xdr:clientData/>
  </xdr:twoCellAnchor>
  <xdr:twoCellAnchor>
    <xdr:from>
      <xdr:col>20</xdr:col>
      <xdr:colOff>186422</xdr:colOff>
      <xdr:row>27</xdr:row>
      <xdr:rowOff>145581</xdr:rowOff>
    </xdr:from>
    <xdr:to>
      <xdr:col>22</xdr:col>
      <xdr:colOff>621196</xdr:colOff>
      <xdr:row>28</xdr:row>
      <xdr:rowOff>0</xdr:rowOff>
    </xdr:to>
    <xdr:cxnSp macro="">
      <xdr:nvCxnSpPr>
        <xdr:cNvPr id="38" name="Conector recto 37">
          <a:extLst>
            <a:ext uri="{FF2B5EF4-FFF2-40B4-BE49-F238E27FC236}">
              <a16:creationId xmlns:a16="http://schemas.microsoft.com/office/drawing/2014/main" id="{00000000-0008-0000-0700-000026000000}"/>
            </a:ext>
          </a:extLst>
        </xdr:cNvPr>
        <xdr:cNvCxnSpPr/>
      </xdr:nvCxnSpPr>
      <xdr:spPr>
        <a:xfrm>
          <a:off x="16610835" y="4353146"/>
          <a:ext cx="2124426" cy="3506"/>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26</xdr:row>
      <xdr:rowOff>0</xdr:rowOff>
    </xdr:from>
    <xdr:to>
      <xdr:col>23</xdr:col>
      <xdr:colOff>0</xdr:colOff>
      <xdr:row>39</xdr:row>
      <xdr:rowOff>0</xdr:rowOff>
    </xdr:to>
    <xdr:sp macro="" textlink="">
      <xdr:nvSpPr>
        <xdr:cNvPr id="37" name="Rectángulo 36">
          <a:extLst>
            <a:ext uri="{FF2B5EF4-FFF2-40B4-BE49-F238E27FC236}">
              <a16:creationId xmlns:a16="http://schemas.microsoft.com/office/drawing/2014/main" id="{00000000-0008-0000-0700-000025000000}"/>
            </a:ext>
          </a:extLst>
        </xdr:cNvPr>
        <xdr:cNvSpPr/>
      </xdr:nvSpPr>
      <xdr:spPr>
        <a:xfrm>
          <a:off x="16424413" y="4058478"/>
          <a:ext cx="2534478" cy="1938131"/>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39</xdr:row>
      <xdr:rowOff>0</xdr:rowOff>
    </xdr:from>
    <xdr:to>
      <xdr:col>23</xdr:col>
      <xdr:colOff>0</xdr:colOff>
      <xdr:row>53</xdr:row>
      <xdr:rowOff>0</xdr:rowOff>
    </xdr:to>
    <xdr:sp macro="" textlink="">
      <xdr:nvSpPr>
        <xdr:cNvPr id="45" name="Rectángulo 44">
          <a:extLst>
            <a:ext uri="{FF2B5EF4-FFF2-40B4-BE49-F238E27FC236}">
              <a16:creationId xmlns:a16="http://schemas.microsoft.com/office/drawing/2014/main" id="{00000000-0008-0000-0700-00002D000000}"/>
            </a:ext>
          </a:extLst>
        </xdr:cNvPr>
        <xdr:cNvSpPr/>
      </xdr:nvSpPr>
      <xdr:spPr>
        <a:xfrm>
          <a:off x="13889935" y="5996609"/>
          <a:ext cx="5068956" cy="208721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0</xdr:colOff>
      <xdr:row>14</xdr:row>
      <xdr:rowOff>0</xdr:rowOff>
    </xdr:from>
    <xdr:to>
      <xdr:col>23</xdr:col>
      <xdr:colOff>0</xdr:colOff>
      <xdr:row>26</xdr:row>
      <xdr:rowOff>0</xdr:rowOff>
    </xdr:to>
    <xdr:sp macro="" textlink="">
      <xdr:nvSpPr>
        <xdr:cNvPr id="29" name="Rectángulo 28">
          <a:extLst>
            <a:ext uri="{FF2B5EF4-FFF2-40B4-BE49-F238E27FC236}">
              <a16:creationId xmlns:a16="http://schemas.microsoft.com/office/drawing/2014/main" id="{00000000-0008-0000-0700-00001D000000}"/>
            </a:ext>
          </a:extLst>
        </xdr:cNvPr>
        <xdr:cNvSpPr/>
      </xdr:nvSpPr>
      <xdr:spPr>
        <a:xfrm>
          <a:off x="16424413" y="2269435"/>
          <a:ext cx="2534478" cy="1789043"/>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12</xdr:row>
      <xdr:rowOff>0</xdr:rowOff>
    </xdr:from>
    <xdr:to>
      <xdr:col>20</xdr:col>
      <xdr:colOff>0</xdr:colOff>
      <xdr:row>26</xdr:row>
      <xdr:rowOff>0</xdr:rowOff>
    </xdr:to>
    <xdr:sp macro="" textlink="">
      <xdr:nvSpPr>
        <xdr:cNvPr id="6" name="Rectángulo 5">
          <a:extLst>
            <a:ext uri="{FF2B5EF4-FFF2-40B4-BE49-F238E27FC236}">
              <a16:creationId xmlns:a16="http://schemas.microsoft.com/office/drawing/2014/main" id="{00000000-0008-0000-0700-000006000000}"/>
            </a:ext>
          </a:extLst>
        </xdr:cNvPr>
        <xdr:cNvSpPr/>
      </xdr:nvSpPr>
      <xdr:spPr>
        <a:xfrm>
          <a:off x="13889935" y="1971261"/>
          <a:ext cx="2534478" cy="208721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5</xdr:row>
      <xdr:rowOff>0</xdr:rowOff>
    </xdr:from>
    <xdr:to>
      <xdr:col>20</xdr:col>
      <xdr:colOff>0</xdr:colOff>
      <xdr:row>11</xdr:row>
      <xdr:rowOff>149086</xdr:rowOff>
    </xdr:to>
    <xdr:sp macro="" textlink="">
      <xdr:nvSpPr>
        <xdr:cNvPr id="24" name="Rectángulo 23">
          <a:extLst>
            <a:ext uri="{FF2B5EF4-FFF2-40B4-BE49-F238E27FC236}">
              <a16:creationId xmlns:a16="http://schemas.microsoft.com/office/drawing/2014/main" id="{00000000-0008-0000-0700-000018000000}"/>
            </a:ext>
          </a:extLst>
        </xdr:cNvPr>
        <xdr:cNvSpPr/>
      </xdr:nvSpPr>
      <xdr:spPr>
        <a:xfrm>
          <a:off x="13749130" y="745435"/>
          <a:ext cx="2103783" cy="1225825"/>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xdr:colOff>
      <xdr:row>5</xdr:row>
      <xdr:rowOff>0</xdr:rowOff>
    </xdr:from>
    <xdr:to>
      <xdr:col>23</xdr:col>
      <xdr:colOff>1</xdr:colOff>
      <xdr:row>14</xdr:row>
      <xdr:rowOff>0</xdr:rowOff>
    </xdr:to>
    <xdr:sp macro="" textlink="">
      <xdr:nvSpPr>
        <xdr:cNvPr id="55" name="Rectángulo 54">
          <a:extLst>
            <a:ext uri="{FF2B5EF4-FFF2-40B4-BE49-F238E27FC236}">
              <a16:creationId xmlns:a16="http://schemas.microsoft.com/office/drawing/2014/main" id="{00000000-0008-0000-0700-000037000000}"/>
            </a:ext>
          </a:extLst>
        </xdr:cNvPr>
        <xdr:cNvSpPr/>
      </xdr:nvSpPr>
      <xdr:spPr>
        <a:xfrm>
          <a:off x="16383001" y="745435"/>
          <a:ext cx="2534478" cy="1524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101618</xdr:colOff>
      <xdr:row>15</xdr:row>
      <xdr:rowOff>147495</xdr:rowOff>
    </xdr:from>
    <xdr:to>
      <xdr:col>23</xdr:col>
      <xdr:colOff>0</xdr:colOff>
      <xdr:row>16</xdr:row>
      <xdr:rowOff>0</xdr:rowOff>
    </xdr:to>
    <xdr:cxnSp macro="">
      <xdr:nvCxnSpPr>
        <xdr:cNvPr id="30" name="Conector recto 29">
          <a:extLst>
            <a:ext uri="{FF2B5EF4-FFF2-40B4-BE49-F238E27FC236}">
              <a16:creationId xmlns:a16="http://schemas.microsoft.com/office/drawing/2014/main" id="{00000000-0008-0000-0700-00001E000000}"/>
            </a:ext>
          </a:extLst>
        </xdr:cNvPr>
        <xdr:cNvCxnSpPr/>
      </xdr:nvCxnSpPr>
      <xdr:spPr>
        <a:xfrm>
          <a:off x="16484618" y="2566017"/>
          <a:ext cx="2432860" cy="1592"/>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82825</xdr:colOff>
      <xdr:row>40</xdr:row>
      <xdr:rowOff>124239</xdr:rowOff>
    </xdr:from>
    <xdr:to>
      <xdr:col>22</xdr:col>
      <xdr:colOff>538370</xdr:colOff>
      <xdr:row>40</xdr:row>
      <xdr:rowOff>140804</xdr:rowOff>
    </xdr:to>
    <xdr:cxnSp macro="">
      <xdr:nvCxnSpPr>
        <xdr:cNvPr id="25" name="Conector recto 24">
          <a:extLst>
            <a:ext uri="{FF2B5EF4-FFF2-40B4-BE49-F238E27FC236}">
              <a16:creationId xmlns:a16="http://schemas.microsoft.com/office/drawing/2014/main" id="{00000000-0008-0000-0700-000019000000}"/>
            </a:ext>
          </a:extLst>
        </xdr:cNvPr>
        <xdr:cNvCxnSpPr/>
      </xdr:nvCxnSpPr>
      <xdr:spPr>
        <a:xfrm flipV="1">
          <a:off x="13972760" y="6269935"/>
          <a:ext cx="4679675" cy="16565"/>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53</xdr:row>
      <xdr:rowOff>1</xdr:rowOff>
    </xdr:from>
    <xdr:to>
      <xdr:col>23</xdr:col>
      <xdr:colOff>0</xdr:colOff>
      <xdr:row>59</xdr:row>
      <xdr:rowOff>1</xdr:rowOff>
    </xdr:to>
    <xdr:sp macro="" textlink="">
      <xdr:nvSpPr>
        <xdr:cNvPr id="60" name="Rectángulo 59">
          <a:extLst>
            <a:ext uri="{FF2B5EF4-FFF2-40B4-BE49-F238E27FC236}">
              <a16:creationId xmlns:a16="http://schemas.microsoft.com/office/drawing/2014/main" id="{00000000-0008-0000-0700-00003C000000}"/>
            </a:ext>
          </a:extLst>
        </xdr:cNvPr>
        <xdr:cNvSpPr/>
      </xdr:nvSpPr>
      <xdr:spPr>
        <a:xfrm>
          <a:off x="12440478" y="8083827"/>
          <a:ext cx="6518413" cy="894522"/>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15</xdr:col>
      <xdr:colOff>0</xdr:colOff>
      <xdr:row>53</xdr:row>
      <xdr:rowOff>0</xdr:rowOff>
    </xdr:from>
    <xdr:to>
      <xdr:col>24</xdr:col>
      <xdr:colOff>0</xdr:colOff>
      <xdr:row>59</xdr:row>
      <xdr:rowOff>0</xdr:rowOff>
    </xdr:to>
    <xdr:pic>
      <xdr:nvPicPr>
        <xdr:cNvPr id="62" name="Imagen 61">
          <a:extLst>
            <a:ext uri="{FF2B5EF4-FFF2-40B4-BE49-F238E27FC236}">
              <a16:creationId xmlns:a16="http://schemas.microsoft.com/office/drawing/2014/main" id="{00000000-0008-0000-0700-00003E000000}"/>
            </a:ext>
          </a:extLst>
        </xdr:cNvPr>
        <xdr:cNvPicPr>
          <a:picLocks noChangeAspect="1"/>
        </xdr:cNvPicPr>
      </xdr:nvPicPr>
      <xdr:blipFill rotWithShape="1">
        <a:blip xmlns:r="http://schemas.openxmlformats.org/officeDocument/2006/relationships" r:embed="rId12">
          <a:extLst>
            <a:ext uri="{28A0092B-C50C-407E-A947-70E740481C1C}">
              <a14:useLocalDpi xmlns:a14="http://schemas.microsoft.com/office/drawing/2010/main" val="0"/>
            </a:ext>
          </a:extLst>
        </a:blip>
        <a:srcRect l="-127" t="3883" r="-12198" b="43692"/>
        <a:stretch/>
      </xdr:blipFill>
      <xdr:spPr>
        <a:xfrm>
          <a:off x="12440478" y="8083826"/>
          <a:ext cx="7321826" cy="894522"/>
        </a:xfrm>
        <a:prstGeom prst="rect">
          <a:avLst/>
        </a:prstGeom>
      </xdr:spPr>
    </xdr:pic>
    <xdr:clientData/>
  </xdr:twoCellAnchor>
  <xdr:twoCellAnchor>
    <xdr:from>
      <xdr:col>14</xdr:col>
      <xdr:colOff>761999</xdr:colOff>
      <xdr:row>53</xdr:row>
      <xdr:rowOff>1</xdr:rowOff>
    </xdr:from>
    <xdr:to>
      <xdr:col>22</xdr:col>
      <xdr:colOff>844825</xdr:colOff>
      <xdr:row>59</xdr:row>
      <xdr:rowOff>1</xdr:rowOff>
    </xdr:to>
    <xdr:sp macro="" textlink="">
      <xdr:nvSpPr>
        <xdr:cNvPr id="63" name="Rectángulo 62">
          <a:extLst>
            <a:ext uri="{FF2B5EF4-FFF2-40B4-BE49-F238E27FC236}">
              <a16:creationId xmlns:a16="http://schemas.microsoft.com/office/drawing/2014/main" id="{00000000-0008-0000-0700-00003F000000}"/>
            </a:ext>
          </a:extLst>
        </xdr:cNvPr>
        <xdr:cNvSpPr/>
      </xdr:nvSpPr>
      <xdr:spPr>
        <a:xfrm>
          <a:off x="12440477" y="8083827"/>
          <a:ext cx="6518413" cy="894522"/>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15</xdr:col>
      <xdr:colOff>0</xdr:colOff>
      <xdr:row>36</xdr:row>
      <xdr:rowOff>0</xdr:rowOff>
    </xdr:from>
    <xdr:to>
      <xdr:col>17</xdr:col>
      <xdr:colOff>0</xdr:colOff>
      <xdr:row>53</xdr:row>
      <xdr:rowOff>1</xdr:rowOff>
    </xdr:to>
    <xdr:graphicFrame macro="">
      <xdr:nvGraphicFramePr>
        <xdr:cNvPr id="56" name="Gráfico 55">
          <a:extLst>
            <a:ext uri="{FF2B5EF4-FFF2-40B4-BE49-F238E27FC236}">
              <a16:creationId xmlns:a16="http://schemas.microsoft.com/office/drawing/2014/main" id="{00000000-0008-0000-0700-00003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15</xdr:col>
      <xdr:colOff>0</xdr:colOff>
      <xdr:row>36</xdr:row>
      <xdr:rowOff>4778</xdr:rowOff>
    </xdr:from>
    <xdr:to>
      <xdr:col>17</xdr:col>
      <xdr:colOff>0</xdr:colOff>
      <xdr:row>38</xdr:row>
      <xdr:rowOff>0</xdr:rowOff>
    </xdr:to>
    <xdr:sp macro="" textlink="">
      <xdr:nvSpPr>
        <xdr:cNvPr id="33798" name="CuadroTexto 33797">
          <a:extLst>
            <a:ext uri="{FF2B5EF4-FFF2-40B4-BE49-F238E27FC236}">
              <a16:creationId xmlns:a16="http://schemas.microsoft.com/office/drawing/2014/main" id="{00000000-0008-0000-0700-000006840000}"/>
            </a:ext>
          </a:extLst>
        </xdr:cNvPr>
        <xdr:cNvSpPr txBox="1"/>
      </xdr:nvSpPr>
      <xdr:spPr>
        <a:xfrm>
          <a:off x="12440478" y="5554126"/>
          <a:ext cx="1449457" cy="29339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Distribución apuestas </a:t>
          </a:r>
          <a:endParaRPr lang="es-ES" sz="1200">
            <a:latin typeface="Arial Narrow" panose="020B0606020202030204" pitchFamily="34" charset="0"/>
          </a:endParaRPr>
        </a:p>
      </xdr:txBody>
    </xdr:sp>
    <xdr:clientData/>
  </xdr:twoCellAnchor>
  <xdr:twoCellAnchor>
    <xdr:from>
      <xdr:col>15</xdr:col>
      <xdr:colOff>40649</xdr:colOff>
      <xdr:row>38</xdr:row>
      <xdr:rowOff>8089</xdr:rowOff>
    </xdr:from>
    <xdr:to>
      <xdr:col>16</xdr:col>
      <xdr:colOff>737152</xdr:colOff>
      <xdr:row>38</xdr:row>
      <xdr:rowOff>8282</xdr:rowOff>
    </xdr:to>
    <xdr:cxnSp macro="">
      <xdr:nvCxnSpPr>
        <xdr:cNvPr id="33799" name="Conector recto 33798">
          <a:extLst>
            <a:ext uri="{FF2B5EF4-FFF2-40B4-BE49-F238E27FC236}">
              <a16:creationId xmlns:a16="http://schemas.microsoft.com/office/drawing/2014/main" id="{00000000-0008-0000-0700-000007840000}"/>
            </a:ext>
          </a:extLst>
        </xdr:cNvPr>
        <xdr:cNvCxnSpPr/>
      </xdr:nvCxnSpPr>
      <xdr:spPr>
        <a:xfrm>
          <a:off x="12481127" y="5855611"/>
          <a:ext cx="1317699" cy="19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26</xdr:row>
      <xdr:rowOff>1</xdr:rowOff>
    </xdr:from>
    <xdr:to>
      <xdr:col>20</xdr:col>
      <xdr:colOff>0</xdr:colOff>
      <xdr:row>39</xdr:row>
      <xdr:rowOff>0</xdr:rowOff>
    </xdr:to>
    <xdr:sp macro="" textlink="">
      <xdr:nvSpPr>
        <xdr:cNvPr id="52" name="Rectángulo 51">
          <a:extLst>
            <a:ext uri="{FF2B5EF4-FFF2-40B4-BE49-F238E27FC236}">
              <a16:creationId xmlns:a16="http://schemas.microsoft.com/office/drawing/2014/main" id="{00000000-0008-0000-0700-000034000000}"/>
            </a:ext>
          </a:extLst>
        </xdr:cNvPr>
        <xdr:cNvSpPr/>
      </xdr:nvSpPr>
      <xdr:spPr>
        <a:xfrm>
          <a:off x="13889935" y="4058479"/>
          <a:ext cx="2534478" cy="193813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0</xdr:row>
      <xdr:rowOff>0</xdr:rowOff>
    </xdr:from>
    <xdr:to>
      <xdr:col>15</xdr:col>
      <xdr:colOff>0</xdr:colOff>
      <xdr:row>59</xdr:row>
      <xdr:rowOff>0</xdr:rowOff>
    </xdr:to>
    <xdr:sp macro="" textlink="">
      <xdr:nvSpPr>
        <xdr:cNvPr id="48" name="Rectángulo 47">
          <a:extLst>
            <a:ext uri="{FF2B5EF4-FFF2-40B4-BE49-F238E27FC236}">
              <a16:creationId xmlns:a16="http://schemas.microsoft.com/office/drawing/2014/main" id="{00000000-0008-0000-0700-000030000000}"/>
            </a:ext>
          </a:extLst>
        </xdr:cNvPr>
        <xdr:cNvSpPr/>
      </xdr:nvSpPr>
      <xdr:spPr>
        <a:xfrm>
          <a:off x="7636565" y="0"/>
          <a:ext cx="4803913" cy="8978348"/>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17</xdr:col>
      <xdr:colOff>82825</xdr:colOff>
      <xdr:row>28</xdr:row>
      <xdr:rowOff>66261</xdr:rowOff>
    </xdr:from>
    <xdr:to>
      <xdr:col>18</xdr:col>
      <xdr:colOff>738854</xdr:colOff>
      <xdr:row>38</xdr:row>
      <xdr:rowOff>81684</xdr:rowOff>
    </xdr:to>
    <xdr:pic>
      <xdr:nvPicPr>
        <xdr:cNvPr id="2" name="Imagen 1">
          <a:extLst>
            <a:ext uri="{FF2B5EF4-FFF2-40B4-BE49-F238E27FC236}">
              <a16:creationId xmlns:a16="http://schemas.microsoft.com/office/drawing/2014/main" id="{C212A36F-9408-2755-F19B-E3BF80D57509}"/>
            </a:ext>
          </a:extLst>
        </xdr:cNvPr>
        <xdr:cNvPicPr>
          <a:picLocks noChangeAspect="1"/>
        </xdr:cNvPicPr>
      </xdr:nvPicPr>
      <xdr:blipFill>
        <a:blip xmlns:r="http://schemas.openxmlformats.org/officeDocument/2006/relationships" r:embed="rId14"/>
        <a:stretch>
          <a:fillRect/>
        </a:stretch>
      </xdr:blipFill>
      <xdr:spPr>
        <a:xfrm>
          <a:off x="13972760" y="4422913"/>
          <a:ext cx="1500855" cy="1506293"/>
        </a:xfrm>
        <a:prstGeom prst="rect">
          <a:avLst/>
        </a:prstGeom>
      </xdr:spPr>
    </xdr:pic>
    <xdr:clientData/>
  </xdr:twoCellAnchor>
</xdr:wsDr>
</file>

<file path=xl/drawings/drawing11.xml><?xml version="1.0" encoding="utf-8"?>
<c:userShapes xmlns:c="http://schemas.openxmlformats.org/drawingml/2006/chart">
  <cdr:relSizeAnchor xmlns:cdr="http://schemas.openxmlformats.org/drawingml/2006/chartDrawing">
    <cdr:from>
      <cdr:x>0.86213</cdr:x>
      <cdr:y>0.01431</cdr:y>
    </cdr:from>
    <cdr:to>
      <cdr:x>0.98142</cdr:x>
      <cdr:y>0.15577</cdr:y>
    </cdr:to>
    <cdr:sp macro="" textlink="jun!$B$3">
      <cdr:nvSpPr>
        <cdr:cNvPr id="3" name="CuadroTexto 43">
          <a:extLst xmlns:a="http://schemas.openxmlformats.org/drawingml/2006/main">
            <a:ext uri="{FF2B5EF4-FFF2-40B4-BE49-F238E27FC236}">
              <a16:creationId xmlns:a16="http://schemas.microsoft.com/office/drawing/2014/main" id="{00000000-0008-0000-0400-00002C000000}"/>
            </a:ext>
          </a:extLst>
        </cdr:cNvPr>
        <cdr:cNvSpPr txBox="1"/>
      </cdr:nvSpPr>
      <cdr:spPr>
        <a:xfrm xmlns:a="http://schemas.openxmlformats.org/drawingml/2006/main">
          <a:off x="4080627" y="21494"/>
          <a:ext cx="564641" cy="212475"/>
        </a:xfrm>
        <a:prstGeom xmlns:a="http://schemas.openxmlformats.org/drawingml/2006/main" prst="rect">
          <a:avLst/>
        </a:prstGeom>
        <a:solidFill xmlns:a="http://schemas.openxmlformats.org/drawingml/2006/main">
          <a:schemeClr val="bg1"/>
        </a:solidFill>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A363394-EB0C-4972-9D53-DE472227AC0C}" type="TxLink">
            <a:rPr lang="en-US" sz="1400" b="1" i="0" u="none" strike="noStrike">
              <a:solidFill>
                <a:schemeClr val="tx1">
                  <a:lumMod val="75000"/>
                  <a:lumOff val="25000"/>
                </a:schemeClr>
              </a:solidFill>
              <a:latin typeface="Arial Narrow" panose="020B0606020202030204" pitchFamily="34" charset="0"/>
              <a:ea typeface="+mn-ea"/>
              <a:cs typeface="Arial"/>
            </a:rPr>
            <a:pPr marL="0" indent="0" algn="r"/>
            <a:t>52,05</a:t>
          </a:fld>
          <a:endParaRPr lang="es-ES" sz="4000" b="1" i="0" u="none" strike="noStrike">
            <a:solidFill>
              <a:schemeClr val="tx1">
                <a:lumMod val="75000"/>
                <a:lumOff val="25000"/>
              </a:schemeClr>
            </a:solidFill>
            <a:latin typeface="Arial Narrow" panose="020B0606020202030204" pitchFamily="34" charset="0"/>
            <a:ea typeface="+mn-ea"/>
            <a:cs typeface="Arial"/>
          </a:endParaRPr>
        </a:p>
      </cdr:txBody>
    </cdr:sp>
  </cdr:relSizeAnchor>
  <cdr:relSizeAnchor xmlns:cdr="http://schemas.openxmlformats.org/drawingml/2006/chartDrawing">
    <cdr:from>
      <cdr:x>0.5662</cdr:x>
      <cdr:y>0.03424</cdr:y>
    </cdr:from>
    <cdr:to>
      <cdr:x>0.90211</cdr:x>
      <cdr:y>0.13726</cdr:y>
    </cdr:to>
    <cdr:sp macro="" textlink="">
      <cdr:nvSpPr>
        <cdr:cNvPr id="4" name="CuadroTexto 3">
          <a:extLst xmlns:a="http://schemas.openxmlformats.org/drawingml/2006/main">
            <a:ext uri="{FF2B5EF4-FFF2-40B4-BE49-F238E27FC236}">
              <a16:creationId xmlns:a16="http://schemas.microsoft.com/office/drawing/2014/main" id="{DAD9CCA0-51B9-190C-4A01-68CA8A53D550}"/>
            </a:ext>
          </a:extLst>
        </cdr:cNvPr>
        <cdr:cNvSpPr txBox="1"/>
      </cdr:nvSpPr>
      <cdr:spPr>
        <a:xfrm xmlns:a="http://schemas.openxmlformats.org/drawingml/2006/main">
          <a:off x="2731509" y="72313"/>
          <a:ext cx="1620530" cy="217579"/>
        </a:xfrm>
        <a:prstGeom xmlns:a="http://schemas.openxmlformats.org/drawingml/2006/main" prst="rect">
          <a:avLst/>
        </a:prstGeom>
        <a:noFill xmlns:a="http://schemas.openxmlformats.org/drawingml/2006/main"/>
      </cdr:spPr>
      <cdr:txBody>
        <a:bodyPr xmlns:a="http://schemas.openxmlformats.org/drawingml/2006/main" vertOverflow="clip" wrap="square" rtlCol="0"/>
        <a:lstStyle xmlns:a="http://schemas.openxmlformats.org/drawingml/2006/main"/>
        <a:p xmlns:a="http://schemas.openxmlformats.org/drawingml/2006/main">
          <a:pPr algn="r"/>
          <a:r>
            <a:rPr lang="es-ES" sz="1000">
              <a:solidFill>
                <a:schemeClr val="tx1">
                  <a:lumMod val="50000"/>
                  <a:lumOff val="50000"/>
                </a:schemeClr>
              </a:solidFill>
              <a:latin typeface="Arial Narrow" panose="020B0606020202030204" pitchFamily="34" charset="0"/>
            </a:rPr>
            <a:t>omie</a:t>
          </a:r>
          <a:r>
            <a:rPr lang="es-ES" sz="1000" baseline="0">
              <a:solidFill>
                <a:schemeClr val="tx1">
                  <a:lumMod val="50000"/>
                  <a:lumOff val="50000"/>
                </a:schemeClr>
              </a:solidFill>
              <a:latin typeface="Arial Narrow" panose="020B0606020202030204" pitchFamily="34" charset="0"/>
            </a:rPr>
            <a:t> media mensual €/MWh:</a:t>
          </a:r>
          <a:endParaRPr lang="es-ES" sz="1000">
            <a:solidFill>
              <a:schemeClr val="tx1">
                <a:lumMod val="50000"/>
                <a:lumOff val="50000"/>
              </a:schemeClr>
            </a:solidFill>
            <a:latin typeface="Arial Narrow" panose="020B0606020202030204" pitchFamily="34" charset="0"/>
          </a:endParaRPr>
        </a:p>
      </cdr:txBody>
    </cdr:sp>
  </cdr:relSizeAnchor>
  <cdr:relSizeAnchor xmlns:cdr="http://schemas.openxmlformats.org/drawingml/2006/chartDrawing">
    <cdr:from>
      <cdr:x>0</cdr:x>
      <cdr:y>0.019</cdr:y>
    </cdr:from>
    <cdr:to>
      <cdr:x>0.53156</cdr:x>
      <cdr:y>0.18834</cdr:y>
    </cdr:to>
    <cdr:sp macro="" textlink="">
      <cdr:nvSpPr>
        <cdr:cNvPr id="5" name="CuadroTexto 1">
          <a:extLst xmlns:a="http://schemas.openxmlformats.org/drawingml/2006/main">
            <a:ext uri="{FF2B5EF4-FFF2-40B4-BE49-F238E27FC236}">
              <a16:creationId xmlns:a16="http://schemas.microsoft.com/office/drawing/2014/main" id="{6FC5F3E6-C355-7EB9-1B98-ED19864F8102}"/>
            </a:ext>
          </a:extLst>
        </cdr:cNvPr>
        <cdr:cNvSpPr txBox="1"/>
      </cdr:nvSpPr>
      <cdr:spPr>
        <a:xfrm xmlns:a="http://schemas.openxmlformats.org/drawingml/2006/main">
          <a:off x="0" y="35095"/>
          <a:ext cx="2612845" cy="312773"/>
        </a:xfrm>
        <a:prstGeom xmlns:a="http://schemas.openxmlformats.org/drawingml/2006/main" prst="rect">
          <a:avLst/>
        </a:prstGeom>
        <a:noFill xmlns:a="http://schemas.openxmlformats.org/drawingml/2006/mai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r"/>
          <a:r>
            <a:rPr lang="es-ES" sz="1000" baseline="0">
              <a:solidFill>
                <a:schemeClr val="tx1">
                  <a:lumMod val="50000"/>
                  <a:lumOff val="50000"/>
                </a:schemeClr>
              </a:solidFill>
              <a:latin typeface="Arial Narrow" panose="020B0606020202030204" pitchFamily="34" charset="0"/>
            </a:rPr>
            <a:t>Media futuros últimos 5 días mayo €/MWh:  </a:t>
          </a:r>
          <a:r>
            <a:rPr lang="es-ES" sz="1400" b="1" baseline="0">
              <a:solidFill>
                <a:srgbClr val="C00000"/>
              </a:solidFill>
              <a:latin typeface="Arial Narrow" panose="020B0606020202030204" pitchFamily="34" charset="0"/>
            </a:rPr>
            <a:t>48,41</a:t>
          </a:r>
          <a:endParaRPr lang="es-ES" sz="1000" b="1">
            <a:solidFill>
              <a:srgbClr val="C00000"/>
            </a:solidFill>
            <a:latin typeface="Arial Narrow" panose="020B0606020202030204" pitchFamily="34" charset="0"/>
          </a:endParaRPr>
        </a:p>
      </cdr:txBody>
    </cdr:sp>
  </cdr:relSizeAnchor>
</c:userShapes>
</file>

<file path=xl/drawings/drawing12.xml><?xml version="1.0" encoding="utf-8"?>
<xdr:wsDr xmlns:xdr="http://schemas.openxmlformats.org/drawingml/2006/spreadsheetDrawing" xmlns:a="http://schemas.openxmlformats.org/drawingml/2006/main">
  <xdr:twoCellAnchor>
    <xdr:from>
      <xdr:col>7</xdr:col>
      <xdr:colOff>57150</xdr:colOff>
      <xdr:row>2</xdr:row>
      <xdr:rowOff>28576</xdr:rowOff>
    </xdr:from>
    <xdr:to>
      <xdr:col>17</xdr:col>
      <xdr:colOff>171450</xdr:colOff>
      <xdr:row>35</xdr:row>
      <xdr:rowOff>76200</xdr:rowOff>
    </xdr:to>
    <xdr:graphicFrame macro="">
      <xdr:nvGraphicFramePr>
        <xdr:cNvPr id="2" name="Gráfico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390525</xdr:colOff>
      <xdr:row>5</xdr:row>
      <xdr:rowOff>104775</xdr:rowOff>
    </xdr:from>
    <xdr:to>
      <xdr:col>22</xdr:col>
      <xdr:colOff>304800</xdr:colOff>
      <xdr:row>35</xdr:row>
      <xdr:rowOff>28575</xdr:rowOff>
    </xdr:to>
    <mc:AlternateContent xmlns:mc="http://schemas.openxmlformats.org/markup-compatibility/2006">
      <mc:Choice xmlns:cx1="http://schemas.microsoft.com/office/drawing/2015/9/8/chartex" Requires="cx1">
        <xdr:graphicFrame macro="">
          <xdr:nvGraphicFramePr>
            <xdr:cNvPr id="3" name="Gráfico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14582775" y="866775"/>
              <a:ext cx="3724275" cy="4495800"/>
            </a:xfrm>
            <a:prstGeom prst="rect">
              <a:avLst/>
            </a:prstGeom>
            <a:solidFill>
              <a:prstClr val="white"/>
            </a:solidFill>
            <a:ln w="1">
              <a:solidFill>
                <a:prstClr val="green"/>
              </a:solidFill>
            </a:ln>
          </xdr:spPr>
          <xdr:txBody>
            <a:bodyPr vertOverflow="clip" horzOverflow="clip"/>
            <a:lstStyle/>
            <a:p>
              <a:r>
                <a:rPr lang="es-ES" sz="1100"/>
                <a:t>Este gráfico no está disponible en su versión de Excel.
Si edita esta forma o guarda el libro en un formato de archivo diferente, el gráfico no se podrá utilizar.</a:t>
              </a:r>
            </a:p>
          </xdr:txBody>
        </xdr:sp>
      </mc:Fallback>
    </mc:AlternateContent>
    <xdr:clientData/>
  </xdr:twoCellAnchor>
</xdr:wsDr>
</file>

<file path=xl/drawings/drawing13.xml><?xml version="1.0" encoding="utf-8"?>
<xdr:wsDr xmlns:xdr="http://schemas.openxmlformats.org/drawingml/2006/spreadsheetDrawing" xmlns:a="http://schemas.openxmlformats.org/drawingml/2006/main">
  <xdr:twoCellAnchor>
    <xdr:from>
      <xdr:col>15</xdr:col>
      <xdr:colOff>0</xdr:colOff>
      <xdr:row>4</xdr:row>
      <xdr:rowOff>0</xdr:rowOff>
    </xdr:from>
    <xdr:to>
      <xdr:col>17</xdr:col>
      <xdr:colOff>0</xdr:colOff>
      <xdr:row>5</xdr:row>
      <xdr:rowOff>0</xdr:rowOff>
    </xdr:to>
    <xdr:sp macro="" textlink="">
      <xdr:nvSpPr>
        <xdr:cNvPr id="2" name="Rectángulo 1">
          <a:extLst>
            <a:ext uri="{FF2B5EF4-FFF2-40B4-BE49-F238E27FC236}">
              <a16:creationId xmlns:a16="http://schemas.microsoft.com/office/drawing/2014/main" id="{00000000-0008-0000-0900-000002000000}"/>
            </a:ext>
          </a:extLst>
        </xdr:cNvPr>
        <xdr:cNvSpPr/>
      </xdr:nvSpPr>
      <xdr:spPr>
        <a:xfrm>
          <a:off x="12178862" y="604345"/>
          <a:ext cx="1524000" cy="151086"/>
        </a:xfrm>
        <a:prstGeom prst="rect">
          <a:avLst/>
        </a:prstGeom>
        <a:noFill/>
        <a:ln w="190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453258</xdr:colOff>
      <xdr:row>21</xdr:row>
      <xdr:rowOff>118242</xdr:rowOff>
    </xdr:from>
    <xdr:to>
      <xdr:col>18</xdr:col>
      <xdr:colOff>453258</xdr:colOff>
      <xdr:row>22</xdr:row>
      <xdr:rowOff>118241</xdr:rowOff>
    </xdr:to>
    <xdr:sp macro="" textlink="">
      <xdr:nvSpPr>
        <xdr:cNvPr id="3" name="Rectángulo 2">
          <a:extLst>
            <a:ext uri="{FF2B5EF4-FFF2-40B4-BE49-F238E27FC236}">
              <a16:creationId xmlns:a16="http://schemas.microsoft.com/office/drawing/2014/main" id="{00000000-0008-0000-0900-000003000000}"/>
            </a:ext>
          </a:extLst>
        </xdr:cNvPr>
        <xdr:cNvSpPr/>
      </xdr:nvSpPr>
      <xdr:spPr>
        <a:xfrm>
          <a:off x="14162689" y="3291052"/>
          <a:ext cx="762000" cy="151086"/>
        </a:xfrm>
        <a:prstGeom prst="rect">
          <a:avLst/>
        </a:prstGeom>
        <a:noFill/>
        <a:ln w="190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15</xdr:col>
      <xdr:colOff>0</xdr:colOff>
      <xdr:row>21</xdr:row>
      <xdr:rowOff>1</xdr:rowOff>
    </xdr:from>
    <xdr:to>
      <xdr:col>17</xdr:col>
      <xdr:colOff>0</xdr:colOff>
      <xdr:row>24</xdr:row>
      <xdr:rowOff>0</xdr:rowOff>
    </xdr:to>
    <xdr:sp macro="" textlink="">
      <xdr:nvSpPr>
        <xdr:cNvPr id="4" name="Rectángulo 3">
          <a:extLst>
            <a:ext uri="{FF2B5EF4-FFF2-40B4-BE49-F238E27FC236}">
              <a16:creationId xmlns:a16="http://schemas.microsoft.com/office/drawing/2014/main" id="{00000000-0008-0000-0900-000004000000}"/>
            </a:ext>
          </a:extLst>
        </xdr:cNvPr>
        <xdr:cNvSpPr/>
      </xdr:nvSpPr>
      <xdr:spPr>
        <a:xfrm>
          <a:off x="12185431" y="3172811"/>
          <a:ext cx="1524000" cy="453258"/>
        </a:xfrm>
        <a:prstGeom prst="rect">
          <a:avLst/>
        </a:prstGeom>
        <a:noFill/>
        <a:ln w="190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10</xdr:col>
      <xdr:colOff>209550</xdr:colOff>
      <xdr:row>2</xdr:row>
      <xdr:rowOff>95248</xdr:rowOff>
    </xdr:from>
    <xdr:to>
      <xdr:col>28</xdr:col>
      <xdr:colOff>247650</xdr:colOff>
      <xdr:row>64</xdr:row>
      <xdr:rowOff>104775</xdr:rowOff>
    </xdr:to>
    <xdr:graphicFrame macro="">
      <xdr:nvGraphicFramePr>
        <xdr:cNvPr id="4" name="Gráfico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266700</xdr:colOff>
      <xdr:row>92</xdr:row>
      <xdr:rowOff>57150</xdr:rowOff>
    </xdr:from>
    <xdr:to>
      <xdr:col>28</xdr:col>
      <xdr:colOff>442595</xdr:colOff>
      <xdr:row>104</xdr:row>
      <xdr:rowOff>23495</xdr:rowOff>
    </xdr:to>
    <xdr:sp macro="" textlink="">
      <xdr:nvSpPr>
        <xdr:cNvPr id="3" name="Cuadro de texto 1">
          <a:extLst>
            <a:ext uri="{FF2B5EF4-FFF2-40B4-BE49-F238E27FC236}">
              <a16:creationId xmlns:a16="http://schemas.microsoft.com/office/drawing/2014/main" id="{00000000-0008-0000-0C00-000003000000}"/>
            </a:ext>
          </a:extLst>
        </xdr:cNvPr>
        <xdr:cNvSpPr txBox="1"/>
      </xdr:nvSpPr>
      <xdr:spPr>
        <a:xfrm rot="19338656">
          <a:off x="10591800" y="9353550"/>
          <a:ext cx="12367895" cy="1795145"/>
        </a:xfrm>
        <a:prstGeom prst="rect">
          <a:avLst/>
        </a:prstGeom>
        <a:noFill/>
        <a:ln>
          <a:noFill/>
        </a:ln>
      </xdr:spPr>
      <xdr:txBody>
        <a:bodyPr rot="0" spcFirstLastPara="0" vert="horz" wrap="square" lIns="91440" tIns="45720" rIns="91440" bIns="45720" numCol="1" spcCol="0" rtlCol="0" fromWordArt="0" anchor="t" anchorCtr="0" forceAA="0" compatLnSpc="1">
          <a:prstTxWarp prst="textNoShape">
            <a:avLst/>
          </a:prstTxWarp>
          <a:spAutoFit/>
        </a:bodyPr>
        <a:lstStyle/>
        <a:p>
          <a:pPr algn="ctr">
            <a:lnSpc>
              <a:spcPct val="107000"/>
            </a:lnSpc>
            <a:spcAft>
              <a:spcPts val="800"/>
            </a:spcAft>
          </a:pPr>
          <a:r>
            <a:rPr lang="es-ES" sz="9000" b="1" kern="100">
              <a:ln w="10160" cap="flat" cmpd="sng" algn="ctr">
                <a:solidFill>
                  <a:srgbClr val="5B9BD5">
                    <a:alpha val="15000"/>
                  </a:srgbClr>
                </a:solidFill>
                <a:prstDash val="solid"/>
                <a:round/>
              </a:ln>
              <a:noFill/>
              <a:effectLst>
                <a:outerShdw blurRad="38100" dist="22860" dir="5400000" algn="tl">
                  <a:srgbClr val="000000">
                    <a:alpha val="30000"/>
                  </a:srgbClr>
                </a:outerShdw>
              </a:effectLst>
              <a:latin typeface="Calibri" panose="020F0502020204030204" pitchFamily="34" charset="0"/>
              <a:ea typeface="Calibri" panose="020F0502020204030204" pitchFamily="34" charset="0"/>
              <a:cs typeface="Times New Roman" panose="02020603050405020304" pitchFamily="18" charset="0"/>
            </a:rPr>
            <a:t>Powered by Jose Vidal</a:t>
          </a:r>
          <a:endParaRPr lang="es-ES" sz="1100" kern="100">
            <a:effectLst/>
            <a:latin typeface="Calibri" panose="020F0502020204030204" pitchFamily="34" charset="0"/>
            <a:ea typeface="Calibri" panose="020F0502020204030204" pitchFamily="34" charset="0"/>
            <a:cs typeface="Times New Roman" panose="02020603050405020304" pitchFamily="18" charset="0"/>
          </a:endParaRPr>
        </a:p>
      </xdr:txBody>
    </xdr:sp>
    <xdr:clientData/>
  </xdr:twoCellAnchor>
</xdr:wsDr>
</file>

<file path=xl/drawings/drawing15.xml><?xml version="1.0" encoding="utf-8"?>
<c:userShapes xmlns:c="http://schemas.openxmlformats.org/drawingml/2006/chart">
  <cdr:relSizeAnchor xmlns:cdr="http://schemas.openxmlformats.org/drawingml/2006/chartDrawing">
    <cdr:from>
      <cdr:x>0.03858</cdr:x>
      <cdr:y>0.01982</cdr:y>
    </cdr:from>
    <cdr:to>
      <cdr:x>0.63131</cdr:x>
      <cdr:y>0.0826</cdr:y>
    </cdr:to>
    <cdr:sp macro="" textlink="">
      <cdr:nvSpPr>
        <cdr:cNvPr id="2" name="CuadroTexto 1">
          <a:extLst xmlns:a="http://schemas.openxmlformats.org/drawingml/2006/main">
            <a:ext uri="{FF2B5EF4-FFF2-40B4-BE49-F238E27FC236}">
              <a16:creationId xmlns:a16="http://schemas.microsoft.com/office/drawing/2014/main" id="{1AD15C85-E4A7-7DEF-2C24-4CF0904102CD}"/>
            </a:ext>
          </a:extLst>
        </cdr:cNvPr>
        <cdr:cNvSpPr txBox="1"/>
      </cdr:nvSpPr>
      <cdr:spPr>
        <a:xfrm xmlns:a="http://schemas.openxmlformats.org/drawingml/2006/main">
          <a:off x="495300" y="171449"/>
          <a:ext cx="7610475" cy="542925"/>
        </a:xfrm>
        <a:prstGeom xmlns:a="http://schemas.openxmlformats.org/drawingml/2006/main" prst="rect">
          <a:avLst/>
        </a:prstGeom>
        <a:solidFill xmlns:a="http://schemas.openxmlformats.org/drawingml/2006/main">
          <a:schemeClr val="accent2">
            <a:lumMod val="20000"/>
            <a:lumOff val="80000"/>
          </a:schemeClr>
        </a:solidFill>
      </cdr:spPr>
      <cdr:txBody>
        <a:bodyPr xmlns:a="http://schemas.openxmlformats.org/drawingml/2006/main" vertOverflow="clip" wrap="square" rtlCol="0" anchor="ctr"/>
        <a:lstStyle xmlns:a="http://schemas.openxmlformats.org/drawingml/2006/main"/>
        <a:p xmlns:a="http://schemas.openxmlformats.org/drawingml/2006/main">
          <a:r>
            <a:rPr lang="es-ES" sz="2800" b="0">
              <a:latin typeface="Arial Narrow" panose="020B0606020202030204" pitchFamily="34" charset="0"/>
            </a:rPr>
            <a:t>Resultados</a:t>
          </a:r>
          <a:r>
            <a:rPr lang="es-ES" sz="2800" b="1" baseline="0">
              <a:latin typeface="Arial Narrow" panose="020B0606020202030204" pitchFamily="34" charset="0"/>
            </a:rPr>
            <a:t> #superporraomie2024 </a:t>
          </a:r>
          <a:r>
            <a:rPr lang="es-ES" sz="2800" b="1" baseline="0">
              <a:solidFill>
                <a:srgbClr val="FF0000"/>
              </a:solidFill>
              <a:latin typeface="Arial Narrow" panose="020B0606020202030204" pitchFamily="34" charset="0"/>
            </a:rPr>
            <a:t>según desvío en %</a:t>
          </a:r>
          <a:endParaRPr lang="es-ES" sz="2800" b="1">
            <a:solidFill>
              <a:srgbClr val="FF0000"/>
            </a:solidFill>
            <a:latin typeface="Arial Narrow" panose="020B0606020202030204" pitchFamily="34" charset="0"/>
          </a:endParaRPr>
        </a:p>
      </cdr:txBody>
    </cdr:sp>
  </cdr:relSizeAnchor>
  <cdr:relSizeAnchor xmlns:cdr="http://schemas.openxmlformats.org/drawingml/2006/chartDrawing">
    <cdr:from>
      <cdr:x>0.74258</cdr:x>
      <cdr:y>0.02349</cdr:y>
    </cdr:from>
    <cdr:to>
      <cdr:x>0.9822</cdr:x>
      <cdr:y>0.10132</cdr:y>
    </cdr:to>
    <cdr:sp macro="" textlink="acum_porc!$R$2">
      <cdr:nvSpPr>
        <cdr:cNvPr id="3" name="CuadroTexto 1">
          <a:extLst xmlns:a="http://schemas.openxmlformats.org/drawingml/2006/main">
            <a:ext uri="{FF2B5EF4-FFF2-40B4-BE49-F238E27FC236}">
              <a16:creationId xmlns:a16="http://schemas.microsoft.com/office/drawing/2014/main" id="{60F80980-E1AB-F15F-B396-BDA91E5C0949}"/>
            </a:ext>
          </a:extLst>
        </cdr:cNvPr>
        <cdr:cNvSpPr txBox="1"/>
      </cdr:nvSpPr>
      <cdr:spPr>
        <a:xfrm xmlns:a="http://schemas.openxmlformats.org/drawingml/2006/main">
          <a:off x="9534525" y="203158"/>
          <a:ext cx="3076627" cy="673142"/>
        </a:xfrm>
        <a:prstGeom xmlns:a="http://schemas.openxmlformats.org/drawingml/2006/main" prst="rect">
          <a:avLst/>
        </a:prstGeom>
        <a:solidFill xmlns:a="http://schemas.openxmlformats.org/drawingml/2006/main">
          <a:srgbClr val="FFFF00"/>
        </a:solidFill>
        <a:ln xmlns:a="http://schemas.openxmlformats.org/drawingml/2006/main">
          <a:noFill/>
        </a:ln>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304E2638-4D40-4A74-BFAE-E3641D75C59E}" type="TxLink">
            <a:rPr lang="en-US" sz="2000" b="1" i="0" u="none" strike="noStrike">
              <a:solidFill>
                <a:srgbClr val="000000"/>
              </a:solidFill>
              <a:latin typeface="Arial Narrow" panose="020B0606020202030204" pitchFamily="34" charset="0"/>
            </a:rPr>
            <a:pPr/>
            <a:t>4 mejores resultados hasta el 10 de junio incluído*</a:t>
          </a:fld>
          <a:endParaRPr lang="es-ES" sz="3200" b="1">
            <a:solidFill>
              <a:schemeClr val="tx1"/>
            </a:solidFill>
            <a:latin typeface="Arial Narrow" panose="020B0606020202030204" pitchFamily="34" charset="0"/>
          </a:endParaRPr>
        </a:p>
      </cdr:txBody>
    </cdr:sp>
  </cdr:relSizeAnchor>
  <cdr:relSizeAnchor xmlns:cdr="http://schemas.openxmlformats.org/drawingml/2006/chartDrawing">
    <cdr:from>
      <cdr:x>0.73887</cdr:x>
      <cdr:y>0.10408</cdr:y>
    </cdr:from>
    <cdr:to>
      <cdr:x>0.98368</cdr:x>
      <cdr:y>0.13878</cdr:y>
    </cdr:to>
    <cdr:sp macro="" textlink="">
      <cdr:nvSpPr>
        <cdr:cNvPr id="4" name="CuadroTexto 1">
          <a:extLst xmlns:a="http://schemas.openxmlformats.org/drawingml/2006/main">
            <a:ext uri="{FF2B5EF4-FFF2-40B4-BE49-F238E27FC236}">
              <a16:creationId xmlns:a16="http://schemas.microsoft.com/office/drawing/2014/main" id="{20E67586-6009-6DF7-3694-1D55F7CE1993}"/>
            </a:ext>
          </a:extLst>
        </cdr:cNvPr>
        <cdr:cNvSpPr txBox="1"/>
      </cdr:nvSpPr>
      <cdr:spPr>
        <a:xfrm xmlns:a="http://schemas.openxmlformats.org/drawingml/2006/main">
          <a:off x="9486900" y="971550"/>
          <a:ext cx="3143250" cy="323850"/>
        </a:xfrm>
        <a:prstGeom xmlns:a="http://schemas.openxmlformats.org/drawingml/2006/main" prst="rect">
          <a:avLst/>
        </a:prstGeom>
        <a:noFill xmlns:a="http://schemas.openxmlformats.org/drawingml/2006/main"/>
        <a:ln xmlns:a="http://schemas.openxmlformats.org/drawingml/2006/main">
          <a:noFill/>
        </a:ln>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b="0" i="0" u="none" strike="noStrike">
              <a:solidFill>
                <a:schemeClr val="tx1"/>
              </a:solidFill>
              <a:latin typeface="Arial Narrow" panose="020B0606020202030204" pitchFamily="34" charset="0"/>
            </a:rPr>
            <a:t>*(En</a:t>
          </a:r>
          <a:r>
            <a:rPr lang="en-US" sz="1200" b="0" i="0" u="none" strike="noStrike" baseline="0">
              <a:solidFill>
                <a:schemeClr val="tx1"/>
              </a:solidFill>
              <a:latin typeface="Arial Narrow" panose="020B0606020202030204" pitchFamily="34" charset="0"/>
            </a:rPr>
            <a:t>tre paréntesis, el número de apuestas realizada)</a:t>
          </a:r>
          <a:endParaRPr lang="es-ES" sz="1800" b="0">
            <a:solidFill>
              <a:schemeClr val="tx1"/>
            </a:solidFill>
            <a:latin typeface="Arial Narrow" panose="020B0606020202030204" pitchFamily="34" charset="0"/>
          </a:endParaRPr>
        </a:p>
      </cdr:txBody>
    </cdr:sp>
  </cdr:relSizeAnchor>
  <cdr:relSizeAnchor xmlns:cdr="http://schemas.openxmlformats.org/drawingml/2006/chartDrawing">
    <cdr:from>
      <cdr:x>0.65119</cdr:x>
      <cdr:y>0.37534</cdr:y>
    </cdr:from>
    <cdr:to>
      <cdr:x>0.9288</cdr:x>
      <cdr:y>0.50274</cdr:y>
    </cdr:to>
    <cdr:sp macro="" textlink="">
      <cdr:nvSpPr>
        <cdr:cNvPr id="5" name="CuadroTexto 2">
          <a:extLst xmlns:a="http://schemas.openxmlformats.org/drawingml/2006/main">
            <a:ext uri="{FF2B5EF4-FFF2-40B4-BE49-F238E27FC236}">
              <a16:creationId xmlns:a16="http://schemas.microsoft.com/office/drawing/2014/main" id="{00000000-0008-0000-0800-000003000000}"/>
            </a:ext>
          </a:extLst>
        </cdr:cNvPr>
        <cdr:cNvSpPr txBox="1"/>
      </cdr:nvSpPr>
      <cdr:spPr>
        <a:xfrm xmlns:a="http://schemas.openxmlformats.org/drawingml/2006/main" rot="20204502">
          <a:off x="8956506" y="3550109"/>
          <a:ext cx="3818275" cy="1204990"/>
        </a:xfrm>
        <a:prstGeom xmlns:a="http://schemas.openxmlformats.org/drawingml/2006/main" prst="rect">
          <a:avLst/>
        </a:prstGeom>
        <a:solidFill xmlns:a="http://schemas.openxmlformats.org/drawingml/2006/main">
          <a:srgbClr val="FFFF00"/>
        </a:solidFill>
        <a:ln xmlns:a="http://schemas.openxmlformats.org/drawingml/2006/main" w="9525" cmpd="sng">
          <a:solidFill>
            <a:schemeClr val="lt1">
              <a:shade val="50000"/>
            </a:schemeClr>
          </a:solid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s-ES" sz="3200">
              <a:latin typeface="Arial Narrow" panose="020B0606020202030204" pitchFamily="34" charset="0"/>
            </a:rPr>
            <a:t>Optan de momento al #</a:t>
          </a:r>
          <a:r>
            <a:rPr lang="es-ES" sz="3200" b="1">
              <a:latin typeface="Arial Narrow" panose="020B0606020202030204" pitchFamily="34" charset="0"/>
            </a:rPr>
            <a:t>MPVStarPower2024</a:t>
          </a:r>
        </a:p>
      </cdr:txBody>
    </cdr:sp>
  </cdr:relSizeAnchor>
</c:userShapes>
</file>

<file path=xl/drawings/drawing16.xml><?xml version="1.0" encoding="utf-8"?>
<xdr:wsDr xmlns:xdr="http://schemas.openxmlformats.org/drawingml/2006/spreadsheetDrawing" xmlns:a="http://schemas.openxmlformats.org/drawingml/2006/main">
  <xdr:twoCellAnchor>
    <xdr:from>
      <xdr:col>17</xdr:col>
      <xdr:colOff>552450</xdr:colOff>
      <xdr:row>64</xdr:row>
      <xdr:rowOff>9525</xdr:rowOff>
    </xdr:from>
    <xdr:to>
      <xdr:col>21</xdr:col>
      <xdr:colOff>450149</xdr:colOff>
      <xdr:row>67</xdr:row>
      <xdr:rowOff>95290</xdr:rowOff>
    </xdr:to>
    <xdr:sp macro="" textlink="">
      <xdr:nvSpPr>
        <xdr:cNvPr id="2" name="CuadroTexto 1">
          <a:extLst>
            <a:ext uri="{FF2B5EF4-FFF2-40B4-BE49-F238E27FC236}">
              <a16:creationId xmlns:a16="http://schemas.microsoft.com/office/drawing/2014/main" id="{00000000-0008-0000-0D00-000002000000}"/>
            </a:ext>
          </a:extLst>
        </xdr:cNvPr>
        <xdr:cNvSpPr txBox="1"/>
      </xdr:nvSpPr>
      <xdr:spPr>
        <a:xfrm>
          <a:off x="13249275" y="9763125"/>
          <a:ext cx="2945699" cy="542965"/>
        </a:xfrm>
        <a:prstGeom prst="rect">
          <a:avLst/>
        </a:prstGeom>
        <a:solidFill>
          <a:srgbClr val="FFFF00"/>
        </a:solidFill>
        <a:ln>
          <a:noFill/>
        </a:ln>
      </xdr:spPr>
      <xdr:txBody>
        <a:bodyPr wrap="square" rtlCol="0" anchor="ct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s-ES" sz="2000" b="1">
              <a:solidFill>
                <a:schemeClr val="tx1"/>
              </a:solidFill>
              <a:latin typeface="Arial Narrow" panose="020B0606020202030204" pitchFamily="34" charset="0"/>
            </a:rPr>
            <a:t>Mejor resultado</a:t>
          </a:r>
          <a:r>
            <a:rPr lang="es-ES" sz="2000" b="1" baseline="0">
              <a:solidFill>
                <a:schemeClr val="tx1"/>
              </a:solidFill>
              <a:latin typeface="Arial Narrow" panose="020B0606020202030204" pitchFamily="34" charset="0"/>
            </a:rPr>
            <a:t> del 1T2024</a:t>
          </a:r>
          <a:endParaRPr lang="es-ES" sz="2000" b="1">
            <a:solidFill>
              <a:schemeClr val="tx1"/>
            </a:solidFill>
            <a:latin typeface="Arial Narrow" panose="020B0606020202030204" pitchFamily="34" charset="0"/>
          </a:endParaRPr>
        </a:p>
      </xdr:txBody>
    </xdr:sp>
    <xdr:clientData/>
  </xdr:twoCellAnchor>
  <xdr:twoCellAnchor>
    <xdr:from>
      <xdr:col>10</xdr:col>
      <xdr:colOff>114300</xdr:colOff>
      <xdr:row>2</xdr:row>
      <xdr:rowOff>28574</xdr:rowOff>
    </xdr:from>
    <xdr:to>
      <xdr:col>26</xdr:col>
      <xdr:colOff>238125</xdr:colOff>
      <xdr:row>99</xdr:row>
      <xdr:rowOff>123825</xdr:rowOff>
    </xdr:to>
    <xdr:graphicFrame macro="">
      <xdr:nvGraphicFramePr>
        <xdr:cNvPr id="4" name="Gráfico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c:userShapes xmlns:c="http://schemas.openxmlformats.org/drawingml/2006/chart">
  <cdr:relSizeAnchor xmlns:cdr="http://schemas.openxmlformats.org/drawingml/2006/chartDrawing">
    <cdr:from>
      <cdr:x>0.04028</cdr:x>
      <cdr:y>0.02129</cdr:y>
    </cdr:from>
    <cdr:to>
      <cdr:x>0.66125</cdr:x>
      <cdr:y>0.08407</cdr:y>
    </cdr:to>
    <cdr:sp macro="" textlink="">
      <cdr:nvSpPr>
        <cdr:cNvPr id="2" name="CuadroTexto 1">
          <a:extLst xmlns:a="http://schemas.openxmlformats.org/drawingml/2006/main">
            <a:ext uri="{FF2B5EF4-FFF2-40B4-BE49-F238E27FC236}">
              <a16:creationId xmlns:a16="http://schemas.microsoft.com/office/drawing/2014/main" id="{64EDB2F9-CDFA-FBD7-89CC-E7F74DB83B2E}"/>
            </a:ext>
          </a:extLst>
        </cdr:cNvPr>
        <cdr:cNvSpPr txBox="1"/>
      </cdr:nvSpPr>
      <cdr:spPr>
        <a:xfrm xmlns:a="http://schemas.openxmlformats.org/drawingml/2006/main">
          <a:off x="496081" y="184131"/>
          <a:ext cx="7647794" cy="542965"/>
        </a:xfrm>
        <a:prstGeom xmlns:a="http://schemas.openxmlformats.org/drawingml/2006/main" prst="rect">
          <a:avLst/>
        </a:prstGeom>
        <a:solidFill xmlns:a="http://schemas.openxmlformats.org/drawingml/2006/main">
          <a:schemeClr val="accent1">
            <a:lumMod val="20000"/>
            <a:lumOff val="80000"/>
          </a:schemeClr>
        </a:solidFill>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s-ES" sz="2800" b="0">
              <a:latin typeface="Arial Narrow" panose="020B0606020202030204" pitchFamily="34" charset="0"/>
            </a:rPr>
            <a:t>Resultados</a:t>
          </a:r>
          <a:r>
            <a:rPr lang="es-ES" sz="2800" b="1" baseline="0">
              <a:latin typeface="Arial Narrow" panose="020B0606020202030204" pitchFamily="34" charset="0"/>
            </a:rPr>
            <a:t> #superporraomie2024 </a:t>
          </a:r>
          <a:r>
            <a:rPr lang="es-ES" sz="2800" b="1" baseline="0">
              <a:solidFill>
                <a:srgbClr val="FF0000"/>
              </a:solidFill>
              <a:latin typeface="Arial Narrow" panose="020B0606020202030204" pitchFamily="34" charset="0"/>
            </a:rPr>
            <a:t>según desvío en €</a:t>
          </a:r>
          <a:endParaRPr lang="es-ES" sz="2800" b="1">
            <a:solidFill>
              <a:srgbClr val="FF0000"/>
            </a:solidFill>
            <a:latin typeface="Arial Narrow" panose="020B0606020202030204" pitchFamily="34" charset="0"/>
          </a:endParaRPr>
        </a:p>
      </cdr:txBody>
    </cdr:sp>
  </cdr:relSizeAnchor>
  <cdr:relSizeAnchor xmlns:cdr="http://schemas.openxmlformats.org/drawingml/2006/chartDrawing">
    <cdr:from>
      <cdr:x>0.7404</cdr:x>
      <cdr:y>0.02239</cdr:y>
    </cdr:from>
    <cdr:to>
      <cdr:x>0.97551</cdr:x>
      <cdr:y>0.10023</cdr:y>
    </cdr:to>
    <cdr:sp macro="" textlink="acum_porc!$R$2">
      <cdr:nvSpPr>
        <cdr:cNvPr id="4" name="CuadroTexto 1">
          <a:extLst xmlns:a="http://schemas.openxmlformats.org/drawingml/2006/main">
            <a:ext uri="{FF2B5EF4-FFF2-40B4-BE49-F238E27FC236}">
              <a16:creationId xmlns:a16="http://schemas.microsoft.com/office/drawing/2014/main" id="{FE08383E-6C09-5EE5-D682-B780250FD939}"/>
            </a:ext>
          </a:extLst>
        </cdr:cNvPr>
        <cdr:cNvSpPr txBox="1"/>
      </cdr:nvSpPr>
      <cdr:spPr>
        <a:xfrm xmlns:a="http://schemas.openxmlformats.org/drawingml/2006/main">
          <a:off x="9118600" y="193675"/>
          <a:ext cx="2895653" cy="673142"/>
        </a:xfrm>
        <a:prstGeom xmlns:a="http://schemas.openxmlformats.org/drawingml/2006/main" prst="rect">
          <a:avLst/>
        </a:prstGeom>
        <a:solidFill xmlns:a="http://schemas.openxmlformats.org/drawingml/2006/main">
          <a:srgbClr val="FFFF00"/>
        </a:solidFill>
        <a:ln xmlns:a="http://schemas.openxmlformats.org/drawingml/2006/main">
          <a:noFill/>
        </a:ln>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51BA0509-4E8B-4F8E-9737-06FA832579D0}" type="TxLink">
            <a:rPr lang="en-US" sz="2000" b="1" i="0" u="none" strike="noStrike">
              <a:solidFill>
                <a:srgbClr val="000000"/>
              </a:solidFill>
              <a:latin typeface="Arial Narrow" panose="020B0606020202030204" pitchFamily="34" charset="0"/>
              <a:cs typeface="Arial"/>
            </a:rPr>
            <a:pPr/>
            <a:t>4 mejores resultados hasta el 10 de junio incluído*</a:t>
          </a:fld>
          <a:endParaRPr lang="es-ES" sz="3200" b="1">
            <a:solidFill>
              <a:schemeClr val="tx1"/>
            </a:solidFill>
            <a:latin typeface="Arial Narrow" panose="020B0606020202030204" pitchFamily="34" charset="0"/>
          </a:endParaRPr>
        </a:p>
      </cdr:txBody>
    </cdr:sp>
  </cdr:relSizeAnchor>
  <cdr:relSizeAnchor xmlns:cdr="http://schemas.openxmlformats.org/drawingml/2006/chartDrawing">
    <cdr:from>
      <cdr:x>0.5983</cdr:x>
      <cdr:y>0.34856</cdr:y>
    </cdr:from>
    <cdr:to>
      <cdr:x>0.90833</cdr:x>
      <cdr:y>0.43717</cdr:y>
    </cdr:to>
    <cdr:sp macro="" textlink="">
      <cdr:nvSpPr>
        <cdr:cNvPr id="3" name="CuadroTexto 2">
          <a:extLst xmlns:a="http://schemas.openxmlformats.org/drawingml/2006/main">
            <a:ext uri="{FF2B5EF4-FFF2-40B4-BE49-F238E27FC236}">
              <a16:creationId xmlns:a16="http://schemas.microsoft.com/office/drawing/2014/main" id="{6ADF199C-F2D4-68E8-595A-1A2736F00A19}"/>
            </a:ext>
          </a:extLst>
        </cdr:cNvPr>
        <cdr:cNvSpPr txBox="1"/>
      </cdr:nvSpPr>
      <cdr:spPr>
        <a:xfrm xmlns:a="http://schemas.openxmlformats.org/drawingml/2006/main" rot="20204502">
          <a:off x="7368613" y="3273550"/>
          <a:ext cx="3818275" cy="832212"/>
        </a:xfrm>
        <a:prstGeom xmlns:a="http://schemas.openxmlformats.org/drawingml/2006/main" prst="rect">
          <a:avLst/>
        </a:prstGeom>
        <a:solidFill xmlns:a="http://schemas.openxmlformats.org/drawingml/2006/main">
          <a:srgbClr val="FFFF00"/>
        </a:solidFill>
        <a:ln xmlns:a="http://schemas.openxmlformats.org/drawingml/2006/main" w="9525" cmpd="sng">
          <a:solidFill>
            <a:schemeClr val="lt1">
              <a:shade val="50000"/>
            </a:schemeClr>
          </a:solid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s-ES" sz="3200">
              <a:latin typeface="Arial Narrow" panose="020B0606020202030204" pitchFamily="34" charset="0"/>
            </a:rPr>
            <a:t>Clasificación secundaria</a:t>
          </a:r>
          <a:endParaRPr lang="es-ES" sz="3200" b="1">
            <a:latin typeface="Arial Narrow" panose="020B0606020202030204" pitchFamily="34" charset="0"/>
          </a:endParaRPr>
        </a:p>
      </cdr:txBody>
    </cdr:sp>
  </cdr:relSizeAnchor>
</c:userShapes>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jovid\Documents\015%20JOSE\070%20ENERGIA\010%20DATOS\DATOS%20TRATADOS\RATIO%20OMIE%20-%20MIBGAS\prediccion%20omie.xlsm" TargetMode="External"/><Relationship Id="rId1" Type="http://schemas.openxmlformats.org/officeDocument/2006/relationships/externalLinkPath" Target="/Users/jovid/Documents/015%20JOSE/070%20ENERGIA/010%20DATOS/DATOS%20TRATADOS/RATIO%20OMIE%20-%20MIBGAS/prediccion%20omi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
      <sheetName val="out"/>
      <sheetName val="ratios"/>
      <sheetName val="TEC_mes"/>
      <sheetName val="horas_TEC_dia"/>
      <sheetName val="datos"/>
      <sheetName val="Gráfico1"/>
      <sheetName val="omie_dinamic_dia"/>
      <sheetName val="curva_precios_tec"/>
      <sheetName val="curva_precios_tec_2024"/>
      <sheetName val="precios_tec_evol"/>
      <sheetName val="demanda"/>
      <sheetName val="om seg"/>
      <sheetName val="om prev"/>
      <sheetName val="omie_tec"/>
      <sheetName val="omie_dinamic_mes"/>
      <sheetName val="gas"/>
      <sheetName val="co2"/>
      <sheetName val="omie"/>
      <sheetName val="gen PBF"/>
      <sheetName val="gen PBF solar"/>
      <sheetName val="apunt_solar"/>
    </sheetNames>
    <sheetDataSet>
      <sheetData sheetId="0"/>
      <sheetData sheetId="1"/>
      <sheetData sheetId="2"/>
      <sheetData sheetId="3"/>
      <sheetData sheetId="4"/>
      <sheetData sheetId="5"/>
      <sheetData sheetId="7">
        <row r="2">
          <cell r="G2">
            <v>10</v>
          </cell>
        </row>
        <row r="9">
          <cell r="AE9">
            <v>1</v>
          </cell>
        </row>
        <row r="10">
          <cell r="W10" t="str">
            <v>flecha</v>
          </cell>
          <cell r="AE10">
            <v>1</v>
          </cell>
        </row>
        <row r="11">
          <cell r="W11" t="str">
            <v>inicio</v>
          </cell>
          <cell r="X11">
            <v>0</v>
          </cell>
          <cell r="Y11">
            <v>0</v>
          </cell>
          <cell r="AE11">
            <v>1</v>
          </cell>
        </row>
        <row r="12">
          <cell r="W12" t="str">
            <v>final</v>
          </cell>
          <cell r="X12">
            <v>0.762442511011448</v>
          </cell>
          <cell r="Y12">
            <v>0.64705596156944423</v>
          </cell>
          <cell r="AE12">
            <v>1</v>
          </cell>
        </row>
        <row r="13">
          <cell r="AE13">
            <v>1</v>
          </cell>
        </row>
        <row r="14">
          <cell r="AE14">
            <v>1</v>
          </cell>
        </row>
        <row r="15">
          <cell r="AE15">
            <v>1</v>
          </cell>
        </row>
        <row r="16">
          <cell r="AE16">
            <v>1</v>
          </cell>
        </row>
        <row r="17">
          <cell r="AE17">
            <v>1</v>
          </cell>
        </row>
        <row r="18">
          <cell r="AE18">
            <v>9</v>
          </cell>
        </row>
        <row r="20">
          <cell r="AB20">
            <v>0</v>
          </cell>
          <cell r="AC20">
            <v>0</v>
          </cell>
        </row>
        <row r="21">
          <cell r="AB21">
            <v>-0.98768834059513777</v>
          </cell>
          <cell r="AC21">
            <v>0.15643446504023087</v>
          </cell>
        </row>
        <row r="37">
          <cell r="X37">
            <v>0</v>
          </cell>
          <cell r="Y37">
            <v>0</v>
          </cell>
        </row>
        <row r="38">
          <cell r="X38">
            <v>0.70710678118654746</v>
          </cell>
          <cell r="Y38">
            <v>0.70710678118654757</v>
          </cell>
        </row>
      </sheetData>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ose Vidal" refreshedDate="45386.9622318287" createdVersion="8" refreshedVersion="8" minRefreshableVersion="3" recordCount="54" xr:uid="{47DD76FB-AE8D-462B-AA06-9E4A42486E81}">
  <cacheSource type="worksheet">
    <worksheetSource name="acumulado_porcentaje_SIN_MAYO"/>
  </cacheSource>
  <cacheFields count="6">
    <cacheField name="Nombre " numFmtId="0">
      <sharedItems/>
    </cacheField>
    <cacheField name="Ene 2024" numFmtId="0">
      <sharedItems containsString="0" containsBlank="1" containsNumber="1" minValue="2.4291497975709423E-3" maxValue="0.38704453441295561"/>
    </cacheField>
    <cacheField name="Feb 2024" numFmtId="0">
      <sharedItems containsString="0" containsBlank="1" containsNumber="1" minValue="0.33849999999999997" maxValue="1.2309999999999999"/>
    </cacheField>
    <cacheField name="Mar 2024" numFmtId="0">
      <sharedItems containsString="0" containsBlank="1" containsNumber="1" minValue="5.9171597633134827E-3" maxValue="2.2199211045364886"/>
    </cacheField>
    <cacheField name="Abr 2024" numFmtId="0">
      <sharedItems containsString="0" containsBlank="1" containsNumber="1" minValue="0.58429118773946365" maxValue="16.030651340996172"/>
    </cacheField>
    <cacheField name="porras" numFmtId="0">
      <sharedItems containsSemiMixedTypes="0" containsString="0" containsNumber="1" containsInteger="1" minValue="0" maxValue="4" count="5">
        <n v="2"/>
        <n v="4"/>
        <n v="1"/>
        <n v="3"/>
        <n v="0"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4">
  <r>
    <s v="Aitor Folch"/>
    <m/>
    <n v="0.63000000000000012"/>
    <m/>
    <n v="4.2873563218390816"/>
    <x v="0"/>
  </r>
  <r>
    <s v="Alejandro A. Díaz González"/>
    <n v="1.6869095816464237E-2"/>
    <n v="0.5625"/>
    <n v="0.22287968441814593"/>
    <n v="3.3122605363984681"/>
    <x v="1"/>
  </r>
  <r>
    <s v="Alejandro Ld"/>
    <m/>
    <n v="1.2309999999999999"/>
    <m/>
    <m/>
    <x v="2"/>
  </r>
  <r>
    <s v="Alfonso Lezcano"/>
    <n v="5.6410256410256508E-2"/>
    <n v="0.48249999999999993"/>
    <n v="0.15828402366863892"/>
    <n v="2.7356321839080464"/>
    <x v="1"/>
  </r>
  <r>
    <s v="Alfonso Zárate Conde"/>
    <n v="7.9622132253711286E-2"/>
    <n v="0.7"/>
    <n v="1.2189349112426033"/>
    <n v="6.6628352490421463"/>
    <x v="1"/>
  </r>
  <r>
    <s v="Alfredo Cotrina Martínez"/>
    <n v="2.6180836707152658E-2"/>
    <m/>
    <m/>
    <m/>
    <x v="2"/>
  </r>
  <r>
    <s v="Antonio López Gómez-Millán"/>
    <m/>
    <n v="0.75249999999999984"/>
    <m/>
    <m/>
    <x v="2"/>
  </r>
  <r>
    <s v="Beatriz Muñoz Rioboo"/>
    <m/>
    <n v="0.80500000000000005"/>
    <m/>
    <m/>
    <x v="2"/>
  </r>
  <r>
    <s v="Brais García"/>
    <n v="1.4170040485830114E-2"/>
    <m/>
    <m/>
    <m/>
    <x v="2"/>
  </r>
  <r>
    <s v="Carles Estruch Puig"/>
    <n v="4.8582995951417123E-2"/>
    <n v="0.72375000000000012"/>
    <m/>
    <n v="7.5249042145593874"/>
    <x v="3"/>
  </r>
  <r>
    <s v="Carlos Alcaide Méndez"/>
    <m/>
    <m/>
    <n v="0.7435897435897435"/>
    <m/>
    <x v="2"/>
  </r>
  <r>
    <s v="Carlos Callejón"/>
    <n v="7.0175438596491266E-2"/>
    <n v="0.7024999999999999"/>
    <m/>
    <m/>
    <x v="0"/>
  </r>
  <r>
    <s v="Cristian Trapero"/>
    <m/>
    <n v="0.53825000000000001"/>
    <m/>
    <m/>
    <x v="2"/>
  </r>
  <r>
    <s v="Daniel Reganon"/>
    <m/>
    <m/>
    <m/>
    <n v="2.3199233716475094"/>
    <x v="2"/>
  </r>
  <r>
    <s v="Eduardo Caro Eduardo Caro"/>
    <m/>
    <m/>
    <n v="0.6060157790927021"/>
    <m/>
    <x v="2"/>
  </r>
  <r>
    <s v="Elena Muñoz Vioque"/>
    <n v="0.15141700404858299"/>
    <n v="0.80625000000000002"/>
    <n v="1.2795857988165678"/>
    <n v="3.4674329501915713"/>
    <x v="1"/>
  </r>
  <r>
    <s v="Fernando Sánchez-Rey Maeso"/>
    <n v="0.19703103913630224"/>
    <n v="0.74899999999999989"/>
    <n v="1.2194280078895461"/>
    <n v="5.3850574712643677"/>
    <x v="1"/>
  </r>
  <r>
    <s v="Francisco Valverde Sánchez"/>
    <m/>
    <n v="0.50150000000000006"/>
    <m/>
    <n v="5.3869731800766294"/>
    <x v="0"/>
  </r>
  <r>
    <s v="Gladys Rocha Blanco"/>
    <n v="0.10242914979757091"/>
    <n v="0.74050000000000016"/>
    <n v="1.7460552268244574"/>
    <n v="6.1934865900383143"/>
    <x v="1"/>
  </r>
  <r>
    <s v="Inés Monroy"/>
    <n v="2.6990553306343165E-3"/>
    <n v="0.74624999999999986"/>
    <n v="0.75542406311637078"/>
    <n v="3.6360153256704981"/>
    <x v="1"/>
  </r>
  <r>
    <s v="Jaime Larrañaga Juez"/>
    <n v="0.18866396761133611"/>
    <n v="0.74224999999999997"/>
    <n v="0.80769230769230738"/>
    <m/>
    <x v="3"/>
  </r>
  <r>
    <s v="Javier Cervera"/>
    <n v="1.0796221322537075E-2"/>
    <m/>
    <m/>
    <m/>
    <x v="2"/>
  </r>
  <r>
    <s v="Javier Colón Cortegoso"/>
    <m/>
    <m/>
    <n v="5.9171597633134827E-3"/>
    <n v="3.3103448275862073"/>
    <x v="0"/>
  </r>
  <r>
    <s v="Javier Espelta"/>
    <n v="0.18353576248313083"/>
    <m/>
    <m/>
    <n v="3.2145593869731806"/>
    <x v="0"/>
  </r>
  <r>
    <s v="Javier Pérez Salazar"/>
    <n v="1.2145748987854329E-2"/>
    <n v="0.625"/>
    <n v="0.57790927021696248"/>
    <n v="4.4597701149425291"/>
    <x v="1"/>
  </r>
  <r>
    <s v="Javier Revuelta Alonso"/>
    <n v="3.2388663967611225E-2"/>
    <n v="0.73000000000000009"/>
    <n v="0.16863905325443776"/>
    <n v="2.9272030651340999"/>
    <x v="1"/>
  </r>
  <r>
    <s v="Jesús López"/>
    <n v="0.10175438596491218"/>
    <n v="0.80899999999999994"/>
    <m/>
    <m/>
    <x v="0"/>
  </r>
  <r>
    <s v="Jonathan Pazmiño Espinoza"/>
    <n v="0.38704453441295561"/>
    <m/>
    <m/>
    <n v="3.5766283524904221"/>
    <x v="0"/>
  </r>
  <r>
    <s v="Jorge Antonio González Sánchez"/>
    <n v="0.15249662618083687"/>
    <n v="0.61149999999999982"/>
    <n v="0.30670611439842199"/>
    <n v="3.9616858237547894"/>
    <x v="1"/>
  </r>
  <r>
    <s v="Jose F Vidal"/>
    <n v="8.7719298245612885E-3"/>
    <n v="0.84699999999999986"/>
    <n v="0.50394477317554232"/>
    <n v="2.5440613026819925"/>
    <x v="1"/>
  </r>
  <r>
    <s v="Jose Manuel Otero López"/>
    <n v="9.4197031039136361E-2"/>
    <n v="0.99499999999999988"/>
    <n v="2.0414201183431953"/>
    <n v="16.030651340996172"/>
    <x v="1"/>
  </r>
  <r>
    <s v="Juan Luis Jarillo Gómez"/>
    <n v="2.4291497975709423E-3"/>
    <n v="0.33849999999999997"/>
    <m/>
    <m/>
    <x v="0"/>
  </r>
  <r>
    <s v="Juan Pedro Conejo Sanchez"/>
    <n v="0.17543859649122809"/>
    <n v="0.875"/>
    <n v="1.7120315581854042"/>
    <n v="8.0900383141762457"/>
    <x v="1"/>
  </r>
  <r>
    <s v="Juan Sanjorge Sanjorge Grandal"/>
    <n v="0.14979757085020257"/>
    <m/>
    <m/>
    <m/>
    <x v="2"/>
  </r>
  <r>
    <s v="Julián Mateo Muñoz"/>
    <n v="3.8731443994601759E-2"/>
    <n v="0.8932500000000001"/>
    <n v="0.64250493096646943"/>
    <n v="3.64176245210728"/>
    <x v="1"/>
  </r>
  <r>
    <s v="Laura Gómez López"/>
    <m/>
    <n v="0.6087499999999999"/>
    <n v="0.74211045364891504"/>
    <n v="3.5038314176245215"/>
    <x v="3"/>
  </r>
  <r>
    <s v="Luis Angel Garzon Velasco"/>
    <n v="0.1943319838056681"/>
    <m/>
    <m/>
    <n v="6.7107279693486594"/>
    <x v="0"/>
  </r>
  <r>
    <s v="Manuel Bueno Pérez"/>
    <n v="0.23076923076923089"/>
    <m/>
    <m/>
    <m/>
    <x v="2"/>
  </r>
  <r>
    <s v="Manuel Nogales Guillén"/>
    <n v="0.21052631578947381"/>
    <m/>
    <m/>
    <m/>
    <x v="2"/>
  </r>
  <r>
    <s v="Marc Soler Collell"/>
    <n v="0.11106612685560041"/>
    <m/>
    <m/>
    <m/>
    <x v="2"/>
  </r>
  <r>
    <s v="Marcos Fortea Escolano"/>
    <m/>
    <n v="0.77525000000000011"/>
    <n v="1.3505917159763312"/>
    <n v="3.7337164750957861"/>
    <x v="3"/>
  </r>
  <r>
    <s v="Olivia Infantes"/>
    <n v="0.18016194331983817"/>
    <m/>
    <m/>
    <m/>
    <x v="2"/>
  </r>
  <r>
    <s v="Oscar Mulas Crespo"/>
    <m/>
    <n v="0.50250000000000006"/>
    <n v="0.44970414201183417"/>
    <n v="3.578544061302682"/>
    <x v="3"/>
  </r>
  <r>
    <s v="Pablo Baigorria Kobylinski"/>
    <m/>
    <m/>
    <n v="2.2199211045364886"/>
    <m/>
    <x v="2"/>
  </r>
  <r>
    <s v="Roberto Cavero García"/>
    <n v="3.2388663967611413E-2"/>
    <n v="0.50050000000000006"/>
    <m/>
    <m/>
    <x v="0"/>
  </r>
  <r>
    <s v="Roberto De Dios García"/>
    <m/>
    <n v="1.18875"/>
    <m/>
    <m/>
    <x v="2"/>
  </r>
  <r>
    <s v="Roberto Parro Cortés"/>
    <m/>
    <n v="0.68"/>
    <n v="0.34319526627218921"/>
    <n v="0.58429118773946365"/>
    <x v="3"/>
  </r>
  <r>
    <s v="Roque Alonso Alonso"/>
    <n v="4.4534412955465549E-2"/>
    <n v="0.63500000000000012"/>
    <n v="0.46942800788954631"/>
    <n v="3.3678160919540234"/>
    <x v="1"/>
  </r>
  <r>
    <s v="Sergio Alfonso"/>
    <m/>
    <m/>
    <m/>
    <n v="2.8141762452107284"/>
    <x v="2"/>
  </r>
  <r>
    <s v="Sergio Lopez Oliver"/>
    <n v="6.2078272604589469E-3"/>
    <n v="0.64649999999999996"/>
    <m/>
    <m/>
    <x v="0"/>
  </r>
  <r>
    <s v="Sergio Ortega Celares"/>
    <m/>
    <n v="1.155"/>
    <m/>
    <m/>
    <x v="2"/>
  </r>
  <r>
    <s v="Vicente Fayos Gavila"/>
    <n v="2.091767881241581E-2"/>
    <n v="0.75549999999999995"/>
    <n v="1.3530571992110452"/>
    <m/>
    <x v="3"/>
  </r>
  <r>
    <s v="Vitor Costa Costa"/>
    <n v="0.21592442645074225"/>
    <m/>
    <m/>
    <m/>
    <x v="2"/>
  </r>
  <r>
    <s v="Álvaro Barahona San Marcos"/>
    <m/>
    <m/>
    <m/>
    <n v="3.5019157088122608"/>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2A73E1F-0E78-4EA7-9EE1-55F53018ABFB}" name="TablaDinámica1" cacheId="210" applyNumberFormats="0" applyBorderFormats="0" applyFontFormats="0" applyPatternFormats="0" applyAlignmentFormats="0" applyWidthHeightFormats="1" dataCaption="Valores" grandTotalCaption="Total" updatedVersion="8" minRefreshableVersion="3" itemPrintTitles="1" createdVersion="8" indent="0" outline="1" outlineData="1" multipleFieldFilters="0">
  <location ref="J14:O16" firstHeaderRow="1" firstDataRow="2" firstDataCol="1"/>
  <pivotFields count="6">
    <pivotField dataField="1" showAll="0"/>
    <pivotField showAll="0"/>
    <pivotField showAll="0"/>
    <pivotField showAll="0"/>
    <pivotField showAll="0"/>
    <pivotField axis="axisCol" showAll="0">
      <items count="6">
        <item x="2"/>
        <item x="0"/>
        <item x="3"/>
        <item m="1" x="4"/>
        <item x="1"/>
        <item t="default"/>
      </items>
    </pivotField>
  </pivotFields>
  <rowItems count="1">
    <i/>
  </rowItems>
  <colFields count="1">
    <field x="5"/>
  </colFields>
  <colItems count="5">
    <i>
      <x/>
    </i>
    <i>
      <x v="1"/>
    </i>
    <i>
      <x v="2"/>
    </i>
    <i>
      <x v="4"/>
    </i>
    <i t="grand">
      <x/>
    </i>
  </colItems>
  <dataFields count="1">
    <dataField name="Participantes"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osExternos_1" connectionId="4" xr16:uid="{BFFF6891-1C40-41D2-9A82-DD1CBFBFCF1A}" autoFormatId="16" applyNumberFormats="0" applyBorderFormats="0" applyFontFormats="0" applyPatternFormats="0" applyAlignmentFormats="0" applyWidthHeightFormats="0">
  <queryTableRefresh nextId="13">
    <queryTableFields count="8">
      <queryTableField id="1" name="Marca temporal" tableColumnId="9"/>
      <queryTableField id="9" name="Nombre" tableColumnId="1"/>
      <queryTableField id="10" name="Apellidos" tableColumnId="2"/>
      <queryTableField id="4" name="Email" tableColumnId="4"/>
      <queryTableField id="5" name="Mes de apuesta" tableColumnId="5"/>
      <queryTableField id="6" name="Porra del precio medio mensual de OMIE (€/MWh), con al menos 1 decimal (con coma). " tableColumnId="6"/>
      <queryTableField id="7" name="Comentario opcional sobre el mes (a ver si hay algún razonamiento, o pura potra!)" tableColumnId="7"/>
      <queryTableField id="8" name="Nick (o nombre corto)" tableColumnId="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tosExternos_1" backgroundRefresh="0" adjustColumnWidth="0" connectionId="13" xr16:uid="{1AC04C93-F80E-46FA-AC5D-420241E27999}" autoFormatId="16" applyNumberFormats="0" applyBorderFormats="0" applyFontFormats="0" applyPatternFormats="0" applyAlignmentFormats="0" applyWidthHeightFormats="0">
  <queryTableRefresh nextId="3">
    <queryTableFields count="2">
      <queryTableField id="1" name="fecha" tableColumnId="3"/>
      <queryTableField id="2" name="valo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DatosExternos_2" connectionId="16" xr16:uid="{46D32C09-A328-459B-A3DB-70A643A19F6D}" autoFormatId="16" applyNumberFormats="0" applyBorderFormats="0" applyFontFormats="0" applyPatternFormats="0" applyAlignmentFormats="0" applyWidthHeightFormats="0">
  <queryTableRefresh nextId="4">
    <queryTableFields count="2">
      <queryTableField id="1" name="fecha" tableColumnId="4"/>
      <queryTableField id="3" name="valor"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DatosExternos_3" connectionId="18" xr16:uid="{0F9FFAEA-1F49-443E-83F7-83BD732B57A4}" autoFormatId="16" applyNumberFormats="0" applyBorderFormats="0" applyFontFormats="0" applyPatternFormats="0" applyAlignmentFormats="0" applyWidthHeightFormats="0">
  <queryTableRefresh nextId="5">
    <queryTableFields count="2">
      <queryTableField id="2" name="fecha" tableColumnId="2"/>
      <queryTableField id="4" name="valor"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DatosExternos_4" backgroundRefresh="0" adjustColumnWidth="0" connectionId="22" xr16:uid="{4B7B2CDA-55BD-402E-ACFA-9C10D6EC5519}" autoFormatId="16" applyNumberFormats="0" applyBorderFormats="0" applyFontFormats="0" applyPatternFormats="0" applyAlignmentFormats="0" applyWidthHeightFormats="0">
  <queryTableRefresh nextId="4">
    <queryTableFields count="2">
      <queryTableField id="2" name="fecha" tableColumnId="2"/>
      <queryTableField id="3" name="valor" tableColumnId="3"/>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DatosExternos_5" backgroundRefresh="0" connectionId="14" xr16:uid="{390B1CAC-2079-4100-99FF-7411836F63EF}" autoFormatId="16" applyNumberFormats="0" applyBorderFormats="0" applyFontFormats="0" applyPatternFormats="0" applyAlignmentFormats="0" applyWidthHeightFormats="0">
  <queryTableRefresh nextId="3">
    <queryTableFields count="2">
      <queryTableField id="1" name="fecha" tableColumnId="3"/>
      <queryTableField id="2" name="valor" tableColumnId="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DatosExternos_6" connectionId="24" xr16:uid="{25EA5DDB-5D67-41E1-B151-94F88B5A4F98}" autoFormatId="16" applyNumberFormats="0" applyBorderFormats="0" applyFontFormats="0" applyPatternFormats="0" applyAlignmentFormats="0" applyWidthHeightFormats="0">
  <queryTableRefresh nextId="3">
    <queryTableFields count="2">
      <queryTableField id="1" name="fecha" tableColumnId="3"/>
      <queryTableField id="2" name="valor" tableColumnId="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DatosExternos_7" connectionId="20" xr16:uid="{AA34AD24-0345-4286-A3B0-1D929204E086}" autoFormatId="16" applyNumberFormats="0" applyBorderFormats="0" applyFontFormats="0" applyPatternFormats="0" applyAlignmentFormats="0" applyWidthHeightFormats="0">
  <queryTableRefresh nextId="3">
    <queryTableFields count="2">
      <queryTableField id="1" name="fecha" tableColumnId="3"/>
      <queryTableField id="2" name="valor" tableColumnId="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6" xr16:uid="{32DC5F02-F79A-4DE5-B273-18B6D207E658}" autoFormatId="16" applyNumberFormats="0" applyBorderFormats="0" applyFontFormats="0" applyPatternFormats="0" applyAlignmentFormats="0" applyWidthHeightFormats="0">
  <queryTableRefresh nextId="14" unboundColumnsRight="3">
    <queryTableFields count="8">
      <queryTableField id="5" name="Mes de apuesta" tableColumnId="6"/>
      <queryTableField id="10" name="Nombre" tableColumnId="10"/>
      <queryTableField id="12" name="Apuesta Miniporra" tableColumnId="11"/>
      <queryTableField id="3" name="Comentario opcional sobre el mes (a ver si hay algún razonamiento, o pura potra!)" tableColumnId="3"/>
      <queryTableField id="4" name="Nick" tableColumnId="4"/>
      <queryTableField id="7" dataBound="0" tableColumnId="7"/>
      <queryTableField id="8" dataBound="0" tableColumnId="8"/>
      <queryTableField id="9" dataBound="0" tableColumnId="9"/>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DatosExternos_2" adjustColumnWidth="0" connectionId="17" xr16:uid="{2695F24A-C422-4584-A962-AAB3A4A84E87}" autoFormatId="16" applyNumberFormats="0" applyBorderFormats="0" applyFontFormats="0" applyPatternFormats="0" applyAlignmentFormats="0" applyWidthHeightFormats="0">
  <queryTableRefresh nextId="3">
    <queryTableFields count="2">
      <queryTableField id="1" name="dia" tableColumnId="3"/>
      <queryTableField id="2" name="€/MWh" tableColumnId="2"/>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7" xr16:uid="{6F356F16-5417-456F-82AD-BB9742F1B242}" autoFormatId="16" applyNumberFormats="0" applyBorderFormats="0" applyFontFormats="0" applyPatternFormats="0" applyAlignmentFormats="0" applyWidthHeightFormats="0">
  <queryTableRefresh nextId="14" unboundColumnsRight="3">
    <queryTableFields count="8">
      <queryTableField id="5" name="Mes de apuesta" tableColumnId="6"/>
      <queryTableField id="10" name="Nombre" tableColumnId="10"/>
      <queryTableField id="12" name="Apuesta Miniporra" tableColumnId="11"/>
      <queryTableField id="3" name="Comentario opcional sobre el mes (a ver si hay algún razonamiento, o pura potra!)" tableColumnId="3"/>
      <queryTableField id="4" name="Nick" tableColumnId="4"/>
      <queryTableField id="7" dataBound="0" tableColumnId="7"/>
      <queryTableField id="8" dataBound="0" tableColumnId="8"/>
      <queryTableField id="9" dataBound="0" tableColumnId="9"/>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DatosExternos_2" adjustColumnWidth="0" connectionId="19" xr16:uid="{EB47413D-8C28-40B0-A85C-FADACEFE6C3B}" autoFormatId="16" applyNumberFormats="0" applyBorderFormats="0" applyFontFormats="0" applyPatternFormats="0" applyAlignmentFormats="0" applyWidthHeightFormats="0">
  <queryTableRefresh nextId="3">
    <queryTableFields count="2">
      <queryTableField id="1" name="dia" tableColumnId="3"/>
      <queryTableField id="2" name="€/MWh" tableColumnId="2"/>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DatosExternos_2" backgroundRefresh="0" adjustColumnWidth="0" connectionId="23" xr16:uid="{198C2D16-5ACE-47A2-8B49-7CA4FFED97F6}" autoFormatId="16" applyNumberFormats="0" applyBorderFormats="0" applyFontFormats="0" applyPatternFormats="0" applyAlignmentFormats="0" applyWidthHeightFormats="0">
  <queryTableRefresh nextId="3">
    <queryTableFields count="2">
      <queryTableField id="1" name="dia" tableColumnId="3"/>
      <queryTableField id="2" name="€/MWh" tableColumnId="2"/>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DatosExternos_1" connectionId="9" xr16:uid="{2025197A-A3A1-4E54-B80B-274BBA3CE113}" autoFormatId="16" applyNumberFormats="0" applyBorderFormats="0" applyFontFormats="0" applyPatternFormats="0" applyAlignmentFormats="0" applyWidthHeightFormats="0">
  <queryTableRefresh nextId="9" unboundColumnsRight="3">
    <queryTableFields count="8">
      <queryTableField id="1" name="Mes de apuesta" tableColumnId="6"/>
      <queryTableField id="2" name="Nombre" tableColumnId="2"/>
      <queryTableField id="3" name="Apuesta Miniporra" tableColumnId="3"/>
      <queryTableField id="4" name="Comentario opcional sobre el mes (a ver si hay algún razonamiento, o pura potra!)" tableColumnId="4"/>
      <queryTableField id="5" name="Nick" tableColumnId="5"/>
      <queryTableField id="6" dataBound="0" tableColumnId="7"/>
      <queryTableField id="7" dataBound="0" tableColumnId="8"/>
      <queryTableField id="8" dataBound="0" tableColumnId="9"/>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DatosExternos_2" backgroundRefresh="0" adjustColumnWidth="0" connectionId="15" xr16:uid="{475618FC-F467-4954-9531-3F8E05C49BB7}" autoFormatId="16" applyNumberFormats="0" applyBorderFormats="0" applyFontFormats="0" applyPatternFormats="0" applyAlignmentFormats="0" applyWidthHeightFormats="0">
  <queryTableRefresh nextId="3">
    <queryTableFields count="2">
      <queryTableField id="1" name="dia" tableColumnId="3"/>
      <queryTableField id="2" name="€/MWh" tableColumnId="2"/>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DatosExternos_1" connectionId="5" xr16:uid="{CBA7233C-AB62-4112-969B-F4FCC7E7CCAC}" autoFormatId="16" applyNumberFormats="0" applyBorderFormats="0" applyFontFormats="0" applyPatternFormats="0" applyAlignmentFormats="0" applyWidthHeightFormats="0">
  <queryTableRefresh nextId="9" unboundColumnsRight="3">
    <queryTableFields count="8">
      <queryTableField id="1" name="Mes de apuesta" tableColumnId="6"/>
      <queryTableField id="2" name="Nombre" tableColumnId="2"/>
      <queryTableField id="3" name="Apuesta Miniporra" tableColumnId="3"/>
      <queryTableField id="4" name="Comentario opcional sobre el mes (a ver si hay algún razonamiento, o pura potra!)" tableColumnId="4"/>
      <queryTableField id="5" name="Nick" tableColumnId="5"/>
      <queryTableField id="6" dataBound="0" tableColumnId="7"/>
      <queryTableField id="7" dataBound="0" tableColumnId="8"/>
      <queryTableField id="8" dataBound="0" tableColumnId="9"/>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DatosExternos_2" backgroundRefresh="0" adjustColumnWidth="0" connectionId="25" xr16:uid="{ED06C68D-CC4B-46C9-A785-86D60D754340}" autoFormatId="16" applyNumberFormats="0" applyBorderFormats="0" applyFontFormats="0" applyPatternFormats="0" applyAlignmentFormats="0" applyWidthHeightFormats="0">
  <queryTableRefresh nextId="3">
    <queryTableFields count="2">
      <queryTableField id="1" name="dia" tableColumnId="3"/>
      <queryTableField id="2" name="€/MWh" tableColumnId="2"/>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10" xr16:uid="{16A4C27C-FC7F-4807-8B3B-437CAFE67F5F}" autoFormatId="16" applyNumberFormats="0" applyBorderFormats="0" applyFontFormats="0" applyPatternFormats="0" applyAlignmentFormats="0" applyWidthHeightFormats="0">
  <queryTableRefresh nextId="9" unboundColumnsRight="3">
    <queryTableFields count="8">
      <queryTableField id="1" name="Mes de apuesta" tableColumnId="6"/>
      <queryTableField id="2" name="Nombre" tableColumnId="2"/>
      <queryTableField id="3" name="Apuesta Miniporra" tableColumnId="3"/>
      <queryTableField id="4" name="Comentario opcional sobre el mes (a ver si hay algún razonamiento, o pura potra!)" tableColumnId="4"/>
      <queryTableField id="5" name="Nick" tableColumnId="5"/>
      <queryTableField id="6" dataBound="0" tableColumnId="7"/>
      <queryTableField id="7" dataBound="0" tableColumnId="8"/>
      <queryTableField id="8" dataBound="0" tableColumnId="9"/>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8" xr16:uid="{86415302-151A-4E89-B9EC-1ED74548967B}" autoFormatId="16" applyNumberFormats="0" applyBorderFormats="0" applyFontFormats="0" applyPatternFormats="0" applyAlignmentFormats="0" applyWidthHeightFormats="0">
  <queryTableRefresh nextId="9" unboundColumnsRight="3">
    <queryTableFields count="8">
      <queryTableField id="1" name="Mes de apuesta" tableColumnId="6"/>
      <queryTableField id="2" name="Nombre" tableColumnId="2"/>
      <queryTableField id="3" name="Apuesta Miniporra" tableColumnId="3"/>
      <queryTableField id="4" name="Comentario opcional sobre el mes (a ver si hay algún razonamiento, o pura potra!)" tableColumnId="4"/>
      <queryTableField id="5" name="Nick" tableColumnId="5"/>
      <queryTableField id="6" dataBound="0" tableColumnId="7"/>
      <queryTableField id="7" dataBound="0" tableColumnId="8"/>
      <queryTableField id="8" dataBound="0" tableColumnId="9"/>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DatosExternos_1" backgroundRefresh="0" connectionId="12" xr16:uid="{CD2DF63A-A5F4-4A10-8D17-A78482DC8148}" autoFormatId="16" applyNumberFormats="0" applyBorderFormats="0" applyFontFormats="0" applyPatternFormats="0" applyAlignmentFormats="0" applyWidthHeightFormats="0">
  <queryTableRefresh nextId="6">
    <queryTableFields count="5">
      <queryTableField id="1" name="hora" tableColumnId="6"/>
      <queryTableField id="2" name="RE media" tableColumnId="2"/>
      <queryTableField id="3" name="TCC media" tableColumnId="3"/>
      <queryTableField id="4" name="HI media" tableColumnId="4"/>
      <queryTableField id="5" name="OMIE" tableColumnId="5"/>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DatosExternos_2" backgroundRefresh="0" adjustColumnWidth="0" connectionId="36" xr16:uid="{44B7F77E-ACE6-4BC7-8D19-7255E84D449E}" autoFormatId="16" applyNumberFormats="0" applyBorderFormats="0" applyFontFormats="0" applyPatternFormats="0" applyAlignmentFormats="0" applyWidthHeightFormats="0">
  <queryTableRefresh nextId="4">
    <queryTableFields count="3">
      <queryTableField id="1" name="Día" tableColumnId="4"/>
      <queryTableField id="2" name="Mibgas D+1" tableColumnId="2"/>
      <queryTableField id="3" name="Media mensual" tableColumnId="3"/>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DatosExternos_3" backgroundRefresh="0" adjustColumnWidth="0" connectionId="35" xr16:uid="{DE764AC7-FAEE-48E7-B692-E649A4AC470D}" autoFormatId="16" applyNumberFormats="0" applyBorderFormats="0" applyFontFormats="0" applyPatternFormats="0" applyAlignmentFormats="0" applyWidthHeightFormats="0">
  <queryTableRefresh nextId="4">
    <queryTableFields count="3">
      <queryTableField id="1" name="dia" tableColumnId="4"/>
      <queryTableField id="2" name="€/Ton" tableColumnId="2"/>
      <queryTableField id="3" name="Media mensual" tableColumnId="3"/>
    </queryTable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DatosExternos_4" backgroundRefresh="0" adjustColumnWidth="0" connectionId="37" xr16:uid="{16F265B3-E060-4B2C-B2A0-0085FFF5D571}" autoFormatId="16" applyNumberFormats="0" applyBorderFormats="0" applyFontFormats="0" applyPatternFormats="0" applyAlignmentFormats="0" applyWidthHeightFormats="0">
  <queryTableRefresh nextId="20" unboundColumnsRight="1">
    <queryTableFields count="17">
      <queryTableField id="1" name="Dia" tableColumnId="10"/>
      <queryTableField id="2" name="Omie media mensual (€/MWh)" tableColumnId="2"/>
      <queryTableField id="3" name="Omie media diaria" tableColumnId="3"/>
      <queryTableField id="4" name="% Horas RE" tableColumnId="4"/>
      <queryTableField id="5" name="Media RE" tableColumnId="5"/>
      <queryTableField id="6" name="% Horas TCC" tableColumnId="6"/>
      <queryTableField id="7" name="Media TCC" tableColumnId="7"/>
      <queryTableField id="8" name="% Horas HI" tableColumnId="8"/>
      <queryTableField id="9" name="Media HI" tableColumnId="9"/>
      <queryTableField id="17" name="demanda GWh" tableColumnId="16"/>
      <queryTableField id="11" name="Precio RE" tableColumnId="1"/>
      <queryTableField id="12" name="Precio medio RE" tableColumnId="11"/>
      <queryTableField id="13" name="Precio TCC" tableColumnId="12"/>
      <queryTableField id="14" name="Precio medio TCC" tableColumnId="13"/>
      <queryTableField id="15" name="Precio HI" tableColumnId="14"/>
      <queryTableField id="16" name="Precio medio HI" tableColumnId="15"/>
      <queryTableField id="19" dataBound="0" tableColumnId="17"/>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30" xr16:uid="{BC9603E9-8E45-4DA1-9F50-CC13BF30F243}" autoFormatId="16" applyNumberFormats="0" applyBorderFormats="0" applyFontFormats="0" applyPatternFormats="0" applyAlignmentFormats="0" applyWidthHeightFormats="0">
  <queryTableRefresh nextId="8">
    <queryTableFields count="6">
      <queryTableField id="6" name="Mes" tableColumnId="1"/>
      <queryTableField id="1" name="Posición" tableColumnId="6"/>
      <queryTableField id="2" name="Nombre " tableColumnId="2"/>
      <queryTableField id="3" name="Apuesta MiniPorra" tableColumnId="3"/>
      <queryTableField id="4" name="Desvío" tableColumnId="4"/>
      <queryTableField id="5" name="% Desvío" tableColumnId="5"/>
    </queryTableFields>
  </queryTableRefresh>
</queryTable>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DatosExternos_2" adjustColumnWidth="0" connectionId="31" xr16:uid="{C7F3FDD8-7CFB-4285-A3FF-0E13902C2912}" autoFormatId="16" applyNumberFormats="0" applyBorderFormats="0" applyFontFormats="0" applyPatternFormats="0" applyAlignmentFormats="0" applyWidthHeightFormats="0">
  <queryTableRefresh nextId="8">
    <queryTableFields count="6">
      <queryTableField id="6" name="Mes" tableColumnId="1"/>
      <queryTableField id="1" name="Posición" tableColumnId="6"/>
      <queryTableField id="2" name="Nombre " tableColumnId="2"/>
      <queryTableField id="3" name="Apuesta MiniPorra" tableColumnId="3"/>
      <queryTableField id="4" name="Desvío" tableColumnId="4"/>
      <queryTableField id="5" name="% Desvío" tableColumnId="5"/>
    </queryTableFields>
  </queryTableRefresh>
</queryTable>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DatosExternos_3" adjustColumnWidth="0" connectionId="33" xr16:uid="{B7DF50E4-B0AC-4098-A1AC-DEEFE08834BE}" autoFormatId="16" applyNumberFormats="0" applyBorderFormats="0" applyFontFormats="0" applyPatternFormats="0" applyAlignmentFormats="0" applyWidthHeightFormats="0">
  <queryTableRefresh nextId="8">
    <queryTableFields count="6">
      <queryTableField id="6" name="Mes" tableColumnId="1"/>
      <queryTableField id="1" name="Posición" tableColumnId="6"/>
      <queryTableField id="2" name="Nombre " tableColumnId="2"/>
      <queryTableField id="3" name="Apuesta MiniPorra" tableColumnId="3"/>
      <queryTableField id="4" name="Desvío" tableColumnId="4"/>
      <queryTableField id="5" name="% Desvío" tableColumnId="5"/>
    </queryTableFields>
  </queryTableRefresh>
</queryTable>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DatosExternos_4" backgroundRefresh="0" adjustColumnWidth="0" connectionId="29" xr16:uid="{FD350FC7-C59C-41F4-95E1-1C0403415828}" autoFormatId="16" applyNumberFormats="0" applyBorderFormats="0" applyFontFormats="0" applyPatternFormats="0" applyAlignmentFormats="0" applyWidthHeightFormats="0">
  <queryTableRefresh nextId="8">
    <queryTableFields count="6">
      <queryTableField id="6" name="Mes" tableColumnId="1"/>
      <queryTableField id="1" name="Posición" tableColumnId="6"/>
      <queryTableField id="2" name="Nombre " tableColumnId="2"/>
      <queryTableField id="3" name="Apuesta MiniPorra" tableColumnId="3"/>
      <queryTableField id="4" name="Desvío" tableColumnId="4"/>
      <queryTableField id="5" name="% Desvío" tableColumnId="5"/>
    </queryTableFields>
  </queryTableRefresh>
</queryTable>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DatosExternos_5" adjustColumnWidth="0" connectionId="34" xr16:uid="{1943918B-447A-464F-8CF9-632FABD21AE4}" autoFormatId="16" applyNumberFormats="0" applyBorderFormats="0" applyFontFormats="0" applyPatternFormats="0" applyAlignmentFormats="0" applyWidthHeightFormats="0">
  <queryTableRefresh nextId="8">
    <queryTableFields count="6">
      <queryTableField id="2" name="Mes" tableColumnId="2"/>
      <queryTableField id="3" name="Posición" tableColumnId="3"/>
      <queryTableField id="4" name="Nombre " tableColumnId="4"/>
      <queryTableField id="5" name="Apuesta MiniPorra" tableColumnId="5"/>
      <queryTableField id="6" name="Desvío" tableColumnId="6"/>
      <queryTableField id="7" name="% Desvío" tableColumnId="7"/>
    </queryTableFields>
  </queryTableRefresh>
</queryTable>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DatosExternos_6" connectionId="32" xr16:uid="{3D2ADE4F-C9DF-408F-9031-8FFC65316893}" autoFormatId="16" applyNumberFormats="0" applyBorderFormats="0" applyFontFormats="0" applyPatternFormats="0" applyAlignmentFormats="0" applyWidthHeightFormats="0">
  <queryTableRefresh nextId="7">
    <queryTableFields count="6">
      <queryTableField id="1" name="Mes" tableColumnId="7"/>
      <queryTableField id="2" name="Posición" tableColumnId="2"/>
      <queryTableField id="3" name="Nombre " tableColumnId="3"/>
      <queryTableField id="4" name="Apuesta MiniPorra" tableColumnId="4"/>
      <queryTableField id="5" name="Desvío" tableColumnId="5"/>
      <queryTableField id="6" name="% Desvío" tableColumnId="6"/>
    </queryTableFields>
  </queryTableRefresh>
</queryTable>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DatosExternos_1" connectionId="2" xr16:uid="{ABAAAE2E-36AE-485B-844A-866B56F755D2}" autoFormatId="16" applyNumberFormats="0" applyBorderFormats="0" applyFontFormats="0" applyPatternFormats="0" applyAlignmentFormats="0" applyWidthHeightFormats="0">
  <queryTableRefresh nextId="12" unboundColumnsRight="3">
    <queryTableFields count="10">
      <queryTableField id="1" name="Nombre " tableColumnId="5"/>
      <queryTableField id="2" name="Ene 2024" tableColumnId="2"/>
      <queryTableField id="3" name="Feb 2024" tableColumnId="3"/>
      <queryTableField id="4" name="Mar 2024" tableColumnId="4"/>
      <queryTableField id="7" name="Abr 2024" tableColumnId="7"/>
      <queryTableField id="10" name="May 2024" tableColumnId="10"/>
      <queryTableField id="11" name="Jun 2024" tableColumnId="1"/>
      <queryTableField id="8" dataBound="0" tableColumnId="8"/>
      <queryTableField id="5" dataBound="0" tableColumnId="6"/>
      <queryTableField id="9" dataBound="0" tableColumnId="9"/>
    </queryTableFields>
  </queryTableRefresh>
</queryTable>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DatosExternos_1" connectionId="1" xr16:uid="{DFE1187E-6D03-48A1-95CD-C9E5E88B4CDF}" autoFormatId="16" applyNumberFormats="0" applyBorderFormats="0" applyFontFormats="0" applyPatternFormats="0" applyAlignmentFormats="0" applyWidthHeightFormats="0">
  <queryTableRefresh nextId="13" unboundColumnsRight="2">
    <queryTableFields count="9">
      <queryTableField id="1" name="Nombre " tableColumnId="5"/>
      <queryTableField id="2" name="Ene 2024" tableColumnId="2"/>
      <queryTableField id="3" name="Feb 2024" tableColumnId="3"/>
      <queryTableField id="4" name="Mar 2024" tableColumnId="4"/>
      <queryTableField id="7" name="Abr 2024" tableColumnId="7"/>
      <queryTableField id="11" name="May 2024" tableColumnId="8"/>
      <queryTableField id="12" name="Jun 2024" tableColumnId="9"/>
      <queryTableField id="10" dataBound="0" tableColumnId="11"/>
      <queryTableField id="5" dataBound="0" tableColumnId="6"/>
    </queryTableFields>
  </queryTableRefresh>
</queryTable>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DatosExternos_1" connectionId="3" xr16:uid="{B8BB58AF-68F5-4AF6-82BD-78605C9BECF7}" autoFormatId="16" applyNumberFormats="0" applyBorderFormats="0" applyFontFormats="0" applyPatternFormats="0" applyAlignmentFormats="0" applyWidthHeightFormats="0">
  <queryTableRefresh nextId="7" unboundColumnsRight="1">
    <queryTableFields count="6">
      <queryTableField id="1" name="Nombre " tableColumnId="5"/>
      <queryTableField id="2" name="Ene 2024" tableColumnId="2"/>
      <queryTableField id="3" name="Feb 2024" tableColumnId="3"/>
      <queryTableField id="4" name="Mar 2024" tableColumnId="4"/>
      <queryTableField id="6" name="Abr 2024" tableColumnId="7"/>
      <queryTableField id="5" dataBound="0" tableColumnId="6"/>
    </queryTableFields>
  </queryTableRefresh>
</queryTable>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DatosExternos_1" connectionId="26" xr16:uid="{2691D20C-E2DE-4B88-9F27-90E8AC865FF0}" autoFormatId="16" applyNumberFormats="0" applyBorderFormats="0" applyFontFormats="0" applyPatternFormats="0" applyAlignmentFormats="0" applyWidthHeightFormats="0">
  <queryTableRefresh nextId="4">
    <queryTableFields count="3">
      <queryTableField id="1" name="Nombre" tableColumnId="4"/>
      <queryTableField id="2" name="Apellidos" tableColumnId="2"/>
      <queryTableField id="3" name="Nick (o nombre corto)" tableColumnId="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9.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30.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31.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32.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33.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34.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_rels/table35.xml.rels><?xml version="1.0" encoding="UTF-8" standalone="yes"?>
<Relationships xmlns="http://schemas.openxmlformats.org/package/2006/relationships"><Relationship Id="rId1" Type="http://schemas.openxmlformats.org/officeDocument/2006/relationships/queryTable" Target="../queryTables/queryTable26.xml"/></Relationships>
</file>

<file path=xl/tables/_rels/table36.xml.rels><?xml version="1.0" encoding="UTF-8" standalone="yes"?>
<Relationships xmlns="http://schemas.openxmlformats.org/package/2006/relationships"><Relationship Id="rId1" Type="http://schemas.openxmlformats.org/officeDocument/2006/relationships/queryTable" Target="../queryTables/queryTable27.xml"/></Relationships>
</file>

<file path=xl/tables/_rels/table37.xml.rels><?xml version="1.0" encoding="UTF-8" standalone="yes"?>
<Relationships xmlns="http://schemas.openxmlformats.org/package/2006/relationships"><Relationship Id="rId1" Type="http://schemas.openxmlformats.org/officeDocument/2006/relationships/queryTable" Target="../queryTables/queryTable28.xml"/></Relationships>
</file>

<file path=xl/tables/_rels/table38.xml.rels><?xml version="1.0" encoding="UTF-8" standalone="yes"?>
<Relationships xmlns="http://schemas.openxmlformats.org/package/2006/relationships"><Relationship Id="rId1" Type="http://schemas.openxmlformats.org/officeDocument/2006/relationships/queryTable" Target="../queryTables/queryTable29.xml"/></Relationships>
</file>

<file path=xl/tables/_rels/table39.xml.rels><?xml version="1.0" encoding="UTF-8" standalone="yes"?>
<Relationships xmlns="http://schemas.openxmlformats.org/package/2006/relationships"><Relationship Id="rId1" Type="http://schemas.openxmlformats.org/officeDocument/2006/relationships/queryTable" Target="../queryTables/queryTable30.xml"/></Relationships>
</file>

<file path=xl/tables/_rels/table40.xml.rels><?xml version="1.0" encoding="UTF-8" standalone="yes"?>
<Relationships xmlns="http://schemas.openxmlformats.org/package/2006/relationships"><Relationship Id="rId1" Type="http://schemas.openxmlformats.org/officeDocument/2006/relationships/queryTable" Target="../queryTables/queryTable31.xml"/></Relationships>
</file>

<file path=xl/tables/_rels/table41.xml.rels><?xml version="1.0" encoding="UTF-8" standalone="yes"?>
<Relationships xmlns="http://schemas.openxmlformats.org/package/2006/relationships"><Relationship Id="rId1" Type="http://schemas.openxmlformats.org/officeDocument/2006/relationships/queryTable" Target="../queryTables/queryTable32.xml"/></Relationships>
</file>

<file path=xl/tables/_rels/table42.xml.rels><?xml version="1.0" encoding="UTF-8" standalone="yes"?>
<Relationships xmlns="http://schemas.openxmlformats.org/package/2006/relationships"><Relationship Id="rId1" Type="http://schemas.openxmlformats.org/officeDocument/2006/relationships/queryTable" Target="../queryTables/queryTable3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BE99F9E-C7B6-4528-A567-541CEF79C660}" name="apuestas" displayName="apuestas" ref="A1:H242" tableType="queryTable" totalsRowShown="0">
  <autoFilter ref="A1:H242" xr:uid="{5BE99F9E-C7B6-4528-A567-541CEF79C660}"/>
  <tableColumns count="8">
    <tableColumn id="9" xr3:uid="{5172B0A9-C5F6-4010-82B4-3DA264CAFD25}" uniqueName="9" name="Marca temporal" queryTableFieldId="1"/>
    <tableColumn id="1" xr3:uid="{7AC5FB3E-9213-4823-B6A3-C79A3DFA1008}" uniqueName="1" name="Nombre" queryTableFieldId="9"/>
    <tableColumn id="2" xr3:uid="{71D32538-4898-4D10-A58E-B861CE93235C}" uniqueName="2" name="Apellidos" queryTableFieldId="10"/>
    <tableColumn id="4" xr3:uid="{5A2D0C78-2095-41F7-AEC1-BD0F487C8783}" uniqueName="4" name="Email" queryTableFieldId="4"/>
    <tableColumn id="5" xr3:uid="{03ABE344-AD55-491A-826B-17402073B29A}" uniqueName="5" name="Mes de apuesta" queryTableFieldId="5"/>
    <tableColumn id="6" xr3:uid="{6865003C-FBE6-4389-9D8D-2341F9A2CC43}" uniqueName="6" name="Porra del precio medio mensual de OMIE (€/MWh), con al menos 1 decimal (con coma). " queryTableFieldId="6"/>
    <tableColumn id="7" xr3:uid="{4EAD62D3-440D-4FDC-9026-88FBD073DA5A}" uniqueName="7" name="Comentario opcional sobre el mes (a ver si hay algún razonamiento, o pura potra!)" queryTableFieldId="7"/>
    <tableColumn id="8" xr3:uid="{B77BD52A-69F0-42B1-BFF0-5E9D849AE112}" uniqueName="8" name="Nick (o nombre corto)" queryTableFieldId="8"/>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367B472-FDBA-4B2C-A844-2C12AAD076CB}" name="omie" displayName="omie" ref="A4:B166" tableType="queryTable" totalsRowShown="0">
  <tableColumns count="2">
    <tableColumn id="3" xr3:uid="{339F0701-7DFC-4717-AA1E-BF5527B1F7A2}" uniqueName="3" name="fecha" queryTableFieldId="1"/>
    <tableColumn id="2" xr3:uid="{FC314C96-C92B-4EAC-B58D-45D2E04AFF65}" uniqueName="2" name="valor"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10C65E47-BB4D-447E-8302-531AF7E7D530}" name="omie_enero" displayName="omie_enero" ref="D4:E35" tableType="queryTable" totalsRowShown="0">
  <tableColumns count="2">
    <tableColumn id="4" xr3:uid="{BB51A5E7-10B5-4801-A4C6-1792725004E1}" uniqueName="4" name="fecha" queryTableFieldId="1" dataDxfId="81"/>
    <tableColumn id="3" xr3:uid="{3861983E-9572-444C-947C-E7D57298824B}" uniqueName="3" name="valor" queryTableFieldId="3" dataDxfId="80"/>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25386A9-6414-4869-A196-6213A2968FB3}" name="omie_febrero" displayName="omie_febrero" ref="G4:H33" tableType="queryTable" totalsRowShown="0">
  <tableColumns count="2">
    <tableColumn id="2" xr3:uid="{8F811FA2-D378-4BFB-ACAF-45DDE9931B7B}" uniqueName="2" name="fecha" queryTableFieldId="2" dataDxfId="83"/>
    <tableColumn id="4" xr3:uid="{0C82DB85-0579-4D6B-8D4B-97B2C42C2143}" uniqueName="4" name="valor" queryTableFieldId="4" dataDxfId="82"/>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CA85F12A-5D80-4F70-812F-59D9A0B99830}" name="omie_marzo" displayName="omie_marzo" ref="J4:K35" tableType="queryTable" totalsRowShown="0">
  <tableColumns count="2">
    <tableColumn id="2" xr3:uid="{8EDDB77F-C32D-42FA-B90E-A9D5AD7BA062}" uniqueName="2" name="fecha" queryTableFieldId="2" dataDxfId="88"/>
    <tableColumn id="3" xr3:uid="{5803D351-2AA9-49F6-B78D-A534B1C937AC}" uniqueName="3" name="valor" queryTableFieldId="3"/>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F605C43F-CABD-495C-AE67-27222BFE0F53}" name="omie_abril" displayName="omie_abril" ref="M4:N34" tableType="queryTable" totalsRowShown="0">
  <autoFilter ref="M4:N34" xr:uid="{F605C43F-CABD-495C-AE67-27222BFE0F53}"/>
  <tableColumns count="2">
    <tableColumn id="3" xr3:uid="{4B7C16BC-1A11-41A4-BAFD-48611CAE3010}" uniqueName="3" name="fecha" queryTableFieldId="1" dataDxfId="90"/>
    <tableColumn id="2" xr3:uid="{DF3CB2F5-3FE0-469D-802E-73C3788B7999}" uniqueName="2" name="valor" queryTableFieldId="2" dataDxfId="89"/>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4865481F-A047-4220-B9C7-0DB0926F563D}" name="omie_mayo" displayName="omie_mayo" ref="P4:Q35" tableType="queryTable" totalsRowShown="0" headerRowDxfId="170" dataDxfId="169">
  <autoFilter ref="P4:Q35" xr:uid="{4865481F-A047-4220-B9C7-0DB0926F563D}"/>
  <tableColumns count="2">
    <tableColumn id="3" xr3:uid="{958CB32F-1519-4445-A7B6-7A507919C51D}" uniqueName="3" name="fecha" queryTableFieldId="1" dataDxfId="85"/>
    <tableColumn id="2" xr3:uid="{2E071D30-423C-42F3-9B58-84AE7F983B6F}" uniqueName="2" name="valor" queryTableFieldId="2" dataDxfId="84"/>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643A7D0A-6F21-4F0E-A601-920B3BF50AF0}" name="omie_junio" displayName="omie_junio" ref="S4:T14" tableType="queryTable" totalsRowShown="0" headerRowDxfId="168" dataDxfId="167">
  <autoFilter ref="S4:T14" xr:uid="{643A7D0A-6F21-4F0E-A601-920B3BF50AF0}"/>
  <tableColumns count="2">
    <tableColumn id="3" xr3:uid="{D412FE74-06AC-4C73-A25E-1825DDE9DDF2}" uniqueName="3" name="fecha" queryTableFieldId="1" dataDxfId="87"/>
    <tableColumn id="2" xr3:uid="{1BC2D732-1DC6-47E5-B808-0EEEB12A5F4D}" uniqueName="2" name="valor" queryTableFieldId="2" dataDxfId="86"/>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98F5C38-D95C-4E3A-AB83-472C8F946512}" name="apuestas_ene24" displayName="apuestas_ene24" ref="A6:H42" tableType="queryTable" totalsRowShown="0">
  <autoFilter ref="A6:H42" xr:uid="{098F5C38-D95C-4E3A-AB83-472C8F946512}"/>
  <sortState xmlns:xlrd2="http://schemas.microsoft.com/office/spreadsheetml/2017/richdata2" ref="A7:H42">
    <sortCondition descending="1" ref="C6:C42"/>
  </sortState>
  <tableColumns count="8">
    <tableColumn id="6" xr3:uid="{410E667A-7510-4FFB-AED3-4BFA0E038417}" uniqueName="6" name="Mes de apuesta" queryTableFieldId="5"/>
    <tableColumn id="10" xr3:uid="{E17D40F5-4A12-46D9-B027-349D5B31B97B}" uniqueName="10" name="Nombre" queryTableFieldId="10"/>
    <tableColumn id="11" xr3:uid="{A5ADAF22-AB37-4B32-8BD1-F96155E973BE}" uniqueName="11" name="Apuesta Miniporra" queryTableFieldId="12"/>
    <tableColumn id="3" xr3:uid="{A57015B2-AAB0-4C30-8BAA-9B888B79C2C0}" uniqueName="3" name="Comentario opcional sobre el mes (a ver si hay algún razonamiento, o pura potra!)" queryTableFieldId="3"/>
    <tableColumn id="4" xr3:uid="{2127442E-DD59-423B-8A79-183E47129FBD}" uniqueName="4" name="Nick" queryTableFieldId="4"/>
    <tableColumn id="7" xr3:uid="{647B1622-28B2-45E9-9B71-0F1CCB4439BF}" uniqueName="7" name="desvio" queryTableFieldId="7" dataDxfId="56">
      <calculatedColumnFormula>apuestas_ene24[[#This Row],[Apuesta Miniporra]]-$B$3</calculatedColumnFormula>
    </tableColumn>
    <tableColumn id="8" xr3:uid="{5839308A-FF43-4FE6-994A-69FC2FBFD373}" uniqueName="8" name="desvio %" queryTableFieldId="8" dataDxfId="55" dataCellStyle="Porcentaje">
      <calculatedColumnFormula>ABS(apuestas_ene24[[#This Row],[desvio]])/$B$3</calculatedColumnFormula>
    </tableColumn>
    <tableColumn id="9" xr3:uid="{D681A7E5-48A8-4BA5-A1D0-EFAFCED602D5}" uniqueName="9" name="orden" queryTableFieldId="9">
      <calculatedColumnFormula>_xlfn.RANK.EQ(apuestas_ene24[[#This Row],[desvio %]],apuestas_ene24[desvio %],1)</calculatedColumnFormula>
    </tableColumn>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4CEF9391-B43E-4CBF-B1F4-2F44D40D4822}" name="resultados_ene" displayName="resultados_ene" ref="J6:O41" totalsRowShown="0">
  <sortState xmlns:xlrd2="http://schemas.microsoft.com/office/spreadsheetml/2017/richdata2" ref="K7:O40">
    <sortCondition descending="1" ref="M8:M42"/>
  </sortState>
  <tableColumns count="6">
    <tableColumn id="6" xr3:uid="{8058751A-E8C6-4112-B589-8A85E7A97AC6}" name="Mes" dataDxfId="166"/>
    <tableColumn id="5" xr3:uid="{87D26E61-8A03-4C8E-BEFD-83B6744BB592}" name="Posición">
      <calculatedColumnFormula>INDEX(#REF!,MATCH(resultados_ene[[#This Row],[Nombre ]],#REF!,0))</calculatedColumnFormula>
    </tableColumn>
    <tableColumn id="1" xr3:uid="{26ACD900-F3D6-423F-9243-731C53ECE4B4}" name="Nombre ">
      <calculatedColumnFormula>INDEX(apuestas_ene24[Nombre],MATCH(resultados_ene[[#This Row],[Apuesta MiniPorra]],apuestas_ene24[Apuesta Miniporra],0))</calculatedColumnFormula>
    </tableColumn>
    <tableColumn id="2" xr3:uid="{C2357B11-D885-4BDB-8898-3828809D591C}" name="Apuesta MiniPorra">
      <calculatedColumnFormula>apuestas_ene24[[#This Row],[Apuesta Miniporra]]</calculatedColumnFormula>
    </tableColumn>
    <tableColumn id="3" xr3:uid="{F3828DDF-389E-45F0-B502-58B606D3B14D}" name="Desvío">
      <calculatedColumnFormula>INDEX(#REF!,MATCH(resultados_ene[[#This Row],[Apuesta MiniPorra]],#REF!,0))</calculatedColumnFormula>
    </tableColumn>
    <tableColumn id="4" xr3:uid="{EC267965-FE50-46A6-AD7E-20B6D0A718AC}" name="% Desvío">
      <calculatedColumnFormula>INDEX(#REF!,MATCH(resultados_ene[[#This Row],[Desvío]],#REF!,0))</calculatedColumnFormula>
    </tableColumn>
  </tableColumns>
  <tableStyleInfo name="TableStyleMedium1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81C1C51-D1BC-4A58-A03B-095F2E5F0335}" name="omie_enero_miniporra" displayName="omie_enero_miniporra" ref="P6:Q37" tableType="queryTable" totalsRowShown="0">
  <tableColumns count="2">
    <tableColumn id="3" xr3:uid="{97FF83A8-1AF8-4A7E-AF72-841246FE3CAA}" uniqueName="3" name="dia" queryTableFieldId="1" dataDxfId="79"/>
    <tableColumn id="2" xr3:uid="{112BE060-2A41-4409-AC9E-4B10C5D827B0}" uniqueName="2" name="€/MWh" queryTableFieldId="2" dataDxfId="78"/>
  </tableColumns>
  <tableStyleInfo name="TableStyleMedium10"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0634F78-D7AE-4507-8380-B4B0CBBCB729}" name="apuestas_feb24" displayName="apuestas_feb24" ref="A6:H41" tableType="queryTable" totalsRowShown="0">
  <autoFilter ref="A6:H41" xr:uid="{098F5C38-D95C-4E3A-AB83-472C8F946512}"/>
  <sortState xmlns:xlrd2="http://schemas.microsoft.com/office/spreadsheetml/2017/richdata2" ref="A7:H41">
    <sortCondition descending="1" ref="C6:C41"/>
  </sortState>
  <tableColumns count="8">
    <tableColumn id="6" xr3:uid="{FE2D57C9-15D9-4F51-9F71-91E4A4CA6A22}" uniqueName="6" name="Mes de apuesta" queryTableFieldId="5"/>
    <tableColumn id="10" xr3:uid="{CD2BC85B-FAA0-4A5F-97C4-BF5675BF5597}" uniqueName="10" name="Nombre" queryTableFieldId="10" dataDxfId="77"/>
    <tableColumn id="11" xr3:uid="{7B69A02D-B41D-41F8-9C61-71C976F5390C}" uniqueName="11" name="Apuesta Miniporra" queryTableFieldId="12"/>
    <tableColumn id="3" xr3:uid="{1C06618A-9E40-4E36-BAA6-BD716AAFAB4E}" uniqueName="3" name="Comentario opcional sobre el mes (a ver si hay algún razonamiento, o pura potra!)" queryTableFieldId="3"/>
    <tableColumn id="4" xr3:uid="{182382EF-67E2-415D-9788-6EB71CB02525}" uniqueName="4" name="Nick" queryTableFieldId="4"/>
    <tableColumn id="7" xr3:uid="{724AA557-D080-4A76-BFD1-2E0F3FCD9ADC}" uniqueName="7" name="desvio" queryTableFieldId="7" dataDxfId="76">
      <calculatedColumnFormula>apuestas_feb24[[#This Row],[Apuesta Miniporra]]-$B$3</calculatedColumnFormula>
    </tableColumn>
    <tableColumn id="8" xr3:uid="{81DC3DE0-9675-4AB8-94EE-E87E41FFB9E2}" uniqueName="8" name="desvio %" queryTableFieldId="8" dataDxfId="75" dataCellStyle="Porcentaje">
      <calculatedColumnFormula>ABS(apuestas_feb24[[#This Row],[desvio]])/$B$3</calculatedColumnFormula>
    </tableColumn>
    <tableColumn id="9" xr3:uid="{C6F4BDB9-D80B-4816-8CE2-578F1F41AD39}" uniqueName="9" name="orden" queryTableFieldId="9">
      <calculatedColumnFormula>_xlfn.RANK.EQ(apuestas_feb24[[#This Row],[desvio %]],apuestas_feb24[desvio %],1)</calculatedColumnFormula>
    </tableColumn>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44968790-C47B-4EA2-A950-D09B46D836B4}" name="resultados_feb" displayName="resultados_feb" ref="J6:O41" totalsRowShown="0">
  <sortState xmlns:xlrd2="http://schemas.microsoft.com/office/spreadsheetml/2017/richdata2" ref="K7:O40">
    <sortCondition descending="1" ref="M8:M42"/>
  </sortState>
  <tableColumns count="6">
    <tableColumn id="6" xr3:uid="{E9C37624-5BF3-46AE-BE58-1BA46737AE78}" name="Mes" dataDxfId="165"/>
    <tableColumn id="5" xr3:uid="{FA9D6D50-3DA8-494D-ADAA-93F81DD956E9}" name="Posición">
      <calculatedColumnFormula>INDEX(apuestas_feb24[orden],MATCH(resultados_feb[Apuesta MiniPorra],apuestas_feb24[Apuesta Miniporra],0))</calculatedColumnFormula>
    </tableColumn>
    <tableColumn id="1" xr3:uid="{381E93C6-9131-4E95-93B5-270415F6E453}" name="Nombre ">
      <calculatedColumnFormula>INDEX(apuestas_feb24[Nombre],MATCH(resultados_feb[[#This Row],[Apuesta MiniPorra]],apuestas_feb24[Apuesta Miniporra],0))</calculatedColumnFormula>
    </tableColumn>
    <tableColumn id="2" xr3:uid="{307FE9A2-A5FC-4F10-ABC0-1451B3211F9D}" name="Apuesta MiniPorra">
      <calculatedColumnFormula>apuestas_feb24[[#This Row],[Apuesta Miniporra]]</calculatedColumnFormula>
    </tableColumn>
    <tableColumn id="3" xr3:uid="{808C6F09-33AB-452C-A2FD-9DC464DDBE42}" name="Desvío">
      <calculatedColumnFormula>INDEX(apuestas_feb24[desvio],MATCH(resultados_feb[[#This Row],[Apuesta MiniPorra]],apuestas_feb24[Apuesta Miniporra],0))</calculatedColumnFormula>
    </tableColumn>
    <tableColumn id="4" xr3:uid="{3B5D8AA6-7081-4769-BDA0-70634EBEF180}" name="% Desvío">
      <calculatedColumnFormula>INDEX(apuestas_feb24[desvio %],MATCH(resultados_feb[[#This Row],[Apuesta MiniPorra]],apuestas_feb24[Apuesta Miniporra],0))</calculatedColumnFormula>
    </tableColumn>
  </tableColumns>
  <tableStyleInfo name="TableStyleMedium1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1F031417-AABD-46C0-9F8E-B45A404636D5}" name="omie_febrero_miniporra" displayName="omie_febrero_miniporra" ref="P6:Q35" tableType="queryTable" totalsRowShown="0">
  <tableColumns count="2">
    <tableColumn id="3" xr3:uid="{790B7E43-E8BC-4583-8E27-DFD50423C2B9}" uniqueName="3" name="dia" queryTableFieldId="1" dataDxfId="74"/>
    <tableColumn id="2" xr3:uid="{63125885-0138-47A5-A14A-5B38B8782CBD}" uniqueName="2" name="€/MWh" queryTableFieldId="2" dataDxfId="73"/>
  </tableColumns>
  <tableStyleInfo name="TableStyleMedium10"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4AB70627-E874-4231-8BDF-513A1080B5BC}" name="resultados_mar" displayName="resultados_mar" ref="J6:O31" totalsRowShown="0">
  <sortState xmlns:xlrd2="http://schemas.microsoft.com/office/spreadsheetml/2017/richdata2" ref="K7:O40">
    <sortCondition descending="1" ref="M8:M42"/>
  </sortState>
  <tableColumns count="6">
    <tableColumn id="6" xr3:uid="{AC458DD7-3B6A-4661-9494-5429CB4D732F}" name="Mes" dataDxfId="164"/>
    <tableColumn id="5" xr3:uid="{DBBAB62F-698C-43E8-8C2D-2774939F96A6}" name="Posición">
      <calculatedColumnFormula>INDEX(apuestas_mar24[orden],MATCH(resultados_mar[Apuesta MiniPorra],apuestas_mar24[Apuesta Miniporra],0))</calculatedColumnFormula>
    </tableColumn>
    <tableColumn id="1" xr3:uid="{0292D190-AE75-431B-A635-B4AFF23FA7CB}" name="Nombre ">
      <calculatedColumnFormula>apuestas_mar24[[#This Row],[Nombre]]</calculatedColumnFormula>
    </tableColumn>
    <tableColumn id="2" xr3:uid="{9B084533-A292-4FE9-BE03-0AA34AB93AA3}" name="Apuesta MiniPorra">
      <calculatedColumnFormula>apuestas_mar24[[#This Row],[Apuesta Miniporra]]</calculatedColumnFormula>
    </tableColumn>
    <tableColumn id="3" xr3:uid="{5FB5D037-0859-4C58-8F04-07EE9AF0535E}" name="Desvío">
      <calculatedColumnFormula>INDEX(apuestas_mar24[desvio],MATCH(resultados_mar[[#This Row],[Apuesta MiniPorra]],apuestas_mar24[Apuesta Miniporra],0))</calculatedColumnFormula>
    </tableColumn>
    <tableColumn id="4" xr3:uid="{A68D4D58-CC0A-4615-908F-686D91353303}" name="% Desvío">
      <calculatedColumnFormula>INDEX(apuestas_mar24[desvio %],MATCH(resultados_mar[[#This Row],[Apuesta MiniPorra]],apuestas_mar24[Apuesta Miniporra],0))</calculatedColumnFormula>
    </tableColumn>
  </tableColumns>
  <tableStyleInfo name="TableStyleMedium11"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D41C7F81-811D-4D07-A614-90BC52FF8E45}" name="omie_marzo_miniporra" displayName="omie_marzo_miniporra" ref="P6:Q37" tableType="queryTable" totalsRowShown="0">
  <tableColumns count="2">
    <tableColumn id="3" xr3:uid="{E66D947E-A592-4005-AF72-5D7ADD6829D2}" uniqueName="3" name="dia" queryTableFieldId="1"/>
    <tableColumn id="2" xr3:uid="{6E07D396-D62D-44DC-8825-3922860526E6}" uniqueName="2" name="€/MWh" queryTableFieldId="2"/>
  </tableColumns>
  <tableStyleInfo name="TableStyleMedium10"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862D4849-7646-4BE6-955E-342AFF86B6ED}" name="apuestas_mar24" displayName="apuestas_mar24" ref="A6:H31" tableType="queryTable" totalsRowShown="0">
  <autoFilter ref="A6:H31" xr:uid="{862D4849-7646-4BE6-955E-342AFF86B6ED}"/>
  <sortState xmlns:xlrd2="http://schemas.microsoft.com/office/spreadsheetml/2017/richdata2" ref="A7:H31">
    <sortCondition descending="1" ref="C6:C31"/>
  </sortState>
  <tableColumns count="8">
    <tableColumn id="6" xr3:uid="{63D6AA0B-AAB5-4008-AED5-E23D249DF07F}" uniqueName="6" name="Mes de apuesta" queryTableFieldId="1"/>
    <tableColumn id="2" xr3:uid="{F525DD30-844B-4FA7-99EA-FE949232D3B5}" uniqueName="2" name="Nombre" queryTableFieldId="2"/>
    <tableColumn id="3" xr3:uid="{A0A4309B-6398-44F0-A487-CDA960B28612}" uniqueName="3" name="Apuesta Miniporra" queryTableFieldId="3"/>
    <tableColumn id="4" xr3:uid="{EDE1804B-D2B2-4CDC-A914-E55029459AE8}" uniqueName="4" name="Comentario opcional sobre el mes (a ver si hay algún razonamiento, o pura potra!)" queryTableFieldId="4"/>
    <tableColumn id="5" xr3:uid="{E4C10379-86E9-453F-A49E-5F52959989ED}" uniqueName="5" name="Nick" queryTableFieldId="5"/>
    <tableColumn id="7" xr3:uid="{3B6671A7-71EC-4FC9-9B8F-F0715D016D11}" uniqueName="7" name="desvio" queryTableFieldId="6" dataDxfId="72">
      <calculatedColumnFormula>apuestas_mar24[[#This Row],[Apuesta Miniporra]]-$B$3</calculatedColumnFormula>
    </tableColumn>
    <tableColumn id="8" xr3:uid="{EEC73F00-D21C-421E-9E94-1D3BF5D79A01}" uniqueName="8" name="desvio %" queryTableFieldId="7" dataDxfId="71" dataCellStyle="Porcentaje">
      <calculatedColumnFormula>ABS(apuestas_mar24[[#This Row],[desvio]]/$B$3)</calculatedColumnFormula>
    </tableColumn>
    <tableColumn id="9" xr3:uid="{608B5D9D-8020-4BC4-BBDC-85B7279CA6BA}" uniqueName="9" name="orden" queryTableFieldId="8">
      <calculatedColumnFormula>_xlfn.RANK.EQ(apuestas_mar24[[#This Row],[desvio %]],apuestas_mar24[desvio %],1)</calculatedColumnFormula>
    </tableColumn>
  </tableColumns>
  <tableStyleInfo name="TableStyleMedium7"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95C64980-936A-416A-8261-EB6F3626D16E}" name="resultados_abr" displayName="resultados_abr" ref="J6:O35" totalsRowShown="0">
  <sortState xmlns:xlrd2="http://schemas.microsoft.com/office/spreadsheetml/2017/richdata2" ref="K7:O40">
    <sortCondition descending="1" ref="M8:M42"/>
  </sortState>
  <tableColumns count="6">
    <tableColumn id="6" xr3:uid="{3CEE2BA5-EA8C-4F33-8417-1FA5FD347D62}" name="Mes" dataDxfId="163"/>
    <tableColumn id="5" xr3:uid="{034614ED-9251-4D03-A66F-9EAA94315F55}" name="Posición">
      <calculatedColumnFormula>INDEX(apuestas_abr24[orden],MATCH(resultados_abr[Apuesta MiniPorra],apuestas_abr24[Apuesta Miniporra],0))</calculatedColumnFormula>
    </tableColumn>
    <tableColumn id="1" xr3:uid="{C02602A3-0727-4A15-BE7D-C68207D5A17D}" name="Nombre ">
      <calculatedColumnFormula>apuestas_abr24[[#This Row],[Nombre]]</calculatedColumnFormula>
    </tableColumn>
    <tableColumn id="2" xr3:uid="{BA54683E-D23F-4738-BD97-2E55398308F4}" name="Apuesta MiniPorra">
      <calculatedColumnFormula>apuestas_abr24[[#This Row],[Apuesta Miniporra]]</calculatedColumnFormula>
    </tableColumn>
    <tableColumn id="3" xr3:uid="{BBF1A369-F1A5-453D-A948-AA610A2EA419}" name="Desvío">
      <calculatedColumnFormula>INDEX(apuestas_abr24[desvio],MATCH(resultados_abr[[#This Row],[Apuesta MiniPorra]],apuestas_abr24[Apuesta Miniporra],0))</calculatedColumnFormula>
    </tableColumn>
    <tableColumn id="4" xr3:uid="{B39CC2A9-D92A-4475-AB60-D483A6A9C396}" name="% Desvío">
      <calculatedColumnFormula>INDEX(apuestas_abr24[desvio %],MATCH(resultados_abr[[#This Row],[Apuesta MiniPorra]],apuestas_abr24[Apuesta Miniporra],0))</calculatedColumnFormula>
    </tableColumn>
  </tableColumns>
  <tableStyleInfo name="TableStyleMedium1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2301E641-8927-44B1-A413-F566CF374C0D}" name="omie_abril_miniporra" displayName="omie_abril_miniporra" ref="P6:Q36" tableType="queryTable" totalsRowShown="0">
  <tableColumns count="2">
    <tableColumn id="3" xr3:uid="{41D59A51-FCB0-4095-AAC4-ED0170AFA629}" uniqueName="3" name="dia" queryTableFieldId="1" dataDxfId="162"/>
    <tableColumn id="2" xr3:uid="{7DFE6567-AD6C-4D7F-9DE9-A9257B71CA31}" uniqueName="2" name="€/MWh" queryTableFieldId="2" dataDxfId="161"/>
  </tableColumns>
  <tableStyleInfo name="TableStyleMedium10"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6B13BDB-3E3E-4A3C-AB91-832241C754AA}" name="apuestas_abr24" displayName="apuestas_abr24" ref="A6:H35" tableType="queryTable" totalsRowShown="0">
  <autoFilter ref="A6:H35" xr:uid="{B6B13BDB-3E3E-4A3C-AB91-832241C754AA}"/>
  <sortState xmlns:xlrd2="http://schemas.microsoft.com/office/spreadsheetml/2017/richdata2" ref="A7:H35">
    <sortCondition descending="1" ref="C6:C35"/>
  </sortState>
  <tableColumns count="8">
    <tableColumn id="6" xr3:uid="{F3C76560-6FA8-4D46-8B16-1F1BDE4C8FCB}" uniqueName="6" name="Mes de apuesta" queryTableFieldId="1" dataDxfId="160"/>
    <tableColumn id="2" xr3:uid="{63CC34E9-E87C-4C59-918A-26E8527564EE}" uniqueName="2" name="Nombre" queryTableFieldId="2" dataDxfId="159"/>
    <tableColumn id="3" xr3:uid="{D5309798-70CB-45EE-B7CE-DC81AAD9AF3E}" uniqueName="3" name="Apuesta Miniporra" queryTableFieldId="3" dataDxfId="158"/>
    <tableColumn id="4" xr3:uid="{6D244967-2AD4-4F80-AA3B-75E23E623EFF}" uniqueName="4" name="Comentario opcional sobre el mes (a ver si hay algún razonamiento, o pura potra!)" queryTableFieldId="4" dataDxfId="157"/>
    <tableColumn id="5" xr3:uid="{C7C1000D-440B-453E-A51D-A3D4A385C5DE}" uniqueName="5" name="Nick" queryTableFieldId="5" dataDxfId="156"/>
    <tableColumn id="7" xr3:uid="{DAE7AFD6-9B39-445C-950A-CA2CE06CADF7}" uniqueName="7" name="desvio" queryTableFieldId="6" dataDxfId="63">
      <calculatedColumnFormula>apuestas_abr24[[#This Row],[Apuesta Miniporra]]-$B$3</calculatedColumnFormula>
    </tableColumn>
    <tableColumn id="8" xr3:uid="{A30B4056-BA32-4443-9D36-347085E457DB}" uniqueName="8" name="desvio %" queryTableFieldId="7" dataDxfId="62" dataCellStyle="Porcentaje">
      <calculatedColumnFormula>ABS(apuestas_abr24[[#This Row],[desvio]])/$B$3</calculatedColumnFormula>
    </tableColumn>
    <tableColumn id="9" xr3:uid="{A5092CA8-C510-4F02-93C3-3191A125BC94}" uniqueName="9" name="orden" queryTableFieldId="8" dataDxfId="61">
      <calculatedColumnFormula>_xlfn.RANK.EQ(apuestas_abr24[[#This Row],[desvio %]],apuestas_abr24[desvio %],1)</calculatedColumnFormula>
    </tableColumn>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F20D244E-09DE-4A7F-B811-2879E4F099FC}" name="resultados_may" displayName="resultados_may" ref="J6:O49" totalsRowShown="0">
  <sortState xmlns:xlrd2="http://schemas.microsoft.com/office/spreadsheetml/2017/richdata2" ref="J7:N40">
    <sortCondition descending="1" ref="L8:L42"/>
  </sortState>
  <tableColumns count="6">
    <tableColumn id="6" xr3:uid="{DEB2D7BD-EA86-41BC-AB90-A1C531131E93}" name="Mes" dataDxfId="155"/>
    <tableColumn id="5" xr3:uid="{458AE984-1A8B-4C13-B223-56FADCE0D6ED}" name="Posición">
      <calculatedColumnFormula>INDEX(apuestas_may24[orden],MATCH(resultados_may[Apuesta MiniPorra],apuestas_may24[Apuesta Miniporra],0))</calculatedColumnFormula>
    </tableColumn>
    <tableColumn id="1" xr3:uid="{914CFD18-2724-4AF2-9023-DFE2D92154F8}" name="Nombre ">
      <calculatedColumnFormula>apuestas_may24[[#This Row],[Nombre]]</calculatedColumnFormula>
    </tableColumn>
    <tableColumn id="2" xr3:uid="{9511210E-C114-430F-94E5-2CA5934508FB}" name="Apuesta MiniPorra" dataDxfId="154">
      <calculatedColumnFormula>apuestas_may24[[#This Row],[Apuesta Miniporra]]</calculatedColumnFormula>
    </tableColumn>
    <tableColumn id="3" xr3:uid="{96A41FB4-C8AC-410B-9789-87D4D8365CDE}" name="Desvío">
      <calculatedColumnFormula>INDEX(apuestas_may24[desvio],MATCH(resultados_may[[#This Row],[Apuesta MiniPorra]],apuestas_may24[Apuesta Miniporra],0))</calculatedColumnFormula>
    </tableColumn>
    <tableColumn id="4" xr3:uid="{4AE5301C-396D-43D0-95C7-100975031CDB}" name="% Desvío">
      <calculatedColumnFormula>INDEX(apuestas_may24[desvio %],MATCH(resultados_may[[#This Row],[Apuesta MiniPorra]],apuestas_may24[Apuesta Miniporra],0))</calculatedColumnFormula>
    </tableColumn>
  </tableColumns>
  <tableStyleInfo name="TableStyleMedium1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DDF12ECB-4017-4538-A1DB-ED13A78DC832}" name="omie_mayo_miniporra" displayName="omie_mayo_miniporra" ref="P6:Q37" tableType="queryTable" totalsRowShown="0">
  <tableColumns count="2">
    <tableColumn id="3" xr3:uid="{A4AF5573-1542-4C9D-B4B4-D76A87986FC8}" uniqueName="3" name="dia" queryTableFieldId="1" dataDxfId="153"/>
    <tableColumn id="2" xr3:uid="{6221ADDE-CB24-4A6A-96BA-57541B44C061}" uniqueName="2" name="€/MWh" queryTableFieldId="2" dataDxfId="152"/>
  </tableColumns>
  <tableStyleInfo name="TableStyleMedium10"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D22D82E9-3021-45E3-9CB8-CB7956C28B6A}" name="apuestas_may24" displayName="apuestas_may24" ref="A6:H49" tableType="queryTable" totalsRowShown="0">
  <autoFilter ref="A6:H49" xr:uid="{B6B13BDB-3E3E-4A3C-AB91-832241C754AA}"/>
  <sortState xmlns:xlrd2="http://schemas.microsoft.com/office/spreadsheetml/2017/richdata2" ref="A7:H49">
    <sortCondition descending="1" ref="C6:C49"/>
  </sortState>
  <tableColumns count="8">
    <tableColumn id="6" xr3:uid="{FE95A8F7-B5EC-47AB-8504-DA7EE6F35AF9}" uniqueName="6" name="Mes de apuesta" queryTableFieldId="1" dataDxfId="151"/>
    <tableColumn id="2" xr3:uid="{B5F7B107-5DDF-4C32-8615-14256617EF80}" uniqueName="2" name="Nombre" queryTableFieldId="2" dataDxfId="150"/>
    <tableColumn id="3" xr3:uid="{9A9D4B3D-3CA1-488F-B979-8F3D3E7E0FA3}" uniqueName="3" name="Apuesta Miniporra" queryTableFieldId="3" dataDxfId="60"/>
    <tableColumn id="4" xr3:uid="{4C308168-16E2-4D1E-A900-60D706F4AFE9}" uniqueName="4" name="Comentario opcional sobre el mes (a ver si hay algún razonamiento, o pura potra!)" queryTableFieldId="4" dataDxfId="149"/>
    <tableColumn id="5" xr3:uid="{194CBFA1-FDCF-4266-AAB7-44FFFA28F384}" uniqueName="5" name="Nick" queryTableFieldId="5" dataDxfId="148"/>
    <tableColumn id="7" xr3:uid="{51F8B782-841B-4580-B595-E4DC3B0D5138}" uniqueName="7" name="desvio" queryTableFieldId="6" dataDxfId="59">
      <calculatedColumnFormula>apuestas_may24[[#This Row],[Apuesta Miniporra]]-$B$3</calculatedColumnFormula>
    </tableColumn>
    <tableColumn id="8" xr3:uid="{313F1E8F-57D2-4E48-BCD1-079F75DE6779}" uniqueName="8" name="desvio %" queryTableFieldId="7" dataDxfId="58" dataCellStyle="Porcentaje">
      <calculatedColumnFormula>ABS(apuestas_may24[[#This Row],[desvio]])/$B$3</calculatedColumnFormula>
    </tableColumn>
    <tableColumn id="9" xr3:uid="{777E69ED-5E6E-476B-8031-58AFB11670EF}" uniqueName="9" name="orden" queryTableFieldId="8" dataDxfId="57">
      <calculatedColumnFormula>_xlfn.RANK.EQ(apuestas_may24[[#This Row],[desvio %]],apuestas_may24[desvio %],1)</calculatedColumnFormula>
    </tableColumn>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765F6A82-1F8D-48B7-BDC6-96068E5C924F}" name="resultados_jun" displayName="resultados_jun" ref="J6:O59" totalsRowShown="0">
  <sortState xmlns:xlrd2="http://schemas.microsoft.com/office/spreadsheetml/2017/richdata2" ref="J7:N40">
    <sortCondition descending="1" ref="L8:L42"/>
  </sortState>
  <tableColumns count="6">
    <tableColumn id="6" xr3:uid="{7380F0AD-895A-4BE2-B665-44147121B8BF}" name="Mes" dataDxfId="147"/>
    <tableColumn id="5" xr3:uid="{9F15611F-74E5-4C3C-9A36-084F96BD733F}" name="Posición">
      <calculatedColumnFormula>INDEX(apuestas_jun24[orden],MATCH(resultados_jun[Apuesta MiniPorra],apuestas_jun24[Apuesta Miniporra],0))</calculatedColumnFormula>
    </tableColumn>
    <tableColumn id="1" xr3:uid="{23FAFC9E-64E5-4512-BD46-8435D2A80011}" name="Nombre ">
      <calculatedColumnFormula>apuestas_jun24[[#This Row],[Nombre]]</calculatedColumnFormula>
    </tableColumn>
    <tableColumn id="2" xr3:uid="{A624E02C-4A1D-4407-B0BA-E007FD32336D}" name="Apuesta MiniPorra" dataDxfId="146">
      <calculatedColumnFormula>apuestas_jun24[[#This Row],[Apuesta Miniporra]]</calculatedColumnFormula>
    </tableColumn>
    <tableColumn id="3" xr3:uid="{014A54CB-C480-456D-A80D-C2184C732EAE}" name="Desvío">
      <calculatedColumnFormula>INDEX(apuestas_jun24[desvio],MATCH(resultados_jun[[#This Row],[Apuesta MiniPorra]],apuestas_jun24[Apuesta Miniporra],0))</calculatedColumnFormula>
    </tableColumn>
    <tableColumn id="4" xr3:uid="{BE24F232-A888-43C5-8951-A1EA764FAF6C}" name="% Desvío">
      <calculatedColumnFormula>INDEX(apuestas_jun24[desvio %],MATCH(resultados_jun[[#This Row],[Apuesta MiniPorra]],apuestas_jun24[Apuesta Miniporra],0))</calculatedColumnFormula>
    </tableColumn>
  </tableColumns>
  <tableStyleInfo name="TableStyleMedium1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E06B5E4C-81A2-44E6-B877-BDBA8C9E9A7B}" name="apuestas_jun24" displayName="apuestas_jun24" ref="A6:H59" tableType="queryTable" totalsRowShown="0">
  <autoFilter ref="A6:H59" xr:uid="{B6B13BDB-3E3E-4A3C-AB91-832241C754AA}"/>
  <sortState xmlns:xlrd2="http://schemas.microsoft.com/office/spreadsheetml/2017/richdata2" ref="A7:H59">
    <sortCondition descending="1" ref="C6:C59"/>
  </sortState>
  <tableColumns count="8">
    <tableColumn id="6" xr3:uid="{DCDE470F-63BB-425F-AC60-D668F7FFFFBF}" uniqueName="6" name="Mes de apuesta" queryTableFieldId="1" dataDxfId="145"/>
    <tableColumn id="2" xr3:uid="{0862D624-82CA-418C-8D1D-90D12B43D2C0}" uniqueName="2" name="Nombre" queryTableFieldId="2" dataDxfId="144"/>
    <tableColumn id="3" xr3:uid="{6D8DD44C-F12E-40C3-8FBC-3D50B196D54D}" uniqueName="3" name="Apuesta Miniporra" queryTableFieldId="3" dataDxfId="70"/>
    <tableColumn id="4" xr3:uid="{FBD7911B-6AA1-49D9-9D70-654CAC54530E}" uniqueName="4" name="Comentario opcional sobre el mes (a ver si hay algún razonamiento, o pura potra!)" queryTableFieldId="4" dataDxfId="143"/>
    <tableColumn id="5" xr3:uid="{FD3DBE29-3F14-4282-A720-773697844872}" uniqueName="5" name="Nick" queryTableFieldId="5" dataDxfId="142"/>
    <tableColumn id="7" xr3:uid="{76267DB3-4E70-4246-A439-DA7D5371FE83}" uniqueName="7" name="desvio" queryTableFieldId="6" dataDxfId="69">
      <calculatedColumnFormula>apuestas_jun24[[#This Row],[Apuesta Miniporra]]-$B$3</calculatedColumnFormula>
    </tableColumn>
    <tableColumn id="8" xr3:uid="{CC4EF30D-60B5-4DEE-8EA7-837A39EFC2B6}" uniqueName="8" name="desvio %" queryTableFieldId="7" dataDxfId="68" dataCellStyle="Porcentaje">
      <calculatedColumnFormula>ABS(apuestas_jun24[[#This Row],[desvio]])/$B$3</calculatedColumnFormula>
    </tableColumn>
    <tableColumn id="9" xr3:uid="{6DD54322-AA0F-4AB5-AD49-29681F0B3307}" uniqueName="9" name="orden" queryTableFieldId="8" dataDxfId="67">
      <calculatedColumnFormula>_xlfn.RANK.EQ(apuestas_jun24[[#This Row],[desvio %]],apuestas_jun24[desvio %],1)</calculatedColumnFormula>
    </tableColumn>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B925CE4A-9DB1-48C6-8628-348F1D747C81}" name="Tabla42" displayName="Tabla42" ref="P6:Q36" totalsRowShown="0" headerRowDxfId="141" dataDxfId="140" dataCellStyle="Porcentaje">
  <autoFilter ref="P6:Q36" xr:uid="{B925CE4A-9DB1-48C6-8628-348F1D747C81}"/>
  <tableColumns count="2">
    <tableColumn id="1" xr3:uid="{0852FBB8-A0B5-4443-B502-FE411EE21673}" name="dia" dataDxfId="139" dataCellStyle="Porcentaje"/>
    <tableColumn id="2" xr3:uid="{57C455C0-7EBB-428C-AC90-8CB177CA04C5}" name="€/MWh" dataDxfId="138" dataCellStyle="Porcentaje"/>
  </tableColumns>
  <tableStyleInfo name="TableStyleMedium10"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CA4B3FBD-9D31-4C05-977F-B736454840C8}" name="Tabla41" displayName="Tabla41" ref="A58:B111" totalsRowShown="0">
  <autoFilter ref="A58:B111" xr:uid="{CA4B3FBD-9D31-4C05-977F-B736454840C8}"/>
  <sortState xmlns:xlrd2="http://schemas.microsoft.com/office/spreadsheetml/2017/richdata2" ref="A59:B111">
    <sortCondition ref="A58:A111"/>
  </sortState>
  <tableColumns count="2">
    <tableColumn id="1" xr3:uid="{3E62C92D-D748-45CF-88B7-8B98A8B46DC7}" name="Nombre"/>
    <tableColumn id="2" xr3:uid="{46A62D0D-047B-48D2-9360-A3811F668D89}" name="apuesta" dataDxfId="137"/>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FF0DB02-DBB6-4E53-B146-F468B0F05539}" name="Tabla2336" displayName="Tabla2336" ref="B6:C37" totalsRowShown="0" headerRowDxfId="136">
  <tableColumns count="2">
    <tableColumn id="1" xr3:uid="{35DF48D8-C743-4C9F-921B-A1FC958186C3}" name="dia" dataDxfId="135"/>
    <tableColumn id="2" xr3:uid="{9841945D-0A16-4A16-BCE9-26670D0633AA}" name="€/MWh" dataDxfId="134">
      <calculatedColumnFormula>IFERROR(omie_mayo_miniporra[[#This Row],[€/MWh]],"")</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11B235A7-2824-4C9D-BEC2-AF3525D1E591}" name="in_tabla_precios_tec_marginal" displayName="in_tabla_precios_tec_marginal" ref="A3:E27" tableType="queryTable" totalsRowShown="0">
  <tableColumns count="5">
    <tableColumn id="6" xr3:uid="{8B78D854-5CB4-40FA-84C1-F671313CE3D3}" uniqueName="6" name="hora" queryTableFieldId="1" dataDxfId="119"/>
    <tableColumn id="2" xr3:uid="{B74B277F-3EA1-4B86-BA13-AB707542DEC3}" uniqueName="2" name="RE media" queryTableFieldId="2" dataDxfId="118"/>
    <tableColumn id="3" xr3:uid="{7AF76DDC-047D-4719-8689-D2F7BFC8F171}" uniqueName="3" name="TCC media" queryTableFieldId="3" dataDxfId="117"/>
    <tableColumn id="4" xr3:uid="{356021E6-447F-4237-9628-8EE14FDF0DF6}" uniqueName="4" name="HI media" queryTableFieldId="4" dataDxfId="116"/>
    <tableColumn id="5" xr3:uid="{722AEE7E-A90E-44DF-ADF8-F2B0FA8C07FC}" uniqueName="5" name="OMIE" queryTableFieldId="5" dataDxfId="115"/>
  </tableColumns>
  <tableStyleInfo name="TableStyleMedium7"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998976A-96C8-42C8-A85D-B74DD164453D}" name="t_mibgas_diario" displayName="t_mibgas_diario" ref="G3:I34" tableType="queryTable" totalsRowShown="0">
  <tableColumns count="3">
    <tableColumn id="4" xr3:uid="{5921B093-4BBB-4FBE-B547-C5583D6861B8}" uniqueName="4" name="Día" queryTableFieldId="1" dataDxfId="114"/>
    <tableColumn id="2" xr3:uid="{0D2884B0-F8E6-4046-960C-92B6BB12AD60}" uniqueName="2" name="Mibgas D+1" queryTableFieldId="2" dataDxfId="113"/>
    <tableColumn id="3" xr3:uid="{F403C042-6C6B-4265-9744-654D84EC9366}" uniqueName="3" name="Media mensual" queryTableFieldId="3" dataDxfId="112"/>
  </tableColumns>
  <tableStyleInfo name="TableStyleMedium7"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1607674-35C9-4280-B1C4-787B47D65712}" name="t_co2_diario" displayName="t_co2_diario" ref="K3:M34" tableType="queryTable" totalsRowShown="0">
  <tableColumns count="3">
    <tableColumn id="4" xr3:uid="{F5B6480A-7827-491D-AB6B-A949565BF632}" uniqueName="4" name="dia" queryTableFieldId="1" dataDxfId="111"/>
    <tableColumn id="2" xr3:uid="{0AAC8E48-3106-45C5-BD15-5C2D7DCC0492}" uniqueName="2" name="€/Ton" queryTableFieldId="2" dataDxfId="110"/>
    <tableColumn id="3" xr3:uid="{663199BC-268D-4661-9652-DF21A4887E93}" uniqueName="3" name="Media mensual" queryTableFieldId="3" dataDxfId="109"/>
  </tableColumns>
  <tableStyleInfo name="TableStyleMedium7"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A91B17F-8292-4006-82CF-844460446D88}" name="t_omie_evol" displayName="t_omie_evol" ref="O3:AE34" tableType="queryTable" totalsRowShown="0">
  <tableColumns count="17">
    <tableColumn id="10" xr3:uid="{DB85B6FC-4229-4D66-AFF9-A953C5CB51B6}" uniqueName="10" name="Dia" queryTableFieldId="1" dataDxfId="108"/>
    <tableColumn id="2" xr3:uid="{86358F3D-5E83-44C8-96D1-7642D890E1CC}" uniqueName="2" name="Omie media mensual (€/MWh)" queryTableFieldId="2" dataDxfId="107"/>
    <tableColumn id="3" xr3:uid="{2965D49F-4277-4D41-BC17-2FFA3690E718}" uniqueName="3" name="Omie media diaria" queryTableFieldId="3" dataDxfId="106"/>
    <tableColumn id="4" xr3:uid="{8F682861-559E-4A0A-8B35-1534F8A5F69F}" uniqueName="4" name="% Horas RE" queryTableFieldId="4" dataDxfId="105"/>
    <tableColumn id="5" xr3:uid="{344D2180-B89F-4486-BC79-F47F0F44DADB}" uniqueName="5" name="Media RE" queryTableFieldId="5" dataDxfId="104"/>
    <tableColumn id="6" xr3:uid="{A36E75B8-8FD4-4C99-9725-6E3DA266953A}" uniqueName="6" name="% Horas TCC" queryTableFieldId="6" dataDxfId="103"/>
    <tableColumn id="7" xr3:uid="{43A6144B-7FD2-40F0-B6ED-D5E57CDFBAB3}" uniqueName="7" name="Media TCC" queryTableFieldId="7" dataDxfId="102"/>
    <tableColumn id="8" xr3:uid="{DA09BE26-A2F1-42A9-BA4D-7C9AE9DBD543}" uniqueName="8" name="% Horas HI" queryTableFieldId="8" dataDxfId="101"/>
    <tableColumn id="9" xr3:uid="{A91EC14A-FF51-4D62-91D0-937E724D6271}" uniqueName="9" name="Media HI" queryTableFieldId="9" dataDxfId="100"/>
    <tableColumn id="16" xr3:uid="{BF6E5F0C-B5E4-4FC0-A159-657DA0ABF921}" uniqueName="16" name="demanda GWh" queryTableFieldId="17" dataDxfId="99"/>
    <tableColumn id="1" xr3:uid="{B592C603-FE74-4AAC-A7C1-ECEAD3B3AE21}" uniqueName="1" name="Precio RE" queryTableFieldId="11" dataDxfId="98"/>
    <tableColumn id="11" xr3:uid="{C1508DD3-459F-4835-BBDF-8C2A8B2FDFE7}" uniqueName="11" name="Precio medio RE" queryTableFieldId="12" dataDxfId="97"/>
    <tableColumn id="12" xr3:uid="{9026679D-B662-4523-973E-EA357394609B}" uniqueName="12" name="Precio TCC" queryTableFieldId="13" dataDxfId="96"/>
    <tableColumn id="13" xr3:uid="{CC7FB6CB-EEDE-4ED3-9DA5-F327C6E5A005}" uniqueName="13" name="Precio medio TCC" queryTableFieldId="14" dataDxfId="95"/>
    <tableColumn id="14" xr3:uid="{A9F3EF14-38B3-40EF-99B0-680C34ED4F7C}" uniqueName="14" name="Precio HI" queryTableFieldId="15" dataDxfId="94"/>
    <tableColumn id="15" xr3:uid="{8AA8DD72-56CF-4570-AB9C-E4009ED6B6EF}" uniqueName="15" name="Precio medio HI" queryTableFieldId="16" dataDxfId="93"/>
    <tableColumn id="17" xr3:uid="{B2E69756-B019-4223-9637-3598684CE6DE}" uniqueName="17" name="demanda grafico" queryTableFieldId="19" dataDxfId="92">
      <calculatedColumnFormula>IF(ISBLANK(t_omie_evol[[#This Row],[Omie media diaria]]),$X$39,t_omie_evol[[#This Row],[demanda GWh]])</calculatedColumnFormula>
    </tableColumn>
  </tableColumns>
  <tableStyleInfo name="TableStyleMedium7"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5738F2DC-722C-4482-A979-60E12AD3BD68}" name="resultados_ene_2" displayName="resultados_ene_2" ref="A1:F36" tableType="queryTable" totalsRowShown="0" headerRowDxfId="133">
  <autoFilter ref="A1:F36" xr:uid="{5738F2DC-722C-4482-A979-60E12AD3BD68}"/>
  <sortState xmlns:xlrd2="http://schemas.microsoft.com/office/spreadsheetml/2017/richdata2" ref="A2:F36">
    <sortCondition ref="C1:C36"/>
  </sortState>
  <tableColumns count="6">
    <tableColumn id="1" xr3:uid="{F3AF217F-3448-48AE-819D-46E0FE835685}" uniqueName="1" name="Mes" queryTableFieldId="6"/>
    <tableColumn id="6" xr3:uid="{D221F512-6864-428F-B9F1-7453F9E784EC}" uniqueName="6" name="Posición" queryTableFieldId="1"/>
    <tableColumn id="2" xr3:uid="{039B5DC7-6059-46C8-8F25-63E4A98116E7}" uniqueName="2" name="Nombre " queryTableFieldId="2"/>
    <tableColumn id="3" xr3:uid="{3CB36CF8-8A33-44C1-91CF-57490CD6E6F1}" uniqueName="3" name="Apuesta MiniPorra" queryTableFieldId="3"/>
    <tableColumn id="4" xr3:uid="{C111E5C1-E1BF-440F-BD64-BFB544C7D5A4}" uniqueName="4" name="Desvío" queryTableFieldId="4"/>
    <tableColumn id="5" xr3:uid="{D0D1DAED-DC19-44A5-AF6B-79AB5EC9F463}" uniqueName="5" name="% Desvío" queryTableFieldId="5" dataCellStyle="Porcentaje"/>
  </tableColumns>
  <tableStyleInfo name="TableStyleMedium7"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89E97DF8-0A65-45D0-8F34-EF2B96761BC8}" name="resultados_feb_2" displayName="resultados_feb_2" ref="H1:M36" tableType="queryTable" totalsRowShown="0" headerRowDxfId="132">
  <autoFilter ref="H1:M36" xr:uid="{89E97DF8-0A65-45D0-8F34-EF2B96761BC8}"/>
  <sortState xmlns:xlrd2="http://schemas.microsoft.com/office/spreadsheetml/2017/richdata2" ref="H2:M36">
    <sortCondition ref="J1:J36"/>
  </sortState>
  <tableColumns count="6">
    <tableColumn id="1" xr3:uid="{6D3269D5-174D-4264-85D1-540BA1B8D35F}" uniqueName="1" name="Mes" queryTableFieldId="6"/>
    <tableColumn id="6" xr3:uid="{CE8FB45B-4125-46A8-A327-25BE199E16B0}" uniqueName="6" name="Posición" queryTableFieldId="1"/>
    <tableColumn id="2" xr3:uid="{BF075D39-AA50-4C2A-B890-FF6E2B79E3C2}" uniqueName="2" name="Nombre " queryTableFieldId="2"/>
    <tableColumn id="3" xr3:uid="{30770FB5-1D34-407E-9F02-BD2FE67F1AB6}" uniqueName="3" name="Apuesta MiniPorra" queryTableFieldId="3"/>
    <tableColumn id="4" xr3:uid="{0C94641E-923A-4DB7-AEC0-44E0FB0263DD}" uniqueName="4" name="Desvío" queryTableFieldId="4"/>
    <tableColumn id="5" xr3:uid="{8DB3D22E-1312-44DB-B4CF-6B6A178415E5}" uniqueName="5" name="% Desvío" queryTableFieldId="5" dataDxfId="131" dataCellStyle="Porcentaje"/>
  </tableColumns>
  <tableStyleInfo name="TableStyleMedium7"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172672AA-5A0F-48FA-884C-1B384329D24E}" name="resultados_mar_2" displayName="resultados_mar_2" ref="O1:T26" tableType="queryTable" totalsRowShown="0" headerRowDxfId="130">
  <autoFilter ref="O1:T26" xr:uid="{172672AA-5A0F-48FA-884C-1B384329D24E}"/>
  <sortState xmlns:xlrd2="http://schemas.microsoft.com/office/spreadsheetml/2017/richdata2" ref="O2:T26">
    <sortCondition ref="Q1:Q26"/>
  </sortState>
  <tableColumns count="6">
    <tableColumn id="1" xr3:uid="{8A088AA7-A86C-4C03-85C5-B1AF1567FCFE}" uniqueName="1" name="Mes" queryTableFieldId="6" dataDxfId="129"/>
    <tableColumn id="6" xr3:uid="{2D6FE5C4-C139-4079-91AB-BC8A616B87AA}" uniqueName="6" name="Posición" queryTableFieldId="1"/>
    <tableColumn id="2" xr3:uid="{F376A669-EA21-47BE-A41F-ECA907F6571A}" uniqueName="2" name="Nombre " queryTableFieldId="2"/>
    <tableColumn id="3" xr3:uid="{FE677AA2-4DD4-4DAE-8128-ADB42FA353F3}" uniqueName="3" name="Apuesta MiniPorra" queryTableFieldId="3"/>
    <tableColumn id="4" xr3:uid="{27583C6D-380B-44FE-B335-1441BED3F1A2}" uniqueName="4" name="Desvío" queryTableFieldId="4"/>
    <tableColumn id="5" xr3:uid="{4554A65C-E158-49FF-B416-2F1D026814F7}" uniqueName="5" name="% Desvío" queryTableFieldId="5" dataDxfId="128" dataCellStyle="Porcentaje"/>
  </tableColumns>
  <tableStyleInfo name="TableStyleMedium7"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9DAA81B8-F302-415A-A22E-F18739BA3FB6}" name="resultados_abr_2" displayName="resultados_abr_2" ref="V1:AA30" tableType="queryTable" totalsRowShown="0" headerRowDxfId="127">
  <autoFilter ref="V1:AA30" xr:uid="{9DAA81B8-F302-415A-A22E-F18739BA3FB6}"/>
  <sortState xmlns:xlrd2="http://schemas.microsoft.com/office/spreadsheetml/2017/richdata2" ref="V2:AA30">
    <sortCondition ref="X1:X30"/>
  </sortState>
  <tableColumns count="6">
    <tableColumn id="1" xr3:uid="{FA552871-6B38-4C53-9827-55222AC94BFD}" uniqueName="1" name="Mes" queryTableFieldId="6" dataCellStyle="Porcentaje"/>
    <tableColumn id="6" xr3:uid="{24084207-A3A6-4638-8E84-26F5AE0D9A13}" uniqueName="6" name="Posición" queryTableFieldId="1"/>
    <tableColumn id="2" xr3:uid="{03D92C4B-2B7B-4B80-8259-7A7C4A337F51}" uniqueName="2" name="Nombre " queryTableFieldId="2"/>
    <tableColumn id="3" xr3:uid="{DFA02D95-03FC-4756-9494-1D2731C8AC59}" uniqueName="3" name="Apuesta MiniPorra" queryTableFieldId="3"/>
    <tableColumn id="4" xr3:uid="{3954238B-1608-47D4-B83B-C85FDC494EAE}" uniqueName="4" name="Desvío" queryTableFieldId="4"/>
    <tableColumn id="5" xr3:uid="{C63A676B-FED4-4D6E-95C9-B585A1273245}" uniqueName="5" name="% Desvío" queryTableFieldId="5" dataDxfId="126" dataCellStyle="Porcentaje"/>
  </tableColumns>
  <tableStyleInfo name="TableStyleMedium7"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63607D55-E26F-4B5E-B092-0C7DDF8F47B4}" name="resultados_may_2" displayName="resultados_may_2" ref="AC1:AH44" tableType="queryTable" totalsRowShown="0">
  <autoFilter ref="AC1:AH44" xr:uid="{63607D55-E26F-4B5E-B092-0C7DDF8F47B4}"/>
  <sortState xmlns:xlrd2="http://schemas.microsoft.com/office/spreadsheetml/2017/richdata2" ref="AC2:AH44">
    <sortCondition ref="AE1:AE44"/>
  </sortState>
  <tableColumns count="6">
    <tableColumn id="2" xr3:uid="{CB06C6D4-59AE-4958-9AFF-00D1BF668D4E}" uniqueName="2" name="Mes" queryTableFieldId="2"/>
    <tableColumn id="3" xr3:uid="{62A1F5F9-C638-49B6-B7A6-80D53F202409}" uniqueName="3" name="Posición" queryTableFieldId="3"/>
    <tableColumn id="4" xr3:uid="{C928A1BF-E522-43AD-AFD9-1F661A53F202}" uniqueName="4" name="Nombre " queryTableFieldId="4" dataDxfId="125"/>
    <tableColumn id="5" xr3:uid="{BA3F1E66-9235-4DE0-B56E-A69E0C199C65}" uniqueName="5" name="Apuesta MiniPorra" queryTableFieldId="5"/>
    <tableColumn id="6" xr3:uid="{ED2205C1-1600-41D9-ACB7-72FBC1534E7B}" uniqueName="6" name="Desvío" queryTableFieldId="6"/>
    <tableColumn id="7" xr3:uid="{7A05294F-905D-4821-82F2-AC82E9854E0C}" uniqueName="7" name="% Desvío" queryTableFieldId="7"/>
  </tableColumns>
  <tableStyleInfo name="TableStyleMedium7"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D963405C-3547-4AF7-864C-3C77B0C3E9DB}" name="resultados_jun_2" displayName="resultados_jun_2" ref="A41:F94" tableType="queryTable" totalsRowShown="0">
  <autoFilter ref="A41:F94" xr:uid="{D963405C-3547-4AF7-864C-3C77B0C3E9DB}"/>
  <tableColumns count="6">
    <tableColumn id="7" xr3:uid="{8755AB80-654E-4075-B274-B4A77E9D586D}" uniqueName="7" name="Mes" queryTableFieldId="1"/>
    <tableColumn id="2" xr3:uid="{54FD0F1F-D3A9-49C3-9493-8600F44CFB68}" uniqueName="2" name="Posición" queryTableFieldId="2"/>
    <tableColumn id="3" xr3:uid="{64BEF752-38DE-4620-B9C3-3DBC70F39641}" uniqueName="3" name="Nombre " queryTableFieldId="3" dataDxfId="91"/>
    <tableColumn id="4" xr3:uid="{40C49A7A-016F-4AE4-AA8D-183BEEF4F6AE}" uniqueName="4" name="Apuesta MiniPorra" queryTableFieldId="4"/>
    <tableColumn id="5" xr3:uid="{2B7FFA0E-0DAC-4E1D-A1E0-5A08ABD65755}" uniqueName="5" name="Desvío" queryTableFieldId="5"/>
    <tableColumn id="6" xr3:uid="{7722ED83-5E17-4E20-B730-EB20F2FD7565}" uniqueName="6" name="% Desvío" queryTableFieldId="6"/>
  </tableColumns>
  <tableStyleInfo name="TableStyleMedium10"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99D01F56-7781-4CA0-B998-CED85D915683}" name="acumulado_porcentaje" displayName="acumulado_porcentaje" ref="A1:J78" tableType="queryTable" totalsRowShown="0">
  <autoFilter ref="A1:J78" xr:uid="{99D01F56-7781-4CA0-B998-CED85D915683}"/>
  <sortState xmlns:xlrd2="http://schemas.microsoft.com/office/spreadsheetml/2017/richdata2" ref="A2:J78">
    <sortCondition ref="I1:I78"/>
  </sortState>
  <tableColumns count="10">
    <tableColumn id="5" xr3:uid="{D7A0D433-F982-4BB2-AE1F-A9386DB3D1D0}" uniqueName="5" name="Nombre " queryTableFieldId="1" dataDxfId="54"/>
    <tableColumn id="2" xr3:uid="{583BE58D-8152-40D3-BE00-AD7915726B0B}" uniqueName="2" name="Ene 2024" queryTableFieldId="2" dataDxfId="53"/>
    <tableColumn id="3" xr3:uid="{41CBAE96-76E5-4B9D-A5F6-77FDE00D2338}" uniqueName="3" name="Feb 2024" queryTableFieldId="3" dataDxfId="52"/>
    <tableColumn id="4" xr3:uid="{E538AD52-275E-4F9B-BA8A-EB2FCDED4E22}" uniqueName="4" name="Mar 2024" queryTableFieldId="4" dataDxfId="51"/>
    <tableColumn id="7" xr3:uid="{09C0F218-4378-4196-BFFD-09E25AA6D116}" uniqueName="7" name="Abr 2024" queryTableFieldId="7" dataDxfId="50"/>
    <tableColumn id="10" xr3:uid="{1A14C075-3AB5-4763-9E69-7B2B32063E39}" uniqueName="10" name="May 2024" queryTableFieldId="10" dataDxfId="49"/>
    <tableColumn id="1" xr3:uid="{D7BB0E91-62F4-4F0A-B459-A6CF10198D5A}" uniqueName="1" name="Jun 2024" queryTableFieldId="11"/>
    <tableColumn id="8" xr3:uid="{CF39BE51-3759-4AF8-86DF-695E3E5DBE90}" uniqueName="8" name="contar" queryTableFieldId="8" dataDxfId="48">
      <calculatedColumnFormula>$H$82- COUNTIF(acumulado_porcentaje[[#This Row],[Ene 2024]:[Jun 2024]],"")</calculatedColumnFormula>
    </tableColumn>
    <tableColumn id="6" xr3:uid="{F422233D-9EA7-4ED2-BEAE-280E8F52F342}" uniqueName="6" name="%_desvio" queryTableFieldId="5" dataDxfId="47" dataCellStyle="Porcentaje">
      <calculatedColumnFormula>IF(acumulado_porcentaje[[#This Row],[contar]]&gt;=$H$83,SUM(SMALL(acumulado_porcentaje[[#This Row],[Ene 2024]:[Jun 2024]],1),SMALL(acumulado_porcentaje[[#This Row],[Ene 2024]:[Jun 2024]],2),SMALL(acumulado_porcentaje[[#This Row],[Ene 2024]:[Jun 2024]],3),SMALL(acumulado_porcentaje[[#This Row],[Ene 2024]:[Jun 2024]],4)),"#N/A")</calculatedColumnFormula>
    </tableColumn>
    <tableColumn id="9" xr3:uid="{E76DC7B3-49E1-42DD-B180-9461DA65B013}" uniqueName="9" name="Clasificación" queryTableFieldId="9">
      <calculatedColumnFormula>acumulado_porcentaje[[#This Row],[Nombre ]]&amp;" ("&amp;acumulado_porcentaje[[#This Row],[contar]]&amp;")"</calculatedColumnFormula>
    </tableColumn>
  </tableColumns>
  <tableStyleInfo name="TableStyleMedium7"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B838869A-1230-415F-BD15-2C39570C416F}" name="acumulado_absoluto" displayName="acumulado_absoluto" ref="A1:I78" tableType="queryTable" totalsRowShown="0">
  <autoFilter ref="A1:I78" xr:uid="{B838869A-1230-415F-BD15-2C39570C416F}">
    <filterColumn colId="8">
      <filters>
        <filter val="13,96"/>
        <filter val="14,01"/>
        <filter val="16,9"/>
        <filter val="18,69"/>
        <filter val="20,62"/>
        <filter val="20,97"/>
        <filter val="22,77"/>
        <filter val="23,45"/>
        <filter val="24,37"/>
        <filter val="26,15"/>
        <filter val="28,34"/>
        <filter val="30,75"/>
        <filter val="32,63"/>
        <filter val="38,27"/>
        <filter val="40"/>
        <filter val="40,14"/>
        <filter val="41,41"/>
        <filter val="43,95"/>
        <filter val="44,65"/>
        <filter val="46,48"/>
        <filter val="46,75"/>
        <filter val="47,67"/>
        <filter val="49,31"/>
        <filter val="49,33"/>
        <filter val="50,38"/>
        <filter val="52,27"/>
        <filter val="52,47"/>
        <filter val="6,86"/>
        <filter val="64,6"/>
        <filter val="67,15"/>
        <filter val="69,88"/>
        <filter val="70,81"/>
      </filters>
    </filterColumn>
  </autoFilter>
  <sortState xmlns:xlrd2="http://schemas.microsoft.com/office/spreadsheetml/2017/richdata2" ref="A2:I78">
    <sortCondition ref="I1:I78"/>
  </sortState>
  <tableColumns count="9">
    <tableColumn id="5" xr3:uid="{E5AB4977-2336-4DD1-8375-20FB68CD8070}" uniqueName="5" name="Nombre " queryTableFieldId="1" dataDxfId="46"/>
    <tableColumn id="2" xr3:uid="{273CF2E4-AA71-4A38-8B09-B8C4341C8BDA}" uniqueName="2" name="Ene 2024" queryTableFieldId="2" dataDxfId="45"/>
    <tableColumn id="3" xr3:uid="{10CBB1D1-D219-4B55-BDE4-8EBED44AAD0D}" uniqueName="3" name="Feb 2024" queryTableFieldId="3" dataDxfId="44"/>
    <tableColumn id="4" xr3:uid="{E635CB03-C1F9-4F40-971A-E2B6D93952B0}" uniqueName="4" name="Mar 2024" queryTableFieldId="4" dataDxfId="43"/>
    <tableColumn id="7" xr3:uid="{C792BDFC-C6BD-4506-95F2-264CB023586B}" uniqueName="7" name="Abr 2024" queryTableFieldId="7" dataDxfId="42"/>
    <tableColumn id="8" xr3:uid="{076F50CE-D8CB-4583-BF97-B98AF7B51650}" uniqueName="8" name="May 2024" queryTableFieldId="11"/>
    <tableColumn id="9" xr3:uid="{75E9DDD2-FEED-45B5-9DB7-6DF2ACEECBAF}" uniqueName="9" name="Jun 2024" queryTableFieldId="12"/>
    <tableColumn id="11" xr3:uid="{D61730BA-7F95-4BFA-B76C-7E30D023B6F2}" uniqueName="11" name="contar" queryTableFieldId="10" dataDxfId="41">
      <calculatedColumnFormula>acum_porc!$H$82- COUNTIF(acumulado_absoluto[[#This Row],[Ene 2024]:[Jun 2024]],"")</calculatedColumnFormula>
    </tableColumn>
    <tableColumn id="6" xr3:uid="{650181F5-E014-4486-A01F-0C1AF56FBFCD}" uniqueName="6" name="min" queryTableFieldId="5" dataDxfId="40">
      <calculatedColumnFormula>IF(acumulado_absoluto[[#This Row],[contar]]&gt;=acum_porc!$H$83,SUM(SMALL(acumulado_absoluto[[#This Row],[Ene 2024]:[Jun 2024]],1),SMALL(acumulado_absoluto[[#This Row],[Ene 2024]:[Jun 2024]],2),SMALL(acumulado_absoluto[[#This Row],[Ene 2024]:[Jun 2024]],3),SMALL(acumulado_absoluto[[#This Row],[Ene 2024]:[Jun 2024]],4)),"#N/A")</calculatedColumnFormula>
    </tableColumn>
  </tableColumns>
  <tableStyleInfo name="TableStyleMedium7"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1AC15776-3B16-4651-8B0B-E14FB0675A2E}" name="acumulado_porcentaje_SIN_MAYO" displayName="acumulado_porcentaje_SIN_MAYO" ref="A1:F64" tableType="queryTable" totalsRowShown="0">
  <autoFilter ref="A1:F64" xr:uid="{1AC15776-3B16-4651-8B0B-E14FB0675A2E}"/>
  <tableColumns count="6">
    <tableColumn id="5" xr3:uid="{6369EE80-96C8-4269-958E-F699720BE8DC}" uniqueName="5" name="Nombre " queryTableFieldId="1" dataDxfId="124"/>
    <tableColumn id="2" xr3:uid="{DA5AD0F9-3C4A-4B14-A66A-EBE608E14AA8}" uniqueName="2" name="Ene 2024" queryTableFieldId="2" dataDxfId="123"/>
    <tableColumn id="3" xr3:uid="{B787E4BE-874B-4009-BA0D-80194F8C68DE}" uniqueName="3" name="Feb 2024" queryTableFieldId="3" dataDxfId="122"/>
    <tableColumn id="4" xr3:uid="{A7428946-38B4-4AB4-9D18-6C838A9D5D0A}" uniqueName="4" name="Mar 2024" queryTableFieldId="4" dataDxfId="121"/>
    <tableColumn id="7" xr3:uid="{5EB3169B-8C9C-4FEA-A8EE-C2B6CA065642}" uniqueName="7" name="Abr 2024" queryTableFieldId="6"/>
    <tableColumn id="6" xr3:uid="{7F64FAE5-E722-4B80-ADFA-5A66E4A2C6B0}" uniqueName="6" name="porras" queryTableFieldId="5" dataDxfId="120">
      <calculatedColumnFormula>COUNTA(acumulado_porcentaje_SIN_MAYO[[#This Row],[Ene 2024]:[Abr 2024]])</calculatedColumnFormula>
    </tableColumn>
  </tableColumns>
  <tableStyleInfo name="TableStyleMedium7"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BEFB6CA3-7FEF-4445-A951-D80FD188F387}" name="participantes_unicos" displayName="participantes_unicos" ref="A1:C81" tableType="queryTable" totalsRowShown="0">
  <autoFilter ref="A1:C81" xr:uid="{BEFB6CA3-7FEF-4445-A951-D80FD188F387}"/>
  <tableColumns count="3">
    <tableColumn id="4" xr3:uid="{C17A4293-7835-4681-A02B-6A7DA0D49887}" uniqueName="4" name="Nombre" queryTableFieldId="1" dataDxfId="66"/>
    <tableColumn id="2" xr3:uid="{14F77757-EE54-4FB2-9C68-4DD49DBC430F}" uniqueName="2" name="Apellidos" queryTableFieldId="2" dataDxfId="65"/>
    <tableColumn id="3" xr3:uid="{363B3867-DD54-4836-9944-787B922003EA}" uniqueName="3" name="Nick (o nombre corto)" queryTableFieldId="3" dataDxfId="64"/>
  </tableColumns>
  <tableStyleInfo name="TableStyleMedium7"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ctrlProp" Target="../ctrlProps/ctrlProp1.xml"/><Relationship Id="rId7" Type="http://schemas.openxmlformats.org/officeDocument/2006/relationships/table" Target="../tables/table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table" Target="../tables/table4.xml"/><Relationship Id="rId5" Type="http://schemas.openxmlformats.org/officeDocument/2006/relationships/table" Target="../tables/table3.xml"/><Relationship Id="rId10" Type="http://schemas.openxmlformats.org/officeDocument/2006/relationships/table" Target="../tables/table8.xml"/><Relationship Id="rId4" Type="http://schemas.openxmlformats.org/officeDocument/2006/relationships/table" Target="../tables/table2.xml"/><Relationship Id="rId9" Type="http://schemas.openxmlformats.org/officeDocument/2006/relationships/table" Target="../tables/table7.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7" Type="http://schemas.openxmlformats.org/officeDocument/2006/relationships/table" Target="../tables/table11.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table" Target="../tables/table10.xml"/><Relationship Id="rId5" Type="http://schemas.openxmlformats.org/officeDocument/2006/relationships/table" Target="../tables/table9.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4.xml"/><Relationship Id="rId7" Type="http://schemas.openxmlformats.org/officeDocument/2006/relationships/table" Target="../tables/table14.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table" Target="../tables/table13.xml"/><Relationship Id="rId5" Type="http://schemas.openxmlformats.org/officeDocument/2006/relationships/table" Target="../tables/table12.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8" Type="http://schemas.openxmlformats.org/officeDocument/2006/relationships/table" Target="../tables/table17.xml"/><Relationship Id="rId3" Type="http://schemas.openxmlformats.org/officeDocument/2006/relationships/ctrlProp" Target="../ctrlProps/ctrlProp6.xml"/><Relationship Id="rId7" Type="http://schemas.openxmlformats.org/officeDocument/2006/relationships/table" Target="../tables/table16.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table" Target="../tables/table15.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6.xml.rels><?xml version="1.0" encoding="UTF-8" standalone="yes"?>
<Relationships xmlns="http://schemas.openxmlformats.org/package/2006/relationships"><Relationship Id="rId8" Type="http://schemas.openxmlformats.org/officeDocument/2006/relationships/table" Target="../tables/table19.xml"/><Relationship Id="rId3" Type="http://schemas.openxmlformats.org/officeDocument/2006/relationships/ctrlProp" Target="../ctrlProps/ctrlProp9.xml"/><Relationship Id="rId7" Type="http://schemas.openxmlformats.org/officeDocument/2006/relationships/table" Target="../tables/table18.xml"/><Relationship Id="rId2" Type="http://schemas.openxmlformats.org/officeDocument/2006/relationships/vmlDrawing" Target="../drawings/vmlDrawing5.vml"/><Relationship Id="rId1" Type="http://schemas.openxmlformats.org/officeDocument/2006/relationships/drawing" Target="../drawings/drawing6.xml"/><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 Id="rId9" Type="http://schemas.openxmlformats.org/officeDocument/2006/relationships/table" Target="../tables/table20.xml"/></Relationships>
</file>

<file path=xl/worksheets/_rels/sheet7.xml.rels><?xml version="1.0" encoding="UTF-8" standalone="yes"?>
<Relationships xmlns="http://schemas.openxmlformats.org/package/2006/relationships"><Relationship Id="rId8" Type="http://schemas.openxmlformats.org/officeDocument/2006/relationships/table" Target="../tables/table22.xml"/><Relationship Id="rId3" Type="http://schemas.openxmlformats.org/officeDocument/2006/relationships/ctrlProp" Target="../ctrlProps/ctrlProp13.xml"/><Relationship Id="rId7" Type="http://schemas.openxmlformats.org/officeDocument/2006/relationships/table" Target="../tables/table21.xml"/><Relationship Id="rId2" Type="http://schemas.openxmlformats.org/officeDocument/2006/relationships/vmlDrawing" Target="../drawings/vmlDrawing6.vml"/><Relationship Id="rId1" Type="http://schemas.openxmlformats.org/officeDocument/2006/relationships/drawing" Target="../drawings/drawing8.xml"/><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 Id="rId9" Type="http://schemas.openxmlformats.org/officeDocument/2006/relationships/table" Target="../tables/table23.xml"/></Relationships>
</file>

<file path=xl/worksheets/_rels/sheet8.xml.rels><?xml version="1.0" encoding="UTF-8" standalone="yes"?>
<Relationships xmlns="http://schemas.openxmlformats.org/package/2006/relationships"><Relationship Id="rId8" Type="http://schemas.openxmlformats.org/officeDocument/2006/relationships/table" Target="../tables/table25.xml"/><Relationship Id="rId3" Type="http://schemas.openxmlformats.org/officeDocument/2006/relationships/ctrlProp" Target="../ctrlProps/ctrlProp17.xml"/><Relationship Id="rId7" Type="http://schemas.openxmlformats.org/officeDocument/2006/relationships/table" Target="../tables/table24.xml"/><Relationship Id="rId2" Type="http://schemas.openxmlformats.org/officeDocument/2006/relationships/vmlDrawing" Target="../drawings/vmlDrawing7.vml"/><Relationship Id="rId1" Type="http://schemas.openxmlformats.org/officeDocument/2006/relationships/drawing" Target="../drawings/drawing10.xml"/><Relationship Id="rId6" Type="http://schemas.openxmlformats.org/officeDocument/2006/relationships/ctrlProp" Target="../ctrlProps/ctrlProp20.xml"/><Relationship Id="rId5" Type="http://schemas.openxmlformats.org/officeDocument/2006/relationships/ctrlProp" Target="../ctrlProps/ctrlProp19.xml"/><Relationship Id="rId4" Type="http://schemas.openxmlformats.org/officeDocument/2006/relationships/ctrlProp" Target="../ctrlProps/ctrlProp18.xml"/><Relationship Id="rId9" Type="http://schemas.openxmlformats.org/officeDocument/2006/relationships/table" Target="../tables/table26.xml"/></Relationships>
</file>

<file path=xl/worksheets/_rels/sheet9.xml.rels><?xml version="1.0" encoding="UTF-8" standalone="yes"?>
<Relationships xmlns="http://schemas.openxmlformats.org/package/2006/relationships"><Relationship Id="rId2" Type="http://schemas.openxmlformats.org/officeDocument/2006/relationships/table" Target="../tables/table27.xml"/><Relationship Id="rId1" Type="http://schemas.openxmlformats.org/officeDocument/2006/relationships/drawing" Target="../drawings/drawing12.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28.xml"/><Relationship Id="rId1" Type="http://schemas.openxmlformats.org/officeDocument/2006/relationships/drawing" Target="../drawings/drawing13.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31.xml"/><Relationship Id="rId2" Type="http://schemas.openxmlformats.org/officeDocument/2006/relationships/table" Target="../tables/table30.xml"/><Relationship Id="rId1" Type="http://schemas.openxmlformats.org/officeDocument/2006/relationships/table" Target="../tables/table29.xml"/><Relationship Id="rId4" Type="http://schemas.openxmlformats.org/officeDocument/2006/relationships/table" Target="../tables/table32.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35.xml"/><Relationship Id="rId2" Type="http://schemas.openxmlformats.org/officeDocument/2006/relationships/table" Target="../tables/table34.xml"/><Relationship Id="rId1" Type="http://schemas.openxmlformats.org/officeDocument/2006/relationships/table" Target="../tables/table33.xml"/><Relationship Id="rId6" Type="http://schemas.openxmlformats.org/officeDocument/2006/relationships/table" Target="../tables/table38.xml"/><Relationship Id="rId5" Type="http://schemas.openxmlformats.org/officeDocument/2006/relationships/table" Target="../tables/table37.xml"/><Relationship Id="rId4" Type="http://schemas.openxmlformats.org/officeDocument/2006/relationships/table" Target="../tables/table36.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39.xml"/><Relationship Id="rId1" Type="http://schemas.openxmlformats.org/officeDocument/2006/relationships/drawing" Target="../drawings/drawing14.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40.xml"/><Relationship Id="rId1" Type="http://schemas.openxmlformats.org/officeDocument/2006/relationships/drawing" Target="../drawings/drawing16.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41.xml"/><Relationship Id="rId1" Type="http://schemas.openxmlformats.org/officeDocument/2006/relationships/pivotTable" Target="../pivotTables/pivotTable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4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618578-DC45-4444-B2F3-A23063022E81}">
  <sheetPr codeName="Hoja2"/>
  <dimension ref="A1:H242"/>
  <sheetViews>
    <sheetView tabSelected="1" workbookViewId="0">
      <selection activeCell="C42" sqref="C42"/>
    </sheetView>
  </sheetViews>
  <sheetFormatPr baseColWidth="10" defaultRowHeight="12" x14ac:dyDescent="0.2"/>
  <cols>
    <col min="1" max="1" width="16" bestFit="1" customWidth="1"/>
    <col min="2" max="2" width="14.140625" bestFit="1" customWidth="1"/>
    <col min="3" max="3" width="23.5703125" bestFit="1" customWidth="1"/>
    <col min="4" max="4" width="28.5703125" bestFit="1" customWidth="1"/>
    <col min="5" max="5" width="16" bestFit="1" customWidth="1"/>
    <col min="6" max="6" width="75.28515625" bestFit="1" customWidth="1"/>
    <col min="7" max="7" width="81.140625" bestFit="1" customWidth="1"/>
    <col min="8" max="8" width="21.5703125" bestFit="1" customWidth="1"/>
    <col min="9" max="9" width="81.140625" bestFit="1" customWidth="1"/>
    <col min="10" max="10" width="20.85546875" bestFit="1" customWidth="1"/>
  </cols>
  <sheetData>
    <row r="1" spans="1:8" x14ac:dyDescent="0.2">
      <c r="A1" t="s">
        <v>16</v>
      </c>
      <c r="B1" t="s">
        <v>233</v>
      </c>
      <c r="C1" t="s">
        <v>485</v>
      </c>
      <c r="D1" t="s">
        <v>17</v>
      </c>
      <c r="E1" t="s">
        <v>18</v>
      </c>
      <c r="F1" t="s">
        <v>19</v>
      </c>
      <c r="G1" t="s">
        <v>20</v>
      </c>
      <c r="H1" t="s">
        <v>21</v>
      </c>
    </row>
    <row r="2" spans="1:8" x14ac:dyDescent="0.2">
      <c r="A2" s="20">
        <v>45447.583368055559</v>
      </c>
      <c r="B2" t="s">
        <v>833</v>
      </c>
      <c r="C2" t="s">
        <v>834</v>
      </c>
      <c r="D2" t="s">
        <v>118</v>
      </c>
      <c r="E2" t="s">
        <v>836</v>
      </c>
      <c r="F2" t="s">
        <v>837</v>
      </c>
      <c r="G2" t="s">
        <v>838</v>
      </c>
      <c r="H2" t="s">
        <v>833</v>
      </c>
    </row>
    <row r="3" spans="1:8" x14ac:dyDescent="0.2">
      <c r="A3" s="20">
        <v>45443.796226851853</v>
      </c>
      <c r="B3" t="s">
        <v>145</v>
      </c>
      <c r="C3" t="s">
        <v>380</v>
      </c>
      <c r="D3" t="s">
        <v>118</v>
      </c>
      <c r="E3" t="s">
        <v>697</v>
      </c>
      <c r="F3" t="s">
        <v>839</v>
      </c>
      <c r="G3" t="s">
        <v>820</v>
      </c>
      <c r="H3" t="s">
        <v>821</v>
      </c>
    </row>
    <row r="4" spans="1:8" x14ac:dyDescent="0.2">
      <c r="A4" s="20">
        <v>45443.591805555552</v>
      </c>
      <c r="B4" t="s">
        <v>282</v>
      </c>
      <c r="C4" t="s">
        <v>835</v>
      </c>
      <c r="D4" t="s">
        <v>118</v>
      </c>
      <c r="E4" t="s">
        <v>697</v>
      </c>
      <c r="F4" t="s">
        <v>840</v>
      </c>
      <c r="G4" t="s">
        <v>823</v>
      </c>
      <c r="H4" t="s">
        <v>824</v>
      </c>
    </row>
    <row r="5" spans="1:8" x14ac:dyDescent="0.2">
      <c r="A5" s="20">
        <v>45442.992766203701</v>
      </c>
      <c r="B5" t="s">
        <v>342</v>
      </c>
      <c r="C5" t="s">
        <v>211</v>
      </c>
      <c r="D5" t="s">
        <v>118</v>
      </c>
      <c r="E5" t="s">
        <v>697</v>
      </c>
      <c r="F5" t="s">
        <v>841</v>
      </c>
      <c r="G5" t="s">
        <v>118</v>
      </c>
      <c r="H5" t="s">
        <v>213</v>
      </c>
    </row>
    <row r="6" spans="1:8" x14ac:dyDescent="0.2">
      <c r="A6" s="20">
        <v>45442.972094907411</v>
      </c>
      <c r="B6" t="s">
        <v>124</v>
      </c>
      <c r="C6" t="s">
        <v>166</v>
      </c>
      <c r="D6" t="s">
        <v>118</v>
      </c>
      <c r="E6" t="s">
        <v>697</v>
      </c>
      <c r="F6" t="s">
        <v>842</v>
      </c>
      <c r="G6" t="s">
        <v>118</v>
      </c>
      <c r="H6" t="s">
        <v>124</v>
      </c>
    </row>
    <row r="7" spans="1:8" x14ac:dyDescent="0.2">
      <c r="A7" s="20">
        <v>45442.867418981485</v>
      </c>
      <c r="B7" t="s">
        <v>204</v>
      </c>
      <c r="C7" t="s">
        <v>515</v>
      </c>
      <c r="D7" t="s">
        <v>118</v>
      </c>
      <c r="E7" t="s">
        <v>697</v>
      </c>
      <c r="F7" t="s">
        <v>843</v>
      </c>
      <c r="G7" t="s">
        <v>825</v>
      </c>
      <c r="H7" t="s">
        <v>351</v>
      </c>
    </row>
    <row r="8" spans="1:8" x14ac:dyDescent="0.2">
      <c r="A8" s="20">
        <v>45442.845254629632</v>
      </c>
      <c r="B8" t="s">
        <v>175</v>
      </c>
      <c r="C8" t="s">
        <v>23</v>
      </c>
      <c r="D8" t="s">
        <v>118</v>
      </c>
      <c r="E8" t="s">
        <v>697</v>
      </c>
      <c r="F8" t="s">
        <v>816</v>
      </c>
      <c r="G8" t="s">
        <v>817</v>
      </c>
      <c r="H8" t="s">
        <v>178</v>
      </c>
    </row>
    <row r="9" spans="1:8" x14ac:dyDescent="0.2">
      <c r="A9" s="20">
        <v>45442.780740740738</v>
      </c>
      <c r="B9" t="s">
        <v>28</v>
      </c>
      <c r="C9" t="s">
        <v>323</v>
      </c>
      <c r="D9" t="s">
        <v>118</v>
      </c>
      <c r="E9" t="s">
        <v>697</v>
      </c>
      <c r="F9" t="s">
        <v>844</v>
      </c>
      <c r="G9" t="s">
        <v>826</v>
      </c>
      <c r="H9" t="s">
        <v>2</v>
      </c>
    </row>
    <row r="10" spans="1:8" x14ac:dyDescent="0.2">
      <c r="A10" s="20">
        <v>45442.739571759259</v>
      </c>
      <c r="B10" t="s">
        <v>28</v>
      </c>
      <c r="C10" t="s">
        <v>441</v>
      </c>
      <c r="D10" t="s">
        <v>118</v>
      </c>
      <c r="E10" t="s">
        <v>697</v>
      </c>
      <c r="F10" t="s">
        <v>698</v>
      </c>
      <c r="G10" t="s">
        <v>118</v>
      </c>
      <c r="H10" t="s">
        <v>535</v>
      </c>
    </row>
    <row r="11" spans="1:8" x14ac:dyDescent="0.2">
      <c r="A11" s="20">
        <v>45442.716412037036</v>
      </c>
      <c r="B11" t="s">
        <v>135</v>
      </c>
      <c r="C11" t="s">
        <v>389</v>
      </c>
      <c r="D11" t="s">
        <v>118</v>
      </c>
      <c r="E11" t="s">
        <v>697</v>
      </c>
      <c r="F11" t="s">
        <v>699</v>
      </c>
      <c r="G11" t="s">
        <v>700</v>
      </c>
      <c r="H11" t="s">
        <v>456</v>
      </c>
    </row>
    <row r="12" spans="1:8" x14ac:dyDescent="0.2">
      <c r="A12" s="20">
        <v>45442.589004629626</v>
      </c>
      <c r="B12" t="s">
        <v>28</v>
      </c>
      <c r="C12" t="s">
        <v>701</v>
      </c>
      <c r="D12" t="s">
        <v>118</v>
      </c>
      <c r="E12" t="s">
        <v>697</v>
      </c>
      <c r="F12" t="s">
        <v>702</v>
      </c>
      <c r="G12" t="s">
        <v>703</v>
      </c>
      <c r="H12" t="s">
        <v>704</v>
      </c>
    </row>
    <row r="13" spans="1:8" x14ac:dyDescent="0.2">
      <c r="A13" s="20">
        <v>45442.555324074077</v>
      </c>
      <c r="B13" t="s">
        <v>72</v>
      </c>
      <c r="C13" t="s">
        <v>562</v>
      </c>
      <c r="D13" t="s">
        <v>118</v>
      </c>
      <c r="E13" t="s">
        <v>697</v>
      </c>
      <c r="F13" t="s">
        <v>705</v>
      </c>
      <c r="G13" t="s">
        <v>118</v>
      </c>
      <c r="H13" t="s">
        <v>566</v>
      </c>
    </row>
    <row r="14" spans="1:8" x14ac:dyDescent="0.2">
      <c r="A14" s="20">
        <v>45442.494826388887</v>
      </c>
      <c r="B14" t="s">
        <v>525</v>
      </c>
      <c r="C14" t="s">
        <v>706</v>
      </c>
      <c r="D14" t="s">
        <v>118</v>
      </c>
      <c r="E14" t="s">
        <v>697</v>
      </c>
      <c r="F14" t="s">
        <v>707</v>
      </c>
      <c r="G14" t="s">
        <v>118</v>
      </c>
      <c r="H14" t="s">
        <v>708</v>
      </c>
    </row>
    <row r="15" spans="1:8" x14ac:dyDescent="0.2">
      <c r="A15" s="20">
        <v>45442.370821759258</v>
      </c>
      <c r="B15" t="s">
        <v>204</v>
      </c>
      <c r="C15" t="s">
        <v>378</v>
      </c>
      <c r="D15" t="s">
        <v>118</v>
      </c>
      <c r="E15" t="s">
        <v>697</v>
      </c>
      <c r="F15" t="s">
        <v>709</v>
      </c>
      <c r="G15" t="s">
        <v>710</v>
      </c>
      <c r="H15" t="s">
        <v>37</v>
      </c>
    </row>
    <row r="16" spans="1:8" x14ac:dyDescent="0.2">
      <c r="A16" s="20">
        <v>45442.358819444446</v>
      </c>
      <c r="B16" t="s">
        <v>112</v>
      </c>
      <c r="C16" t="s">
        <v>395</v>
      </c>
      <c r="D16" t="s">
        <v>118</v>
      </c>
      <c r="E16" t="s">
        <v>697</v>
      </c>
      <c r="F16" t="s">
        <v>711</v>
      </c>
      <c r="G16" t="s">
        <v>712</v>
      </c>
      <c r="H16" t="s">
        <v>713</v>
      </c>
    </row>
    <row r="17" spans="1:8" x14ac:dyDescent="0.2">
      <c r="A17" s="20">
        <v>45442.346099537041</v>
      </c>
      <c r="B17" t="s">
        <v>596</v>
      </c>
      <c r="C17" t="s">
        <v>597</v>
      </c>
      <c r="D17" t="s">
        <v>118</v>
      </c>
      <c r="E17" t="s">
        <v>697</v>
      </c>
      <c r="F17" t="s">
        <v>714</v>
      </c>
      <c r="G17" t="s">
        <v>715</v>
      </c>
      <c r="H17" t="s">
        <v>716</v>
      </c>
    </row>
    <row r="18" spans="1:8" x14ac:dyDescent="0.2">
      <c r="A18" s="20">
        <v>45441.860567129632</v>
      </c>
      <c r="B18" t="s">
        <v>76</v>
      </c>
      <c r="C18" t="s">
        <v>77</v>
      </c>
      <c r="D18" t="s">
        <v>118</v>
      </c>
      <c r="E18" t="s">
        <v>697</v>
      </c>
      <c r="F18" t="s">
        <v>717</v>
      </c>
      <c r="G18" t="s">
        <v>118</v>
      </c>
      <c r="H18" t="s">
        <v>76</v>
      </c>
    </row>
    <row r="19" spans="1:8" x14ac:dyDescent="0.2">
      <c r="A19" s="20">
        <v>45441.837650462963</v>
      </c>
      <c r="B19" t="s">
        <v>357</v>
      </c>
      <c r="C19" t="s">
        <v>358</v>
      </c>
      <c r="D19" t="s">
        <v>118</v>
      </c>
      <c r="E19" t="s">
        <v>697</v>
      </c>
      <c r="F19" t="s">
        <v>718</v>
      </c>
      <c r="G19" t="s">
        <v>118</v>
      </c>
      <c r="H19" t="s">
        <v>357</v>
      </c>
    </row>
    <row r="20" spans="1:8" x14ac:dyDescent="0.2">
      <c r="A20" s="20">
        <v>45441.571400462963</v>
      </c>
      <c r="B20" t="s">
        <v>282</v>
      </c>
      <c r="C20" t="s">
        <v>719</v>
      </c>
      <c r="D20" t="s">
        <v>118</v>
      </c>
      <c r="E20" t="s">
        <v>697</v>
      </c>
      <c r="F20" t="s">
        <v>720</v>
      </c>
      <c r="G20" t="s">
        <v>721</v>
      </c>
      <c r="H20" t="s">
        <v>722</v>
      </c>
    </row>
    <row r="21" spans="1:8" x14ac:dyDescent="0.2">
      <c r="A21" s="20">
        <v>45441.453761574077</v>
      </c>
      <c r="B21" t="s">
        <v>72</v>
      </c>
      <c r="C21" t="s">
        <v>723</v>
      </c>
      <c r="D21" t="s">
        <v>118</v>
      </c>
      <c r="E21" t="s">
        <v>697</v>
      </c>
      <c r="F21" t="s">
        <v>724</v>
      </c>
      <c r="G21" t="s">
        <v>118</v>
      </c>
      <c r="H21" t="s">
        <v>725</v>
      </c>
    </row>
    <row r="22" spans="1:8" x14ac:dyDescent="0.2">
      <c r="A22" s="20">
        <v>45441.388356481482</v>
      </c>
      <c r="B22" t="s">
        <v>28</v>
      </c>
      <c r="C22" t="s">
        <v>390</v>
      </c>
      <c r="D22" t="s">
        <v>118</v>
      </c>
      <c r="E22" t="s">
        <v>697</v>
      </c>
      <c r="F22" t="s">
        <v>726</v>
      </c>
      <c r="G22" t="s">
        <v>727</v>
      </c>
      <c r="H22" t="s">
        <v>242</v>
      </c>
    </row>
    <row r="23" spans="1:8" x14ac:dyDescent="0.2">
      <c r="A23" s="20">
        <v>45441.356458333335</v>
      </c>
      <c r="B23" t="s">
        <v>525</v>
      </c>
      <c r="C23" t="s">
        <v>526</v>
      </c>
      <c r="D23" t="s">
        <v>118</v>
      </c>
      <c r="E23" t="s">
        <v>697</v>
      </c>
      <c r="F23" t="s">
        <v>728</v>
      </c>
      <c r="G23" t="s">
        <v>729</v>
      </c>
      <c r="H23" t="s">
        <v>525</v>
      </c>
    </row>
    <row r="24" spans="1:8" x14ac:dyDescent="0.2">
      <c r="A24" s="20">
        <v>45441.35465277778</v>
      </c>
      <c r="B24" t="s">
        <v>72</v>
      </c>
      <c r="C24" t="s">
        <v>124</v>
      </c>
      <c r="D24" t="s">
        <v>118</v>
      </c>
      <c r="E24" t="s">
        <v>697</v>
      </c>
      <c r="F24" t="s">
        <v>813</v>
      </c>
      <c r="G24" t="s">
        <v>731</v>
      </c>
      <c r="H24" t="s">
        <v>542</v>
      </c>
    </row>
    <row r="25" spans="1:8" x14ac:dyDescent="0.2">
      <c r="A25" s="20">
        <v>45441.316516203704</v>
      </c>
      <c r="B25" t="s">
        <v>732</v>
      </c>
      <c r="C25" t="s">
        <v>733</v>
      </c>
      <c r="D25" t="s">
        <v>118</v>
      </c>
      <c r="E25" t="s">
        <v>697</v>
      </c>
      <c r="F25" t="s">
        <v>734</v>
      </c>
      <c r="G25" t="s">
        <v>118</v>
      </c>
      <c r="H25" t="s">
        <v>735</v>
      </c>
    </row>
    <row r="26" spans="1:8" x14ac:dyDescent="0.2">
      <c r="A26" s="20">
        <v>45441.016157407408</v>
      </c>
      <c r="B26" t="s">
        <v>135</v>
      </c>
      <c r="C26" t="s">
        <v>389</v>
      </c>
      <c r="D26" t="s">
        <v>118</v>
      </c>
      <c r="E26" t="s">
        <v>814</v>
      </c>
      <c r="F26" t="s">
        <v>736</v>
      </c>
      <c r="G26" t="s">
        <v>737</v>
      </c>
      <c r="H26" t="s">
        <v>738</v>
      </c>
    </row>
    <row r="27" spans="1:8" x14ac:dyDescent="0.2">
      <c r="A27" s="20">
        <v>45440.98578703704</v>
      </c>
      <c r="B27" t="s">
        <v>124</v>
      </c>
      <c r="C27" t="s">
        <v>125</v>
      </c>
      <c r="D27" t="s">
        <v>118</v>
      </c>
      <c r="E27" t="s">
        <v>697</v>
      </c>
      <c r="F27" t="s">
        <v>568</v>
      </c>
      <c r="G27" t="s">
        <v>739</v>
      </c>
      <c r="H27" t="s">
        <v>124</v>
      </c>
    </row>
    <row r="28" spans="1:8" x14ac:dyDescent="0.2">
      <c r="A28" s="20">
        <v>45440.964849537035</v>
      </c>
      <c r="B28" t="s">
        <v>33</v>
      </c>
      <c r="C28" t="s">
        <v>740</v>
      </c>
      <c r="D28" t="s">
        <v>118</v>
      </c>
      <c r="E28" t="s">
        <v>697</v>
      </c>
      <c r="F28" t="s">
        <v>741</v>
      </c>
      <c r="G28" t="s">
        <v>742</v>
      </c>
      <c r="H28" t="s">
        <v>743</v>
      </c>
    </row>
    <row r="29" spans="1:8" x14ac:dyDescent="0.2">
      <c r="A29" s="20">
        <v>45440.823553240742</v>
      </c>
      <c r="B29" t="s">
        <v>305</v>
      </c>
      <c r="C29" t="s">
        <v>306</v>
      </c>
      <c r="D29" t="s">
        <v>118</v>
      </c>
      <c r="E29" t="s">
        <v>697</v>
      </c>
      <c r="F29" t="s">
        <v>730</v>
      </c>
      <c r="G29" t="s">
        <v>744</v>
      </c>
      <c r="H29" t="s">
        <v>309</v>
      </c>
    </row>
    <row r="30" spans="1:8" x14ac:dyDescent="0.2">
      <c r="A30" s="20">
        <v>45440.813252314816</v>
      </c>
      <c r="B30" t="s">
        <v>745</v>
      </c>
      <c r="C30" t="s">
        <v>746</v>
      </c>
      <c r="D30" t="s">
        <v>118</v>
      </c>
      <c r="E30" t="s">
        <v>697</v>
      </c>
      <c r="F30" t="s">
        <v>747</v>
      </c>
      <c r="G30" t="s">
        <v>748</v>
      </c>
      <c r="H30" t="s">
        <v>749</v>
      </c>
    </row>
    <row r="31" spans="1:8" x14ac:dyDescent="0.2">
      <c r="A31" s="20">
        <v>45440.782361111109</v>
      </c>
      <c r="B31" t="s">
        <v>298</v>
      </c>
      <c r="C31" t="s">
        <v>386</v>
      </c>
      <c r="D31" t="s">
        <v>118</v>
      </c>
      <c r="E31" t="s">
        <v>697</v>
      </c>
      <c r="F31" t="s">
        <v>750</v>
      </c>
      <c r="G31" t="s">
        <v>118</v>
      </c>
      <c r="H31" t="s">
        <v>300</v>
      </c>
    </row>
    <row r="32" spans="1:8" x14ac:dyDescent="0.2">
      <c r="A32" s="20">
        <v>45440.507245370369</v>
      </c>
      <c r="B32" t="s">
        <v>388</v>
      </c>
      <c r="C32" t="s">
        <v>148</v>
      </c>
      <c r="D32" t="s">
        <v>118</v>
      </c>
      <c r="E32" t="s">
        <v>697</v>
      </c>
      <c r="F32" t="s">
        <v>751</v>
      </c>
      <c r="G32" t="s">
        <v>118</v>
      </c>
      <c r="H32" t="s">
        <v>151</v>
      </c>
    </row>
    <row r="33" spans="1:8" x14ac:dyDescent="0.2">
      <c r="A33" s="20">
        <v>45440.4609837963</v>
      </c>
      <c r="B33" t="s">
        <v>188</v>
      </c>
      <c r="C33" t="s">
        <v>752</v>
      </c>
      <c r="D33" t="s">
        <v>118</v>
      </c>
      <c r="E33" t="s">
        <v>697</v>
      </c>
      <c r="F33" t="s">
        <v>753</v>
      </c>
      <c r="G33" t="s">
        <v>754</v>
      </c>
      <c r="H33" t="s">
        <v>755</v>
      </c>
    </row>
    <row r="34" spans="1:8" x14ac:dyDescent="0.2">
      <c r="A34" s="20">
        <v>45440.439930555556</v>
      </c>
      <c r="B34" t="s">
        <v>120</v>
      </c>
      <c r="C34" t="s">
        <v>121</v>
      </c>
      <c r="D34" t="s">
        <v>118</v>
      </c>
      <c r="E34" t="s">
        <v>697</v>
      </c>
      <c r="F34" t="s">
        <v>756</v>
      </c>
      <c r="G34" t="s">
        <v>118</v>
      </c>
      <c r="H34" t="s">
        <v>123</v>
      </c>
    </row>
    <row r="35" spans="1:8" x14ac:dyDescent="0.2">
      <c r="A35" s="20">
        <v>45439.97855324074</v>
      </c>
      <c r="B35" t="s">
        <v>577</v>
      </c>
      <c r="C35" t="s">
        <v>578</v>
      </c>
      <c r="D35" t="s">
        <v>118</v>
      </c>
      <c r="E35" t="s">
        <v>697</v>
      </c>
      <c r="F35" t="s">
        <v>757</v>
      </c>
      <c r="G35" t="s">
        <v>758</v>
      </c>
      <c r="H35" t="s">
        <v>581</v>
      </c>
    </row>
    <row r="36" spans="1:8" x14ac:dyDescent="0.2">
      <c r="A36" s="20">
        <v>45439.543113425927</v>
      </c>
      <c r="B36" t="s">
        <v>160</v>
      </c>
      <c r="C36" t="s">
        <v>632</v>
      </c>
      <c r="D36" t="s">
        <v>118</v>
      </c>
      <c r="E36" t="s">
        <v>697</v>
      </c>
      <c r="F36" t="s">
        <v>759</v>
      </c>
      <c r="G36" t="s">
        <v>118</v>
      </c>
      <c r="H36" t="s">
        <v>635</v>
      </c>
    </row>
    <row r="37" spans="1:8" x14ac:dyDescent="0.2">
      <c r="A37" s="20">
        <v>45438.569675925923</v>
      </c>
      <c r="B37" t="s">
        <v>385</v>
      </c>
      <c r="C37" t="s">
        <v>379</v>
      </c>
      <c r="D37" t="s">
        <v>118</v>
      </c>
      <c r="E37" t="s">
        <v>697</v>
      </c>
      <c r="F37" t="s">
        <v>760</v>
      </c>
      <c r="G37" t="s">
        <v>118</v>
      </c>
      <c r="H37" t="s">
        <v>761</v>
      </c>
    </row>
    <row r="38" spans="1:8" x14ac:dyDescent="0.2">
      <c r="A38" s="20">
        <v>45438.471701388888</v>
      </c>
      <c r="B38" t="s">
        <v>28</v>
      </c>
      <c r="C38" t="s">
        <v>29</v>
      </c>
      <c r="D38" t="s">
        <v>118</v>
      </c>
      <c r="E38" t="s">
        <v>697</v>
      </c>
      <c r="F38" t="s">
        <v>445</v>
      </c>
      <c r="G38" t="s">
        <v>762</v>
      </c>
      <c r="H38" t="s">
        <v>271</v>
      </c>
    </row>
    <row r="39" spans="1:8" x14ac:dyDescent="0.2">
      <c r="A39" s="20">
        <v>45438.420891203707</v>
      </c>
      <c r="B39" t="s">
        <v>301</v>
      </c>
      <c r="C39" t="s">
        <v>763</v>
      </c>
      <c r="D39" t="s">
        <v>118</v>
      </c>
      <c r="E39" t="s">
        <v>697</v>
      </c>
      <c r="F39" t="s">
        <v>815</v>
      </c>
      <c r="G39" t="s">
        <v>118</v>
      </c>
      <c r="H39" t="s">
        <v>203</v>
      </c>
    </row>
    <row r="40" spans="1:8" x14ac:dyDescent="0.2">
      <c r="A40" s="20">
        <v>45438.373368055552</v>
      </c>
      <c r="B40" t="s">
        <v>764</v>
      </c>
      <c r="C40" t="s">
        <v>624</v>
      </c>
      <c r="D40" t="s">
        <v>118</v>
      </c>
      <c r="E40" t="s">
        <v>697</v>
      </c>
      <c r="F40" t="s">
        <v>765</v>
      </c>
      <c r="G40" t="s">
        <v>118</v>
      </c>
      <c r="H40" t="s">
        <v>764</v>
      </c>
    </row>
    <row r="41" spans="1:8" x14ac:dyDescent="0.2">
      <c r="A41" s="20">
        <v>45437.911851851852</v>
      </c>
      <c r="B41" t="s">
        <v>138</v>
      </c>
      <c r="C41" t="s">
        <v>139</v>
      </c>
      <c r="D41" t="s">
        <v>118</v>
      </c>
      <c r="E41" t="s">
        <v>697</v>
      </c>
      <c r="F41" t="s">
        <v>766</v>
      </c>
      <c r="G41" t="s">
        <v>118</v>
      </c>
      <c r="H41" t="s">
        <v>142</v>
      </c>
    </row>
    <row r="42" spans="1:8" x14ac:dyDescent="0.2">
      <c r="A42" s="20">
        <v>45437.714108796295</v>
      </c>
      <c r="B42" t="s">
        <v>28</v>
      </c>
      <c r="C42" t="s">
        <v>767</v>
      </c>
      <c r="D42" t="s">
        <v>118</v>
      </c>
      <c r="E42" t="s">
        <v>697</v>
      </c>
      <c r="F42" t="s">
        <v>768</v>
      </c>
      <c r="G42" t="s">
        <v>118</v>
      </c>
      <c r="H42" t="s">
        <v>769</v>
      </c>
    </row>
    <row r="43" spans="1:8" x14ac:dyDescent="0.2">
      <c r="A43" s="20">
        <v>45437.696747685186</v>
      </c>
      <c r="B43" t="s">
        <v>382</v>
      </c>
      <c r="C43" t="s">
        <v>182</v>
      </c>
      <c r="D43" t="s">
        <v>118</v>
      </c>
      <c r="E43" t="s">
        <v>697</v>
      </c>
      <c r="F43" t="s">
        <v>770</v>
      </c>
      <c r="G43" t="s">
        <v>118</v>
      </c>
      <c r="H43" t="s">
        <v>331</v>
      </c>
    </row>
    <row r="44" spans="1:8" x14ac:dyDescent="0.2">
      <c r="A44" s="20">
        <v>45437.630011574074</v>
      </c>
      <c r="B44" t="s">
        <v>131</v>
      </c>
      <c r="C44" t="s">
        <v>132</v>
      </c>
      <c r="D44" t="s">
        <v>118</v>
      </c>
      <c r="E44" t="s">
        <v>697</v>
      </c>
      <c r="F44" t="s">
        <v>771</v>
      </c>
      <c r="G44" t="s">
        <v>118</v>
      </c>
      <c r="H44" t="s">
        <v>464</v>
      </c>
    </row>
    <row r="45" spans="1:8" x14ac:dyDescent="0.2">
      <c r="A45" s="20">
        <v>45437.52175925926</v>
      </c>
      <c r="B45" t="s">
        <v>160</v>
      </c>
      <c r="C45" t="s">
        <v>332</v>
      </c>
      <c r="D45" t="s">
        <v>118</v>
      </c>
      <c r="E45" t="s">
        <v>697</v>
      </c>
      <c r="F45" t="s">
        <v>772</v>
      </c>
      <c r="G45" t="s">
        <v>773</v>
      </c>
      <c r="H45" t="s">
        <v>774</v>
      </c>
    </row>
    <row r="46" spans="1:8" x14ac:dyDescent="0.2">
      <c r="A46" s="20">
        <v>45437.444212962961</v>
      </c>
      <c r="B46" t="s">
        <v>627</v>
      </c>
      <c r="C46" t="s">
        <v>628</v>
      </c>
      <c r="D46" t="s">
        <v>118</v>
      </c>
      <c r="E46" t="s">
        <v>697</v>
      </c>
      <c r="F46" t="s">
        <v>775</v>
      </c>
      <c r="G46" t="s">
        <v>118</v>
      </c>
      <c r="H46" t="s">
        <v>776</v>
      </c>
    </row>
    <row r="47" spans="1:8" x14ac:dyDescent="0.2">
      <c r="A47" s="20">
        <v>45437.425567129627</v>
      </c>
      <c r="B47" t="s">
        <v>130</v>
      </c>
      <c r="C47" t="s">
        <v>86</v>
      </c>
      <c r="D47" t="s">
        <v>118</v>
      </c>
      <c r="E47" t="s">
        <v>697</v>
      </c>
      <c r="F47" t="s">
        <v>777</v>
      </c>
      <c r="G47" t="s">
        <v>778</v>
      </c>
      <c r="H47" t="s">
        <v>462</v>
      </c>
    </row>
    <row r="48" spans="1:8" x14ac:dyDescent="0.2">
      <c r="A48" s="20">
        <v>45437.414143518516</v>
      </c>
      <c r="B48" t="s">
        <v>195</v>
      </c>
      <c r="C48" t="s">
        <v>196</v>
      </c>
      <c r="D48" t="s">
        <v>118</v>
      </c>
      <c r="E48" t="s">
        <v>697</v>
      </c>
      <c r="F48" t="s">
        <v>779</v>
      </c>
      <c r="G48" t="s">
        <v>780</v>
      </c>
      <c r="H48" t="s">
        <v>199</v>
      </c>
    </row>
    <row r="49" spans="1:8" x14ac:dyDescent="0.2">
      <c r="A49" s="20">
        <v>45437.401099537034</v>
      </c>
      <c r="B49" t="s">
        <v>67</v>
      </c>
      <c r="C49" t="s">
        <v>68</v>
      </c>
      <c r="D49" t="s">
        <v>118</v>
      </c>
      <c r="E49" t="s">
        <v>697</v>
      </c>
      <c r="F49" t="s">
        <v>294</v>
      </c>
      <c r="G49" t="s">
        <v>781</v>
      </c>
      <c r="H49" t="s">
        <v>67</v>
      </c>
    </row>
    <row r="50" spans="1:8" x14ac:dyDescent="0.2">
      <c r="A50" s="20">
        <v>45437.399328703701</v>
      </c>
      <c r="B50" t="s">
        <v>160</v>
      </c>
      <c r="C50" t="s">
        <v>637</v>
      </c>
      <c r="D50" t="s">
        <v>118</v>
      </c>
      <c r="E50" t="s">
        <v>697</v>
      </c>
      <c r="F50" t="s">
        <v>782</v>
      </c>
      <c r="G50" t="s">
        <v>118</v>
      </c>
      <c r="H50" t="s">
        <v>639</v>
      </c>
    </row>
    <row r="51" spans="1:8" x14ac:dyDescent="0.2">
      <c r="A51" s="20">
        <v>45437.395937499998</v>
      </c>
      <c r="B51" t="s">
        <v>103</v>
      </c>
      <c r="C51" t="s">
        <v>104</v>
      </c>
      <c r="D51" t="s">
        <v>118</v>
      </c>
      <c r="E51" t="s">
        <v>697</v>
      </c>
      <c r="F51" t="s">
        <v>783</v>
      </c>
      <c r="G51" t="s">
        <v>118</v>
      </c>
      <c r="H51" t="s">
        <v>103</v>
      </c>
    </row>
    <row r="52" spans="1:8" x14ac:dyDescent="0.2">
      <c r="A52" s="20">
        <v>45437.387719907405</v>
      </c>
      <c r="B52" t="s">
        <v>784</v>
      </c>
      <c r="C52" t="s">
        <v>785</v>
      </c>
      <c r="D52" t="s">
        <v>118</v>
      </c>
      <c r="E52" t="s">
        <v>697</v>
      </c>
      <c r="F52" t="s">
        <v>786</v>
      </c>
      <c r="G52" t="s">
        <v>787</v>
      </c>
      <c r="H52" t="s">
        <v>788</v>
      </c>
    </row>
    <row r="53" spans="1:8" x14ac:dyDescent="0.2">
      <c r="A53" s="20">
        <v>45437.372129629628</v>
      </c>
      <c r="B53" t="s">
        <v>789</v>
      </c>
      <c r="C53" t="s">
        <v>790</v>
      </c>
      <c r="D53" t="s">
        <v>118</v>
      </c>
      <c r="E53" t="s">
        <v>697</v>
      </c>
      <c r="F53" t="s">
        <v>791</v>
      </c>
      <c r="G53" t="s">
        <v>118</v>
      </c>
      <c r="H53" t="s">
        <v>792</v>
      </c>
    </row>
    <row r="54" spans="1:8" x14ac:dyDescent="0.2">
      <c r="A54" s="20">
        <v>45437.364004629628</v>
      </c>
      <c r="B54" t="s">
        <v>383</v>
      </c>
      <c r="C54" t="s">
        <v>326</v>
      </c>
      <c r="D54" t="s">
        <v>118</v>
      </c>
      <c r="E54" t="s">
        <v>697</v>
      </c>
      <c r="F54" t="s">
        <v>793</v>
      </c>
      <c r="G54" t="s">
        <v>118</v>
      </c>
      <c r="H54" t="s">
        <v>328</v>
      </c>
    </row>
    <row r="55" spans="1:8" x14ac:dyDescent="0.2">
      <c r="A55" s="20">
        <v>45437.362800925926</v>
      </c>
      <c r="B55" t="s">
        <v>531</v>
      </c>
      <c r="C55" t="s">
        <v>293</v>
      </c>
      <c r="D55" t="s">
        <v>118</v>
      </c>
      <c r="E55" t="s">
        <v>697</v>
      </c>
      <c r="F55" t="s">
        <v>794</v>
      </c>
      <c r="G55" t="s">
        <v>118</v>
      </c>
      <c r="H55" t="s">
        <v>531</v>
      </c>
    </row>
    <row r="56" spans="1:8" x14ac:dyDescent="0.2">
      <c r="A56" s="20">
        <v>45414.456631944442</v>
      </c>
      <c r="B56" t="s">
        <v>666</v>
      </c>
      <c r="C56" t="s">
        <v>667</v>
      </c>
      <c r="D56" t="s">
        <v>118</v>
      </c>
      <c r="E56" t="s">
        <v>697</v>
      </c>
      <c r="F56" t="s">
        <v>795</v>
      </c>
      <c r="G56" t="s">
        <v>118</v>
      </c>
      <c r="H56" t="s">
        <v>666</v>
      </c>
    </row>
    <row r="57" spans="1:8" x14ac:dyDescent="0.2">
      <c r="A57" s="20">
        <v>45413.819594907407</v>
      </c>
      <c r="B57" t="s">
        <v>342</v>
      </c>
      <c r="C57" t="s">
        <v>211</v>
      </c>
      <c r="D57" t="s">
        <v>118</v>
      </c>
      <c r="E57" t="s">
        <v>563</v>
      </c>
      <c r="F57" t="s">
        <v>665</v>
      </c>
      <c r="G57" t="s">
        <v>118</v>
      </c>
      <c r="H57" t="s">
        <v>213</v>
      </c>
    </row>
    <row r="58" spans="1:8" x14ac:dyDescent="0.2">
      <c r="A58" s="20">
        <v>45412.670046296298</v>
      </c>
      <c r="B58" t="s">
        <v>145</v>
      </c>
      <c r="C58" t="s">
        <v>380</v>
      </c>
      <c r="D58" t="s">
        <v>118</v>
      </c>
      <c r="E58" t="s">
        <v>563</v>
      </c>
      <c r="F58" t="s">
        <v>422</v>
      </c>
      <c r="G58" t="s">
        <v>658</v>
      </c>
      <c r="H58" t="s">
        <v>145</v>
      </c>
    </row>
    <row r="59" spans="1:8" x14ac:dyDescent="0.2">
      <c r="A59" s="20">
        <v>45412.104548611111</v>
      </c>
      <c r="B59" t="s">
        <v>28</v>
      </c>
      <c r="C59" t="s">
        <v>323</v>
      </c>
      <c r="D59" t="s">
        <v>118</v>
      </c>
      <c r="E59" t="s">
        <v>563</v>
      </c>
      <c r="F59" t="s">
        <v>662</v>
      </c>
      <c r="G59" t="s">
        <v>659</v>
      </c>
      <c r="H59" t="s">
        <v>2</v>
      </c>
    </row>
    <row r="60" spans="1:8" x14ac:dyDescent="0.2">
      <c r="A60" s="20">
        <v>45412.006655092591</v>
      </c>
      <c r="B60" t="s">
        <v>124</v>
      </c>
      <c r="C60" t="s">
        <v>166</v>
      </c>
      <c r="D60" t="s">
        <v>118</v>
      </c>
      <c r="E60" t="s">
        <v>563</v>
      </c>
      <c r="F60" t="s">
        <v>660</v>
      </c>
      <c r="G60" t="s">
        <v>118</v>
      </c>
      <c r="H60" t="s">
        <v>124</v>
      </c>
    </row>
    <row r="61" spans="1:8" x14ac:dyDescent="0.2">
      <c r="A61" s="20">
        <v>45411.880879629629</v>
      </c>
      <c r="B61" t="s">
        <v>28</v>
      </c>
      <c r="C61" t="s">
        <v>441</v>
      </c>
      <c r="D61" t="s">
        <v>118</v>
      </c>
      <c r="E61" t="s">
        <v>563</v>
      </c>
      <c r="F61" t="s">
        <v>572</v>
      </c>
      <c r="G61" t="s">
        <v>573</v>
      </c>
      <c r="H61" t="s">
        <v>535</v>
      </c>
    </row>
    <row r="62" spans="1:8" x14ac:dyDescent="0.2">
      <c r="A62" s="20">
        <v>45411.801793981482</v>
      </c>
      <c r="B62" t="s">
        <v>525</v>
      </c>
      <c r="C62" t="s">
        <v>526</v>
      </c>
      <c r="D62" t="s">
        <v>118</v>
      </c>
      <c r="E62" t="s">
        <v>563</v>
      </c>
      <c r="F62" t="s">
        <v>465</v>
      </c>
      <c r="G62" t="s">
        <v>574</v>
      </c>
      <c r="H62" t="s">
        <v>525</v>
      </c>
    </row>
    <row r="63" spans="1:8" x14ac:dyDescent="0.2">
      <c r="A63" s="20">
        <v>45411.658067129632</v>
      </c>
      <c r="B63" t="s">
        <v>135</v>
      </c>
      <c r="C63" t="s">
        <v>389</v>
      </c>
      <c r="D63" t="s">
        <v>118</v>
      </c>
      <c r="E63" t="s">
        <v>563</v>
      </c>
      <c r="F63" t="s">
        <v>575</v>
      </c>
      <c r="G63" t="s">
        <v>576</v>
      </c>
      <c r="H63" t="s">
        <v>456</v>
      </c>
    </row>
    <row r="64" spans="1:8" x14ac:dyDescent="0.2">
      <c r="A64" s="20">
        <v>45411.593726851854</v>
      </c>
      <c r="B64" t="s">
        <v>577</v>
      </c>
      <c r="C64" t="s">
        <v>578</v>
      </c>
      <c r="D64" t="s">
        <v>118</v>
      </c>
      <c r="E64" t="s">
        <v>563</v>
      </c>
      <c r="F64" t="s">
        <v>579</v>
      </c>
      <c r="G64" t="s">
        <v>580</v>
      </c>
      <c r="H64" t="s">
        <v>581</v>
      </c>
    </row>
    <row r="65" spans="1:8" x14ac:dyDescent="0.2">
      <c r="A65" s="20">
        <v>45411.494826388887</v>
      </c>
      <c r="B65" t="s">
        <v>305</v>
      </c>
      <c r="C65" t="s">
        <v>306</v>
      </c>
      <c r="D65" t="s">
        <v>118</v>
      </c>
      <c r="E65" t="s">
        <v>563</v>
      </c>
      <c r="F65" t="s">
        <v>582</v>
      </c>
      <c r="G65" t="s">
        <v>583</v>
      </c>
      <c r="H65" t="s">
        <v>309</v>
      </c>
    </row>
    <row r="66" spans="1:8" x14ac:dyDescent="0.2">
      <c r="A66" s="20">
        <v>45411.448599537034</v>
      </c>
      <c r="B66" t="s">
        <v>72</v>
      </c>
      <c r="C66" t="s">
        <v>124</v>
      </c>
      <c r="D66" t="s">
        <v>118</v>
      </c>
      <c r="E66" t="s">
        <v>563</v>
      </c>
      <c r="F66" t="s">
        <v>584</v>
      </c>
      <c r="G66" t="s">
        <v>585</v>
      </c>
      <c r="H66" t="s">
        <v>542</v>
      </c>
    </row>
    <row r="67" spans="1:8" x14ac:dyDescent="0.2">
      <c r="A67" s="20">
        <v>45411.402326388888</v>
      </c>
      <c r="B67" t="s">
        <v>298</v>
      </c>
      <c r="C67" t="s">
        <v>386</v>
      </c>
      <c r="D67" t="s">
        <v>118</v>
      </c>
      <c r="E67" t="s">
        <v>563</v>
      </c>
      <c r="F67" t="s">
        <v>586</v>
      </c>
      <c r="G67" t="s">
        <v>118</v>
      </c>
      <c r="H67" t="s">
        <v>467</v>
      </c>
    </row>
    <row r="68" spans="1:8" x14ac:dyDescent="0.2">
      <c r="A68" s="20">
        <v>45411.400370370371</v>
      </c>
      <c r="B68" t="s">
        <v>175</v>
      </c>
      <c r="C68" t="s">
        <v>23</v>
      </c>
      <c r="D68" t="s">
        <v>118</v>
      </c>
      <c r="E68" t="s">
        <v>563</v>
      </c>
      <c r="F68" t="s">
        <v>587</v>
      </c>
      <c r="G68" t="s">
        <v>588</v>
      </c>
      <c r="H68" t="s">
        <v>178</v>
      </c>
    </row>
    <row r="69" spans="1:8" x14ac:dyDescent="0.2">
      <c r="A69" s="20">
        <v>45411.34547453704</v>
      </c>
      <c r="B69" t="s">
        <v>204</v>
      </c>
      <c r="C69" t="s">
        <v>378</v>
      </c>
      <c r="D69" t="s">
        <v>118</v>
      </c>
      <c r="E69" t="s">
        <v>563</v>
      </c>
      <c r="F69" t="s">
        <v>589</v>
      </c>
      <c r="G69" t="s">
        <v>590</v>
      </c>
      <c r="H69" t="s">
        <v>37</v>
      </c>
    </row>
    <row r="70" spans="1:8" x14ac:dyDescent="0.2">
      <c r="A70" s="20">
        <v>45410.599421296298</v>
      </c>
      <c r="B70" t="s">
        <v>115</v>
      </c>
      <c r="C70" t="s">
        <v>391</v>
      </c>
      <c r="D70" t="s">
        <v>118</v>
      </c>
      <c r="E70" t="s">
        <v>563</v>
      </c>
      <c r="F70" t="s">
        <v>591</v>
      </c>
      <c r="G70" t="s">
        <v>118</v>
      </c>
      <c r="H70" t="s">
        <v>194</v>
      </c>
    </row>
    <row r="71" spans="1:8" x14ac:dyDescent="0.2">
      <c r="A71" s="20">
        <v>45410.509571759256</v>
      </c>
      <c r="B71" t="s">
        <v>200</v>
      </c>
      <c r="C71" t="s">
        <v>201</v>
      </c>
      <c r="D71" t="s">
        <v>118</v>
      </c>
      <c r="E71" t="s">
        <v>563</v>
      </c>
      <c r="F71" t="s">
        <v>592</v>
      </c>
      <c r="G71" t="s">
        <v>118</v>
      </c>
      <c r="H71" t="s">
        <v>593</v>
      </c>
    </row>
    <row r="72" spans="1:8" x14ac:dyDescent="0.2">
      <c r="A72" s="20">
        <v>45410.506620370368</v>
      </c>
      <c r="B72" t="s">
        <v>76</v>
      </c>
      <c r="C72" t="s">
        <v>77</v>
      </c>
      <c r="D72" t="s">
        <v>118</v>
      </c>
      <c r="E72" t="s">
        <v>563</v>
      </c>
      <c r="F72" t="s">
        <v>594</v>
      </c>
      <c r="G72" t="s">
        <v>595</v>
      </c>
      <c r="H72" t="s">
        <v>76</v>
      </c>
    </row>
    <row r="73" spans="1:8" x14ac:dyDescent="0.2">
      <c r="A73" s="20">
        <v>45409.480254629627</v>
      </c>
      <c r="B73" t="s">
        <v>596</v>
      </c>
      <c r="C73" t="s">
        <v>597</v>
      </c>
      <c r="D73" t="s">
        <v>118</v>
      </c>
      <c r="E73" t="s">
        <v>563</v>
      </c>
      <c r="F73" t="s">
        <v>598</v>
      </c>
      <c r="G73" t="s">
        <v>118</v>
      </c>
      <c r="H73" t="s">
        <v>599</v>
      </c>
    </row>
    <row r="74" spans="1:8" x14ac:dyDescent="0.2">
      <c r="A74" s="20">
        <v>45409.40861111111</v>
      </c>
      <c r="B74" t="s">
        <v>28</v>
      </c>
      <c r="C74" t="s">
        <v>390</v>
      </c>
      <c r="D74" t="s">
        <v>118</v>
      </c>
      <c r="E74" t="s">
        <v>563</v>
      </c>
      <c r="F74" t="s">
        <v>600</v>
      </c>
      <c r="G74" t="s">
        <v>118</v>
      </c>
      <c r="H74" t="s">
        <v>242</v>
      </c>
    </row>
    <row r="75" spans="1:8" x14ac:dyDescent="0.2">
      <c r="A75" s="20">
        <v>45408.033993055556</v>
      </c>
      <c r="B75" t="s">
        <v>601</v>
      </c>
      <c r="C75" t="s">
        <v>602</v>
      </c>
      <c r="D75" t="s">
        <v>118</v>
      </c>
      <c r="E75" t="s">
        <v>563</v>
      </c>
      <c r="F75" t="s">
        <v>603</v>
      </c>
      <c r="G75" t="s">
        <v>118</v>
      </c>
      <c r="H75" t="s">
        <v>601</v>
      </c>
    </row>
    <row r="76" spans="1:8" x14ac:dyDescent="0.2">
      <c r="A76" s="20">
        <v>45407.698101851849</v>
      </c>
      <c r="B76" t="s">
        <v>383</v>
      </c>
      <c r="C76" t="s">
        <v>326</v>
      </c>
      <c r="D76" t="s">
        <v>118</v>
      </c>
      <c r="E76" t="s">
        <v>563</v>
      </c>
      <c r="F76" t="s">
        <v>604</v>
      </c>
      <c r="G76" t="s">
        <v>118</v>
      </c>
      <c r="H76" t="s">
        <v>328</v>
      </c>
    </row>
    <row r="77" spans="1:8" x14ac:dyDescent="0.2">
      <c r="A77" s="20">
        <v>45407.691041666665</v>
      </c>
      <c r="B77" t="s">
        <v>112</v>
      </c>
      <c r="C77" t="s">
        <v>395</v>
      </c>
      <c r="D77" t="s">
        <v>118</v>
      </c>
      <c r="E77" t="s">
        <v>563</v>
      </c>
      <c r="F77" t="s">
        <v>605</v>
      </c>
      <c r="G77" t="s">
        <v>606</v>
      </c>
      <c r="H77" t="s">
        <v>112</v>
      </c>
    </row>
    <row r="78" spans="1:8" x14ac:dyDescent="0.2">
      <c r="A78" s="20">
        <v>45407.675312500003</v>
      </c>
      <c r="B78" t="s">
        <v>607</v>
      </c>
      <c r="C78" t="s">
        <v>608</v>
      </c>
      <c r="D78" t="s">
        <v>118</v>
      </c>
      <c r="E78" t="s">
        <v>563</v>
      </c>
      <c r="F78" t="s">
        <v>609</v>
      </c>
      <c r="G78" t="s">
        <v>118</v>
      </c>
      <c r="H78" t="s">
        <v>610</v>
      </c>
    </row>
    <row r="79" spans="1:8" x14ac:dyDescent="0.2">
      <c r="A79" s="20">
        <v>45407.649259259262</v>
      </c>
      <c r="B79" t="s">
        <v>385</v>
      </c>
      <c r="C79" t="s">
        <v>379</v>
      </c>
      <c r="D79" t="s">
        <v>118</v>
      </c>
      <c r="E79" t="s">
        <v>563</v>
      </c>
      <c r="F79" t="s">
        <v>611</v>
      </c>
      <c r="G79" t="s">
        <v>612</v>
      </c>
      <c r="H79" t="s">
        <v>613</v>
      </c>
    </row>
    <row r="80" spans="1:8" x14ac:dyDescent="0.2">
      <c r="A80" s="20">
        <v>45407.607916666668</v>
      </c>
      <c r="B80" t="s">
        <v>130</v>
      </c>
      <c r="C80" t="s">
        <v>86</v>
      </c>
      <c r="D80" t="s">
        <v>118</v>
      </c>
      <c r="E80" t="s">
        <v>563</v>
      </c>
      <c r="F80" t="s">
        <v>614</v>
      </c>
      <c r="G80" t="s">
        <v>615</v>
      </c>
      <c r="H80" t="s">
        <v>462</v>
      </c>
    </row>
    <row r="81" spans="1:8" x14ac:dyDescent="0.2">
      <c r="A81" s="20">
        <v>45407.460613425923</v>
      </c>
      <c r="B81" t="s">
        <v>72</v>
      </c>
      <c r="C81" t="s">
        <v>616</v>
      </c>
      <c r="D81" t="s">
        <v>118</v>
      </c>
      <c r="E81" t="s">
        <v>563</v>
      </c>
      <c r="F81" t="s">
        <v>617</v>
      </c>
      <c r="G81" t="s">
        <v>618</v>
      </c>
      <c r="H81" t="s">
        <v>619</v>
      </c>
    </row>
    <row r="82" spans="1:8" x14ac:dyDescent="0.2">
      <c r="A82" s="20">
        <v>45407.428831018522</v>
      </c>
      <c r="B82" t="s">
        <v>382</v>
      </c>
      <c r="C82" t="s">
        <v>182</v>
      </c>
      <c r="D82" t="s">
        <v>118</v>
      </c>
      <c r="E82" t="s">
        <v>563</v>
      </c>
      <c r="F82" t="s">
        <v>620</v>
      </c>
      <c r="G82" t="s">
        <v>118</v>
      </c>
      <c r="H82" t="s">
        <v>621</v>
      </c>
    </row>
    <row r="83" spans="1:8" x14ac:dyDescent="0.2">
      <c r="A83" s="20">
        <v>45407.398020833331</v>
      </c>
      <c r="B83" t="s">
        <v>138</v>
      </c>
      <c r="C83" t="s">
        <v>139</v>
      </c>
      <c r="D83" t="s">
        <v>118</v>
      </c>
      <c r="E83" t="s">
        <v>563</v>
      </c>
      <c r="F83" t="s">
        <v>622</v>
      </c>
      <c r="G83" t="s">
        <v>623</v>
      </c>
      <c r="H83" t="s">
        <v>451</v>
      </c>
    </row>
    <row r="84" spans="1:8" x14ac:dyDescent="0.2">
      <c r="A84" s="20">
        <v>45407.333564814813</v>
      </c>
      <c r="B84" t="s">
        <v>384</v>
      </c>
      <c r="C84" t="s">
        <v>315</v>
      </c>
      <c r="D84" t="s">
        <v>118</v>
      </c>
      <c r="E84" t="s">
        <v>563</v>
      </c>
      <c r="F84" t="s">
        <v>549</v>
      </c>
      <c r="G84" t="s">
        <v>118</v>
      </c>
      <c r="H84" t="s">
        <v>317</v>
      </c>
    </row>
    <row r="85" spans="1:8" x14ac:dyDescent="0.2">
      <c r="A85" s="20">
        <v>45406.956793981481</v>
      </c>
      <c r="B85" t="s">
        <v>764</v>
      </c>
      <c r="C85" t="s">
        <v>624</v>
      </c>
      <c r="D85" t="s">
        <v>118</v>
      </c>
      <c r="E85" t="s">
        <v>563</v>
      </c>
      <c r="F85" t="s">
        <v>439</v>
      </c>
      <c r="G85" t="s">
        <v>625</v>
      </c>
      <c r="H85" t="s">
        <v>626</v>
      </c>
    </row>
    <row r="86" spans="1:8" x14ac:dyDescent="0.2">
      <c r="A86" s="20">
        <v>45406.920335648145</v>
      </c>
      <c r="B86" t="s">
        <v>627</v>
      </c>
      <c r="C86" t="s">
        <v>628</v>
      </c>
      <c r="D86" t="s">
        <v>118</v>
      </c>
      <c r="E86" t="s">
        <v>563</v>
      </c>
      <c r="F86" t="s">
        <v>419</v>
      </c>
      <c r="G86" t="s">
        <v>118</v>
      </c>
      <c r="H86" t="s">
        <v>627</v>
      </c>
    </row>
    <row r="87" spans="1:8" x14ac:dyDescent="0.2">
      <c r="A87" s="20">
        <v>45406.907986111109</v>
      </c>
      <c r="B87" t="s">
        <v>357</v>
      </c>
      <c r="C87" t="s">
        <v>358</v>
      </c>
      <c r="D87" t="s">
        <v>118</v>
      </c>
      <c r="E87" t="s">
        <v>563</v>
      </c>
      <c r="F87" t="s">
        <v>629</v>
      </c>
      <c r="G87" t="s">
        <v>118</v>
      </c>
      <c r="H87" t="s">
        <v>361</v>
      </c>
    </row>
    <row r="88" spans="1:8" x14ac:dyDescent="0.2">
      <c r="A88" s="20">
        <v>45406.907708333332</v>
      </c>
      <c r="B88" t="s">
        <v>204</v>
      </c>
      <c r="C88" t="s">
        <v>515</v>
      </c>
      <c r="D88" t="s">
        <v>118</v>
      </c>
      <c r="E88" t="s">
        <v>563</v>
      </c>
      <c r="F88" t="s">
        <v>630</v>
      </c>
      <c r="G88" t="s">
        <v>631</v>
      </c>
      <c r="H88" t="s">
        <v>351</v>
      </c>
    </row>
    <row r="89" spans="1:8" x14ac:dyDescent="0.2">
      <c r="A89" s="20">
        <v>45406.90525462963</v>
      </c>
      <c r="B89" t="s">
        <v>160</v>
      </c>
      <c r="C89" t="s">
        <v>632</v>
      </c>
      <c r="D89" t="s">
        <v>118</v>
      </c>
      <c r="E89" t="s">
        <v>563</v>
      </c>
      <c r="F89" t="s">
        <v>633</v>
      </c>
      <c r="G89" t="s">
        <v>634</v>
      </c>
      <c r="H89" t="s">
        <v>635</v>
      </c>
    </row>
    <row r="90" spans="1:8" x14ac:dyDescent="0.2">
      <c r="A90" s="20">
        <v>45406.860115740739</v>
      </c>
      <c r="B90" t="s">
        <v>103</v>
      </c>
      <c r="C90" t="s">
        <v>104</v>
      </c>
      <c r="D90" t="s">
        <v>118</v>
      </c>
      <c r="E90" t="s">
        <v>563</v>
      </c>
      <c r="F90" t="s">
        <v>636</v>
      </c>
      <c r="G90" t="s">
        <v>118</v>
      </c>
      <c r="H90" t="s">
        <v>103</v>
      </c>
    </row>
    <row r="91" spans="1:8" x14ac:dyDescent="0.2">
      <c r="A91" s="20">
        <v>45406.8281712963</v>
      </c>
      <c r="B91" t="s">
        <v>160</v>
      </c>
      <c r="C91" t="s">
        <v>637</v>
      </c>
      <c r="D91" t="s">
        <v>118</v>
      </c>
      <c r="E91" t="s">
        <v>563</v>
      </c>
      <c r="F91" t="s">
        <v>638</v>
      </c>
      <c r="G91" t="s">
        <v>118</v>
      </c>
      <c r="H91" t="s">
        <v>639</v>
      </c>
    </row>
    <row r="92" spans="1:8" x14ac:dyDescent="0.2">
      <c r="A92" s="20">
        <v>45406.824918981481</v>
      </c>
      <c r="B92" t="s">
        <v>195</v>
      </c>
      <c r="C92" t="s">
        <v>196</v>
      </c>
      <c r="D92" t="s">
        <v>118</v>
      </c>
      <c r="E92" t="s">
        <v>563</v>
      </c>
      <c r="F92" t="s">
        <v>640</v>
      </c>
      <c r="G92" t="s">
        <v>641</v>
      </c>
      <c r="H92" t="s">
        <v>199</v>
      </c>
    </row>
    <row r="93" spans="1:8" x14ac:dyDescent="0.2">
      <c r="A93" s="20">
        <v>45406.823078703703</v>
      </c>
      <c r="B93" t="s">
        <v>160</v>
      </c>
      <c r="C93" t="s">
        <v>332</v>
      </c>
      <c r="D93" t="s">
        <v>118</v>
      </c>
      <c r="E93" t="s">
        <v>563</v>
      </c>
      <c r="F93" t="s">
        <v>642</v>
      </c>
      <c r="G93" t="s">
        <v>643</v>
      </c>
      <c r="H93" t="s">
        <v>644</v>
      </c>
    </row>
    <row r="94" spans="1:8" x14ac:dyDescent="0.2">
      <c r="A94" s="20">
        <v>45406.822442129633</v>
      </c>
      <c r="B94" t="s">
        <v>67</v>
      </c>
      <c r="C94" t="s">
        <v>68</v>
      </c>
      <c r="D94" t="s">
        <v>118</v>
      </c>
      <c r="E94" t="s">
        <v>563</v>
      </c>
      <c r="F94" t="s">
        <v>645</v>
      </c>
      <c r="G94" t="s">
        <v>646</v>
      </c>
      <c r="H94" t="s">
        <v>171</v>
      </c>
    </row>
    <row r="95" spans="1:8" x14ac:dyDescent="0.2">
      <c r="A95" s="20">
        <v>45406.777581018519</v>
      </c>
      <c r="B95" t="s">
        <v>72</v>
      </c>
      <c r="C95" t="s">
        <v>562</v>
      </c>
      <c r="D95" t="s">
        <v>118</v>
      </c>
      <c r="E95" t="s">
        <v>563</v>
      </c>
      <c r="F95" t="s">
        <v>564</v>
      </c>
      <c r="G95" t="s">
        <v>565</v>
      </c>
      <c r="H95" t="s">
        <v>566</v>
      </c>
    </row>
    <row r="96" spans="1:8" x14ac:dyDescent="0.2">
      <c r="A96" s="20">
        <v>45406.767824074072</v>
      </c>
      <c r="B96" t="s">
        <v>28</v>
      </c>
      <c r="C96" t="s">
        <v>29</v>
      </c>
      <c r="D96" t="s">
        <v>118</v>
      </c>
      <c r="E96" t="s">
        <v>563</v>
      </c>
      <c r="F96" t="s">
        <v>567</v>
      </c>
      <c r="G96" t="s">
        <v>118</v>
      </c>
      <c r="H96" t="s">
        <v>471</v>
      </c>
    </row>
    <row r="97" spans="1:8" x14ac:dyDescent="0.2">
      <c r="A97" s="20">
        <v>45406.767256944448</v>
      </c>
      <c r="B97" t="s">
        <v>120</v>
      </c>
      <c r="C97" t="s">
        <v>121</v>
      </c>
      <c r="D97" t="s">
        <v>118</v>
      </c>
      <c r="E97" t="s">
        <v>563</v>
      </c>
      <c r="F97" t="s">
        <v>491</v>
      </c>
      <c r="G97" t="s">
        <v>118</v>
      </c>
      <c r="H97" t="s">
        <v>123</v>
      </c>
    </row>
    <row r="98" spans="1:8" x14ac:dyDescent="0.2">
      <c r="A98" s="20">
        <v>45406.434571759259</v>
      </c>
      <c r="B98" t="s">
        <v>124</v>
      </c>
      <c r="C98" t="s">
        <v>125</v>
      </c>
      <c r="D98" t="s">
        <v>118</v>
      </c>
      <c r="E98" t="s">
        <v>563</v>
      </c>
      <c r="F98" t="s">
        <v>568</v>
      </c>
      <c r="G98" t="s">
        <v>569</v>
      </c>
      <c r="H98" t="s">
        <v>561</v>
      </c>
    </row>
    <row r="99" spans="1:8" x14ac:dyDescent="0.2">
      <c r="A99" s="20">
        <v>45400.576053240744</v>
      </c>
      <c r="B99" t="s">
        <v>131</v>
      </c>
      <c r="C99" t="s">
        <v>132</v>
      </c>
      <c r="D99" t="s">
        <v>118</v>
      </c>
      <c r="E99" t="s">
        <v>563</v>
      </c>
      <c r="F99" t="s">
        <v>570</v>
      </c>
      <c r="G99" t="s">
        <v>571</v>
      </c>
      <c r="H99" t="s">
        <v>464</v>
      </c>
    </row>
    <row r="100" spans="1:8" x14ac:dyDescent="0.2">
      <c r="A100" s="20">
        <v>45382.794340277775</v>
      </c>
      <c r="B100" t="s">
        <v>200</v>
      </c>
      <c r="C100" t="s">
        <v>201</v>
      </c>
      <c r="D100" t="s">
        <v>118</v>
      </c>
      <c r="E100" t="s">
        <v>146</v>
      </c>
      <c r="F100" t="s">
        <v>548</v>
      </c>
      <c r="G100" t="s">
        <v>118</v>
      </c>
      <c r="H100" t="s">
        <v>203</v>
      </c>
    </row>
    <row r="101" spans="1:8" x14ac:dyDescent="0.2">
      <c r="A101" s="20">
        <v>45382.498784722222</v>
      </c>
      <c r="B101" t="s">
        <v>525</v>
      </c>
      <c r="C101" t="s">
        <v>526</v>
      </c>
      <c r="D101" t="s">
        <v>118</v>
      </c>
      <c r="E101" t="s">
        <v>146</v>
      </c>
      <c r="F101" t="s">
        <v>527</v>
      </c>
      <c r="G101" t="s">
        <v>528</v>
      </c>
      <c r="H101" t="s">
        <v>525</v>
      </c>
    </row>
    <row r="102" spans="1:8" x14ac:dyDescent="0.2">
      <c r="A102" s="20">
        <v>45382.031504629631</v>
      </c>
      <c r="B102" t="s">
        <v>28</v>
      </c>
      <c r="C102" t="s">
        <v>323</v>
      </c>
      <c r="D102" t="s">
        <v>118</v>
      </c>
      <c r="E102" t="s">
        <v>146</v>
      </c>
      <c r="F102" t="s">
        <v>529</v>
      </c>
      <c r="G102" t="s">
        <v>530</v>
      </c>
      <c r="H102" t="s">
        <v>2</v>
      </c>
    </row>
    <row r="103" spans="1:8" x14ac:dyDescent="0.2">
      <c r="A103" s="20">
        <v>45381.989479166667</v>
      </c>
      <c r="B103" t="s">
        <v>342</v>
      </c>
      <c r="C103" t="s">
        <v>211</v>
      </c>
      <c r="D103" t="s">
        <v>118</v>
      </c>
      <c r="E103" t="s">
        <v>146</v>
      </c>
      <c r="F103" t="s">
        <v>534</v>
      </c>
      <c r="G103" t="s">
        <v>118</v>
      </c>
      <c r="H103" t="s">
        <v>213</v>
      </c>
    </row>
    <row r="104" spans="1:8" x14ac:dyDescent="0.2">
      <c r="A104" s="20">
        <v>45381.771481481483</v>
      </c>
      <c r="B104" t="s">
        <v>28</v>
      </c>
      <c r="C104" t="s">
        <v>441</v>
      </c>
      <c r="D104" t="s">
        <v>118</v>
      </c>
      <c r="E104" t="s">
        <v>146</v>
      </c>
      <c r="F104" t="s">
        <v>524</v>
      </c>
      <c r="G104" t="s">
        <v>118</v>
      </c>
      <c r="H104" t="s">
        <v>535</v>
      </c>
    </row>
    <row r="105" spans="1:8" x14ac:dyDescent="0.2">
      <c r="A105" s="20">
        <v>45381.456250000003</v>
      </c>
      <c r="B105" t="s">
        <v>124</v>
      </c>
      <c r="C105" t="s">
        <v>166</v>
      </c>
      <c r="D105" t="s">
        <v>118</v>
      </c>
      <c r="E105" t="s">
        <v>146</v>
      </c>
      <c r="F105" t="s">
        <v>536</v>
      </c>
      <c r="G105" t="s">
        <v>118</v>
      </c>
      <c r="H105" t="s">
        <v>124</v>
      </c>
    </row>
    <row r="106" spans="1:8" x14ac:dyDescent="0.2">
      <c r="A106" s="20">
        <v>45381.121782407405</v>
      </c>
      <c r="B106" t="s">
        <v>531</v>
      </c>
      <c r="C106" t="s">
        <v>293</v>
      </c>
      <c r="D106" t="s">
        <v>118</v>
      </c>
      <c r="E106" t="s">
        <v>146</v>
      </c>
      <c r="F106" t="s">
        <v>532</v>
      </c>
      <c r="G106" t="s">
        <v>118</v>
      </c>
      <c r="H106" t="s">
        <v>531</v>
      </c>
    </row>
    <row r="107" spans="1:8" x14ac:dyDescent="0.2">
      <c r="A107" s="20">
        <v>45381.093217592592</v>
      </c>
      <c r="B107" t="s">
        <v>28</v>
      </c>
      <c r="C107" t="s">
        <v>390</v>
      </c>
      <c r="D107" t="s">
        <v>118</v>
      </c>
      <c r="E107" t="s">
        <v>146</v>
      </c>
      <c r="F107" t="s">
        <v>533</v>
      </c>
      <c r="G107" t="s">
        <v>118</v>
      </c>
      <c r="H107" t="s">
        <v>242</v>
      </c>
    </row>
    <row r="108" spans="1:8" x14ac:dyDescent="0.2">
      <c r="A108" s="20">
        <v>45380.456597222219</v>
      </c>
      <c r="B108" t="s">
        <v>175</v>
      </c>
      <c r="C108" t="s">
        <v>23</v>
      </c>
      <c r="D108" t="s">
        <v>118</v>
      </c>
      <c r="E108" t="s">
        <v>146</v>
      </c>
      <c r="F108" t="s">
        <v>539</v>
      </c>
      <c r="G108" t="s">
        <v>540</v>
      </c>
      <c r="H108" t="s">
        <v>178</v>
      </c>
    </row>
    <row r="109" spans="1:8" x14ac:dyDescent="0.2">
      <c r="A109" s="20">
        <v>45380.05872685185</v>
      </c>
      <c r="B109" t="s">
        <v>135</v>
      </c>
      <c r="C109" t="s">
        <v>389</v>
      </c>
      <c r="D109" t="s">
        <v>118</v>
      </c>
      <c r="E109" t="s">
        <v>146</v>
      </c>
      <c r="F109" t="s">
        <v>537</v>
      </c>
      <c r="G109" t="s">
        <v>538</v>
      </c>
      <c r="H109" t="s">
        <v>456</v>
      </c>
    </row>
    <row r="110" spans="1:8" x14ac:dyDescent="0.2">
      <c r="A110" s="20">
        <v>45378.957407407404</v>
      </c>
      <c r="B110" t="s">
        <v>305</v>
      </c>
      <c r="C110" t="s">
        <v>306</v>
      </c>
      <c r="D110" t="s">
        <v>118</v>
      </c>
      <c r="E110" t="s">
        <v>146</v>
      </c>
      <c r="F110" t="s">
        <v>549</v>
      </c>
      <c r="G110" t="s">
        <v>492</v>
      </c>
      <c r="H110" t="s">
        <v>309</v>
      </c>
    </row>
    <row r="111" spans="1:8" x14ac:dyDescent="0.2">
      <c r="A111" s="20">
        <v>45378.904641203706</v>
      </c>
      <c r="B111" t="s">
        <v>124</v>
      </c>
      <c r="C111" t="s">
        <v>125</v>
      </c>
      <c r="D111" t="s">
        <v>118</v>
      </c>
      <c r="E111" t="s">
        <v>146</v>
      </c>
      <c r="F111" t="s">
        <v>493</v>
      </c>
      <c r="G111" t="s">
        <v>494</v>
      </c>
      <c r="H111" t="s">
        <v>128</v>
      </c>
    </row>
    <row r="112" spans="1:8" x14ac:dyDescent="0.2">
      <c r="A112" s="20">
        <v>45378.721030092594</v>
      </c>
      <c r="B112" t="s">
        <v>76</v>
      </c>
      <c r="C112" t="s">
        <v>77</v>
      </c>
      <c r="D112" t="s">
        <v>118</v>
      </c>
      <c r="E112" t="s">
        <v>146</v>
      </c>
      <c r="F112" t="s">
        <v>495</v>
      </c>
      <c r="G112" t="s">
        <v>496</v>
      </c>
      <c r="H112" t="s">
        <v>76</v>
      </c>
    </row>
    <row r="113" spans="1:8" x14ac:dyDescent="0.2">
      <c r="A113" s="20">
        <v>45378.518819444442</v>
      </c>
      <c r="B113" t="s">
        <v>382</v>
      </c>
      <c r="C113" t="s">
        <v>182</v>
      </c>
      <c r="D113" t="s">
        <v>118</v>
      </c>
      <c r="E113" t="s">
        <v>146</v>
      </c>
      <c r="F113" t="s">
        <v>497</v>
      </c>
      <c r="G113" t="s">
        <v>118</v>
      </c>
      <c r="H113" t="s">
        <v>331</v>
      </c>
    </row>
    <row r="114" spans="1:8" x14ac:dyDescent="0.2">
      <c r="A114" s="20">
        <v>45378.500856481478</v>
      </c>
      <c r="B114" t="s">
        <v>195</v>
      </c>
      <c r="C114" t="s">
        <v>196</v>
      </c>
      <c r="D114" t="s">
        <v>118</v>
      </c>
      <c r="E114" t="s">
        <v>146</v>
      </c>
      <c r="F114" t="s">
        <v>498</v>
      </c>
      <c r="G114" t="s">
        <v>499</v>
      </c>
      <c r="H114" t="s">
        <v>199</v>
      </c>
    </row>
    <row r="115" spans="1:8" x14ac:dyDescent="0.2">
      <c r="A115" s="20">
        <v>45377.987604166665</v>
      </c>
      <c r="B115" t="s">
        <v>130</v>
      </c>
      <c r="C115" t="s">
        <v>86</v>
      </c>
      <c r="D115" t="s">
        <v>118</v>
      </c>
      <c r="E115" t="s">
        <v>146</v>
      </c>
      <c r="F115" t="s">
        <v>505</v>
      </c>
      <c r="G115" t="s">
        <v>118</v>
      </c>
      <c r="H115" t="s">
        <v>462</v>
      </c>
    </row>
    <row r="116" spans="1:8" x14ac:dyDescent="0.2">
      <c r="A116" s="20">
        <v>45377.818877314814</v>
      </c>
      <c r="B116" t="s">
        <v>357</v>
      </c>
      <c r="C116" t="s">
        <v>358</v>
      </c>
      <c r="D116" t="s">
        <v>118</v>
      </c>
      <c r="E116" t="s">
        <v>146</v>
      </c>
      <c r="F116" t="s">
        <v>506</v>
      </c>
      <c r="G116" t="s">
        <v>118</v>
      </c>
      <c r="H116" t="s">
        <v>364</v>
      </c>
    </row>
    <row r="117" spans="1:8" x14ac:dyDescent="0.2">
      <c r="A117" s="20">
        <v>45377.735034722224</v>
      </c>
      <c r="B117" t="s">
        <v>298</v>
      </c>
      <c r="C117" t="s">
        <v>386</v>
      </c>
      <c r="D117" t="s">
        <v>118</v>
      </c>
      <c r="E117" t="s">
        <v>146</v>
      </c>
      <c r="F117" t="s">
        <v>550</v>
      </c>
      <c r="G117" t="s">
        <v>118</v>
      </c>
      <c r="H117" t="s">
        <v>467</v>
      </c>
    </row>
    <row r="118" spans="1:8" x14ac:dyDescent="0.2">
      <c r="A118" s="20">
        <v>45377.675949074073</v>
      </c>
      <c r="B118" t="s">
        <v>120</v>
      </c>
      <c r="C118" t="s">
        <v>121</v>
      </c>
      <c r="D118" t="s">
        <v>118</v>
      </c>
      <c r="E118" t="s">
        <v>146</v>
      </c>
      <c r="F118" t="s">
        <v>491</v>
      </c>
      <c r="G118" t="s">
        <v>118</v>
      </c>
      <c r="H118" t="s">
        <v>123</v>
      </c>
    </row>
    <row r="119" spans="1:8" x14ac:dyDescent="0.2">
      <c r="A119" s="20">
        <v>45377.403796296298</v>
      </c>
      <c r="B119" t="s">
        <v>67</v>
      </c>
      <c r="C119" t="s">
        <v>68</v>
      </c>
      <c r="D119" t="s">
        <v>118</v>
      </c>
      <c r="E119" t="s">
        <v>146</v>
      </c>
      <c r="F119" t="s">
        <v>500</v>
      </c>
      <c r="G119" t="s">
        <v>501</v>
      </c>
      <c r="H119" t="s">
        <v>171</v>
      </c>
    </row>
    <row r="120" spans="1:8" x14ac:dyDescent="0.2">
      <c r="A120" s="20">
        <v>45377.40047453704</v>
      </c>
      <c r="B120" t="s">
        <v>72</v>
      </c>
      <c r="C120" t="s">
        <v>124</v>
      </c>
      <c r="D120" t="s">
        <v>118</v>
      </c>
      <c r="E120" t="s">
        <v>146</v>
      </c>
      <c r="F120" t="s">
        <v>502</v>
      </c>
      <c r="G120" t="s">
        <v>503</v>
      </c>
      <c r="H120" t="s">
        <v>504</v>
      </c>
    </row>
    <row r="121" spans="1:8" x14ac:dyDescent="0.2">
      <c r="A121" s="20">
        <v>45376.900763888887</v>
      </c>
      <c r="B121" t="s">
        <v>383</v>
      </c>
      <c r="C121" t="s">
        <v>326</v>
      </c>
      <c r="D121" t="s">
        <v>118</v>
      </c>
      <c r="E121" t="s">
        <v>146</v>
      </c>
      <c r="F121" t="s">
        <v>514</v>
      </c>
      <c r="G121" t="s">
        <v>118</v>
      </c>
      <c r="H121" t="s">
        <v>328</v>
      </c>
    </row>
    <row r="122" spans="1:8" x14ac:dyDescent="0.2">
      <c r="A122" s="20">
        <v>45376.736666666664</v>
      </c>
      <c r="B122" t="s">
        <v>204</v>
      </c>
      <c r="C122" t="s">
        <v>515</v>
      </c>
      <c r="D122" t="s">
        <v>118</v>
      </c>
      <c r="E122" t="s">
        <v>146</v>
      </c>
      <c r="F122" t="s">
        <v>516</v>
      </c>
      <c r="G122" t="s">
        <v>517</v>
      </c>
      <c r="H122" t="s">
        <v>351</v>
      </c>
    </row>
    <row r="123" spans="1:8" x14ac:dyDescent="0.2">
      <c r="A123" s="20">
        <v>45376.714166666665</v>
      </c>
      <c r="B123" t="s">
        <v>385</v>
      </c>
      <c r="C123" t="s">
        <v>379</v>
      </c>
      <c r="D123" t="s">
        <v>118</v>
      </c>
      <c r="E123" t="s">
        <v>146</v>
      </c>
      <c r="F123" t="s">
        <v>518</v>
      </c>
      <c r="G123" t="s">
        <v>519</v>
      </c>
      <c r="H123" t="s">
        <v>520</v>
      </c>
    </row>
    <row r="124" spans="1:8" x14ac:dyDescent="0.2">
      <c r="A124" s="20">
        <v>45376.675266203703</v>
      </c>
      <c r="B124" t="s">
        <v>521</v>
      </c>
      <c r="C124" t="s">
        <v>522</v>
      </c>
      <c r="D124" t="s">
        <v>118</v>
      </c>
      <c r="E124" t="s">
        <v>146</v>
      </c>
      <c r="F124" t="s">
        <v>507</v>
      </c>
      <c r="G124" t="s">
        <v>118</v>
      </c>
      <c r="H124" t="s">
        <v>523</v>
      </c>
    </row>
    <row r="125" spans="1:8" x14ac:dyDescent="0.2">
      <c r="A125" s="20">
        <v>45376.405150462961</v>
      </c>
      <c r="B125" t="s">
        <v>131</v>
      </c>
      <c r="C125" t="s">
        <v>132</v>
      </c>
      <c r="D125" t="s">
        <v>118</v>
      </c>
      <c r="E125" t="s">
        <v>146</v>
      </c>
      <c r="F125" t="s">
        <v>508</v>
      </c>
      <c r="G125" t="s">
        <v>118</v>
      </c>
      <c r="H125" t="s">
        <v>464</v>
      </c>
    </row>
    <row r="126" spans="1:8" x14ac:dyDescent="0.2">
      <c r="A126" s="20">
        <v>45376.402581018519</v>
      </c>
      <c r="B126" t="s">
        <v>112</v>
      </c>
      <c r="C126" t="s">
        <v>395</v>
      </c>
      <c r="D126" t="s">
        <v>118</v>
      </c>
      <c r="E126" t="s">
        <v>146</v>
      </c>
      <c r="F126" t="s">
        <v>509</v>
      </c>
      <c r="G126" t="s">
        <v>118</v>
      </c>
      <c r="H126" t="s">
        <v>510</v>
      </c>
    </row>
    <row r="127" spans="1:8" x14ac:dyDescent="0.2">
      <c r="A127" s="20">
        <v>45376.390185185184</v>
      </c>
      <c r="B127" t="s">
        <v>103</v>
      </c>
      <c r="C127" t="s">
        <v>104</v>
      </c>
      <c r="D127" t="s">
        <v>118</v>
      </c>
      <c r="E127" t="s">
        <v>146</v>
      </c>
      <c r="F127" t="s">
        <v>511</v>
      </c>
      <c r="G127" t="s">
        <v>118</v>
      </c>
      <c r="H127" t="s">
        <v>103</v>
      </c>
    </row>
    <row r="128" spans="1:8" x14ac:dyDescent="0.2">
      <c r="A128" s="20">
        <v>45376.347546296296</v>
      </c>
      <c r="B128" t="s">
        <v>28</v>
      </c>
      <c r="C128" t="s">
        <v>29</v>
      </c>
      <c r="D128" t="s">
        <v>118</v>
      </c>
      <c r="E128" t="s">
        <v>146</v>
      </c>
      <c r="F128" t="s">
        <v>512</v>
      </c>
      <c r="G128" t="s">
        <v>513</v>
      </c>
      <c r="H128" t="s">
        <v>271</v>
      </c>
    </row>
    <row r="129" spans="1:8" x14ac:dyDescent="0.2">
      <c r="A129" s="20">
        <v>45351.02076388889</v>
      </c>
      <c r="B129" t="s">
        <v>124</v>
      </c>
      <c r="C129" t="s">
        <v>166</v>
      </c>
      <c r="D129" t="s">
        <v>118</v>
      </c>
      <c r="E129" t="s">
        <v>417</v>
      </c>
      <c r="F129" t="s">
        <v>418</v>
      </c>
      <c r="G129" t="s">
        <v>118</v>
      </c>
      <c r="H129" t="s">
        <v>124</v>
      </c>
    </row>
    <row r="130" spans="1:8" x14ac:dyDescent="0.2">
      <c r="A130" s="20">
        <v>45350.99145833333</v>
      </c>
      <c r="B130" t="s">
        <v>342</v>
      </c>
      <c r="C130" t="s">
        <v>211</v>
      </c>
      <c r="D130" t="s">
        <v>118</v>
      </c>
      <c r="E130" t="s">
        <v>417</v>
      </c>
      <c r="F130" t="s">
        <v>419</v>
      </c>
      <c r="G130" t="s">
        <v>118</v>
      </c>
      <c r="H130" t="s">
        <v>420</v>
      </c>
    </row>
    <row r="131" spans="1:8" x14ac:dyDescent="0.2">
      <c r="A131" s="20">
        <v>45350.949861111112</v>
      </c>
      <c r="B131" t="s">
        <v>200</v>
      </c>
      <c r="C131" t="s">
        <v>201</v>
      </c>
      <c r="D131" t="s">
        <v>118</v>
      </c>
      <c r="E131" t="s">
        <v>417</v>
      </c>
      <c r="F131" t="s">
        <v>421</v>
      </c>
      <c r="G131" t="s">
        <v>118</v>
      </c>
      <c r="H131" t="s">
        <v>203</v>
      </c>
    </row>
    <row r="132" spans="1:8" x14ac:dyDescent="0.2">
      <c r="A132" s="20">
        <v>45350.926423611112</v>
      </c>
      <c r="B132" t="s">
        <v>175</v>
      </c>
      <c r="C132" t="s">
        <v>23</v>
      </c>
      <c r="D132" t="s">
        <v>118</v>
      </c>
      <c r="E132" t="s">
        <v>417</v>
      </c>
      <c r="F132" t="s">
        <v>422</v>
      </c>
      <c r="G132" t="s">
        <v>423</v>
      </c>
      <c r="H132" t="s">
        <v>178</v>
      </c>
    </row>
    <row r="133" spans="1:8" x14ac:dyDescent="0.2">
      <c r="A133" s="20">
        <v>45350.895486111112</v>
      </c>
      <c r="B133" t="s">
        <v>424</v>
      </c>
      <c r="C133" t="s">
        <v>424</v>
      </c>
      <c r="D133" t="s">
        <v>118</v>
      </c>
      <c r="E133" t="s">
        <v>417</v>
      </c>
      <c r="F133" t="s">
        <v>425</v>
      </c>
      <c r="G133" t="s">
        <v>426</v>
      </c>
      <c r="H133" t="s">
        <v>424</v>
      </c>
    </row>
    <row r="134" spans="1:8" x14ac:dyDescent="0.2">
      <c r="A134" s="20">
        <v>45350.842199074075</v>
      </c>
      <c r="B134" t="s">
        <v>531</v>
      </c>
      <c r="C134" t="s">
        <v>293</v>
      </c>
      <c r="D134" t="s">
        <v>118</v>
      </c>
      <c r="E134" t="s">
        <v>417</v>
      </c>
      <c r="F134" t="s">
        <v>427</v>
      </c>
      <c r="G134" t="s">
        <v>118</v>
      </c>
      <c r="H134" t="s">
        <v>428</v>
      </c>
    </row>
    <row r="135" spans="1:8" x14ac:dyDescent="0.2">
      <c r="A135" s="20">
        <v>45350.741678240738</v>
      </c>
      <c r="B135" t="s">
        <v>76</v>
      </c>
      <c r="C135" t="s">
        <v>77</v>
      </c>
      <c r="D135" t="s">
        <v>118</v>
      </c>
      <c r="E135" t="s">
        <v>417</v>
      </c>
      <c r="F135" t="s">
        <v>429</v>
      </c>
      <c r="G135" t="s">
        <v>430</v>
      </c>
      <c r="H135" t="s">
        <v>76</v>
      </c>
    </row>
    <row r="136" spans="1:8" x14ac:dyDescent="0.2">
      <c r="A136" s="20">
        <v>45350.474490740744</v>
      </c>
      <c r="B136" t="s">
        <v>195</v>
      </c>
      <c r="C136" t="s">
        <v>196</v>
      </c>
      <c r="D136" t="s">
        <v>118</v>
      </c>
      <c r="E136" t="s">
        <v>417</v>
      </c>
      <c r="F136" t="s">
        <v>431</v>
      </c>
      <c r="G136" t="s">
        <v>432</v>
      </c>
      <c r="H136" t="s">
        <v>199</v>
      </c>
    </row>
    <row r="137" spans="1:8" x14ac:dyDescent="0.2">
      <c r="A137" s="20">
        <v>45350.451516203706</v>
      </c>
      <c r="B137" t="s">
        <v>124</v>
      </c>
      <c r="C137" t="s">
        <v>125</v>
      </c>
      <c r="D137" t="s">
        <v>118</v>
      </c>
      <c r="E137" t="s">
        <v>417</v>
      </c>
      <c r="F137" t="s">
        <v>433</v>
      </c>
      <c r="G137" t="s">
        <v>434</v>
      </c>
      <c r="H137" t="s">
        <v>124</v>
      </c>
    </row>
    <row r="138" spans="1:8" x14ac:dyDescent="0.2">
      <c r="A138" s="20">
        <v>45350.436064814814</v>
      </c>
      <c r="B138" t="s">
        <v>435</v>
      </c>
      <c r="C138" t="s">
        <v>436</v>
      </c>
      <c r="D138" t="s">
        <v>118</v>
      </c>
      <c r="E138" t="s">
        <v>417</v>
      </c>
      <c r="F138" t="s">
        <v>437</v>
      </c>
      <c r="G138" t="s">
        <v>438</v>
      </c>
      <c r="H138" t="s">
        <v>435</v>
      </c>
    </row>
    <row r="139" spans="1:8" x14ac:dyDescent="0.2">
      <c r="A139" s="20">
        <v>45350.062245370369</v>
      </c>
      <c r="B139" t="s">
        <v>28</v>
      </c>
      <c r="C139" t="s">
        <v>323</v>
      </c>
      <c r="D139" t="s">
        <v>118</v>
      </c>
      <c r="E139" t="s">
        <v>417</v>
      </c>
      <c r="F139" t="s">
        <v>439</v>
      </c>
      <c r="G139" t="s">
        <v>440</v>
      </c>
      <c r="H139" t="s">
        <v>2</v>
      </c>
    </row>
    <row r="140" spans="1:8" x14ac:dyDescent="0.2">
      <c r="A140" s="20">
        <v>45350.04478009259</v>
      </c>
      <c r="B140" t="s">
        <v>28</v>
      </c>
      <c r="C140" t="s">
        <v>441</v>
      </c>
      <c r="D140" t="s">
        <v>118</v>
      </c>
      <c r="E140" t="s">
        <v>417</v>
      </c>
      <c r="F140" t="s">
        <v>442</v>
      </c>
      <c r="G140" t="s">
        <v>443</v>
      </c>
      <c r="H140" t="s">
        <v>444</v>
      </c>
    </row>
    <row r="141" spans="1:8" x14ac:dyDescent="0.2">
      <c r="A141" s="20">
        <v>45349.576631944445</v>
      </c>
      <c r="B141" t="s">
        <v>382</v>
      </c>
      <c r="C141" t="s">
        <v>182</v>
      </c>
      <c r="D141" t="s">
        <v>118</v>
      </c>
      <c r="E141" t="s">
        <v>417</v>
      </c>
      <c r="F141" t="s">
        <v>445</v>
      </c>
      <c r="G141" t="s">
        <v>118</v>
      </c>
      <c r="H141" t="s">
        <v>331</v>
      </c>
    </row>
    <row r="142" spans="1:8" x14ac:dyDescent="0.2">
      <c r="A142" s="20">
        <v>45348.74318287037</v>
      </c>
      <c r="B142" t="s">
        <v>388</v>
      </c>
      <c r="C142" t="s">
        <v>148</v>
      </c>
      <c r="D142" t="s">
        <v>118</v>
      </c>
      <c r="E142" t="s">
        <v>417</v>
      </c>
      <c r="F142" t="s">
        <v>446</v>
      </c>
      <c r="G142" t="s">
        <v>118</v>
      </c>
      <c r="H142" t="s">
        <v>388</v>
      </c>
    </row>
    <row r="143" spans="1:8" x14ac:dyDescent="0.2">
      <c r="A143" s="20">
        <v>45348.647581018522</v>
      </c>
      <c r="B143" t="s">
        <v>160</v>
      </c>
      <c r="C143" t="s">
        <v>447</v>
      </c>
      <c r="D143" t="s">
        <v>118</v>
      </c>
      <c r="E143" t="s">
        <v>417</v>
      </c>
      <c r="F143" t="s">
        <v>448</v>
      </c>
      <c r="G143" t="s">
        <v>118</v>
      </c>
      <c r="H143" t="s">
        <v>449</v>
      </c>
    </row>
    <row r="144" spans="1:8" x14ac:dyDescent="0.2">
      <c r="A144" s="20">
        <v>45348.514166666668</v>
      </c>
      <c r="B144" t="s">
        <v>138</v>
      </c>
      <c r="C144" t="s">
        <v>139</v>
      </c>
      <c r="D144" t="s">
        <v>118</v>
      </c>
      <c r="E144" t="s">
        <v>417</v>
      </c>
      <c r="F144" t="s">
        <v>450</v>
      </c>
      <c r="G144" t="s">
        <v>118</v>
      </c>
      <c r="H144" t="s">
        <v>451</v>
      </c>
    </row>
    <row r="145" spans="1:8" x14ac:dyDescent="0.2">
      <c r="A145">
        <v>45347.630613425928</v>
      </c>
      <c r="B145" t="s">
        <v>357</v>
      </c>
      <c r="C145" t="s">
        <v>358</v>
      </c>
      <c r="D145" t="s">
        <v>118</v>
      </c>
      <c r="E145" t="s">
        <v>417</v>
      </c>
      <c r="F145" t="s">
        <v>452</v>
      </c>
      <c r="G145" t="s">
        <v>118</v>
      </c>
      <c r="H145" t="s">
        <v>453</v>
      </c>
    </row>
    <row r="146" spans="1:8" x14ac:dyDescent="0.2">
      <c r="A146">
        <v>45347.522094907406</v>
      </c>
      <c r="B146" t="s">
        <v>135</v>
      </c>
      <c r="C146" t="s">
        <v>389</v>
      </c>
      <c r="D146" t="s">
        <v>118</v>
      </c>
      <c r="E146" t="s">
        <v>417</v>
      </c>
      <c r="F146" t="s">
        <v>454</v>
      </c>
      <c r="G146" t="s">
        <v>455</v>
      </c>
      <c r="H146" t="s">
        <v>456</v>
      </c>
    </row>
    <row r="147" spans="1:8" x14ac:dyDescent="0.2">
      <c r="A147">
        <v>45347.082615740743</v>
      </c>
      <c r="B147" t="s">
        <v>120</v>
      </c>
      <c r="C147" t="s">
        <v>121</v>
      </c>
      <c r="D147" t="s">
        <v>118</v>
      </c>
      <c r="E147" t="s">
        <v>417</v>
      </c>
      <c r="F147" t="s">
        <v>457</v>
      </c>
      <c r="G147" t="s">
        <v>118</v>
      </c>
      <c r="H147" t="s">
        <v>458</v>
      </c>
    </row>
    <row r="148" spans="1:8" x14ac:dyDescent="0.2">
      <c r="A148">
        <v>45347.001666666663</v>
      </c>
      <c r="B148" t="s">
        <v>204</v>
      </c>
      <c r="C148" t="s">
        <v>515</v>
      </c>
      <c r="D148" t="s">
        <v>118</v>
      </c>
      <c r="E148" t="s">
        <v>417</v>
      </c>
      <c r="F148" t="s">
        <v>459</v>
      </c>
      <c r="G148" t="s">
        <v>460</v>
      </c>
      <c r="H148" t="s">
        <v>351</v>
      </c>
    </row>
    <row r="149" spans="1:8" x14ac:dyDescent="0.2">
      <c r="A149">
        <v>45346.929282407407</v>
      </c>
      <c r="B149" t="s">
        <v>130</v>
      </c>
      <c r="C149" t="s">
        <v>86</v>
      </c>
      <c r="D149" t="s">
        <v>118</v>
      </c>
      <c r="E149" t="s">
        <v>417</v>
      </c>
      <c r="F149" t="s">
        <v>477</v>
      </c>
      <c r="G149" t="s">
        <v>461</v>
      </c>
      <c r="H149" t="s">
        <v>462</v>
      </c>
    </row>
    <row r="150" spans="1:8" x14ac:dyDescent="0.2">
      <c r="A150">
        <v>45346.848576388889</v>
      </c>
      <c r="B150" t="s">
        <v>131</v>
      </c>
      <c r="C150" t="s">
        <v>132</v>
      </c>
      <c r="D150" t="s">
        <v>118</v>
      </c>
      <c r="E150" t="s">
        <v>417</v>
      </c>
      <c r="F150" t="s">
        <v>463</v>
      </c>
      <c r="G150" t="s">
        <v>118</v>
      </c>
      <c r="H150" t="s">
        <v>464</v>
      </c>
    </row>
    <row r="151" spans="1:8" x14ac:dyDescent="0.2">
      <c r="A151">
        <v>45346.843807870369</v>
      </c>
      <c r="B151" t="s">
        <v>298</v>
      </c>
      <c r="C151" t="s">
        <v>386</v>
      </c>
      <c r="D151" t="s">
        <v>118</v>
      </c>
      <c r="E151" t="s">
        <v>417</v>
      </c>
      <c r="F151" t="s">
        <v>465</v>
      </c>
      <c r="G151" t="s">
        <v>466</v>
      </c>
      <c r="H151" t="s">
        <v>467</v>
      </c>
    </row>
    <row r="152" spans="1:8" x14ac:dyDescent="0.2">
      <c r="A152">
        <v>45346.840046296296</v>
      </c>
      <c r="B152" t="s">
        <v>385</v>
      </c>
      <c r="C152" t="s">
        <v>379</v>
      </c>
      <c r="D152" t="s">
        <v>118</v>
      </c>
      <c r="E152" t="s">
        <v>417</v>
      </c>
      <c r="F152" t="s">
        <v>468</v>
      </c>
      <c r="G152" t="s">
        <v>469</v>
      </c>
      <c r="H152" t="s">
        <v>102</v>
      </c>
    </row>
    <row r="153" spans="1:8" x14ac:dyDescent="0.2">
      <c r="A153">
        <v>45346.8200462963</v>
      </c>
      <c r="B153" t="s">
        <v>28</v>
      </c>
      <c r="C153" t="s">
        <v>29</v>
      </c>
      <c r="D153" t="s">
        <v>118</v>
      </c>
      <c r="E153" t="s">
        <v>417</v>
      </c>
      <c r="F153" t="s">
        <v>470</v>
      </c>
      <c r="G153" t="s">
        <v>118</v>
      </c>
      <c r="H153" t="s">
        <v>471</v>
      </c>
    </row>
    <row r="154" spans="1:8" x14ac:dyDescent="0.2">
      <c r="A154">
        <v>45323.772314814814</v>
      </c>
      <c r="B154" t="s">
        <v>204</v>
      </c>
      <c r="C154" t="s">
        <v>378</v>
      </c>
      <c r="D154" t="s">
        <v>118</v>
      </c>
      <c r="E154" t="s">
        <v>266</v>
      </c>
      <c r="F154" t="s">
        <v>366</v>
      </c>
      <c r="G154" t="s">
        <v>367</v>
      </c>
      <c r="H154" t="s">
        <v>37</v>
      </c>
    </row>
    <row r="155" spans="1:8" x14ac:dyDescent="0.2">
      <c r="A155">
        <v>45321.981203703705</v>
      </c>
      <c r="B155" t="s">
        <v>342</v>
      </c>
      <c r="C155" t="s">
        <v>211</v>
      </c>
      <c r="D155" t="s">
        <v>118</v>
      </c>
      <c r="E155" t="s">
        <v>266</v>
      </c>
      <c r="F155" t="s">
        <v>343</v>
      </c>
      <c r="G155" t="s">
        <v>118</v>
      </c>
      <c r="H155" t="s">
        <v>344</v>
      </c>
    </row>
    <row r="156" spans="1:8" x14ac:dyDescent="0.2">
      <c r="A156">
        <v>45321.837905092594</v>
      </c>
      <c r="B156" t="s">
        <v>188</v>
      </c>
      <c r="C156" t="s">
        <v>189</v>
      </c>
      <c r="D156" t="s">
        <v>118</v>
      </c>
      <c r="E156" t="s">
        <v>266</v>
      </c>
      <c r="F156" t="s">
        <v>345</v>
      </c>
      <c r="G156" t="s">
        <v>346</v>
      </c>
      <c r="H156" t="s">
        <v>188</v>
      </c>
    </row>
    <row r="157" spans="1:8" x14ac:dyDescent="0.2">
      <c r="A157">
        <v>45321.810567129629</v>
      </c>
      <c r="B157" t="s">
        <v>200</v>
      </c>
      <c r="C157" t="s">
        <v>201</v>
      </c>
      <c r="D157" t="s">
        <v>118</v>
      </c>
      <c r="E157" t="s">
        <v>266</v>
      </c>
      <c r="F157" t="s">
        <v>347</v>
      </c>
      <c r="G157" t="s">
        <v>348</v>
      </c>
      <c r="H157" t="s">
        <v>203</v>
      </c>
    </row>
    <row r="158" spans="1:8" x14ac:dyDescent="0.2">
      <c r="A158">
        <v>45321.803402777776</v>
      </c>
      <c r="B158" t="s">
        <v>204</v>
      </c>
      <c r="C158" t="s">
        <v>515</v>
      </c>
      <c r="D158" t="s">
        <v>118</v>
      </c>
      <c r="E158" t="s">
        <v>266</v>
      </c>
      <c r="F158" t="s">
        <v>349</v>
      </c>
      <c r="G158" t="s">
        <v>350</v>
      </c>
      <c r="H158" t="s">
        <v>351</v>
      </c>
    </row>
    <row r="159" spans="1:8" x14ac:dyDescent="0.2">
      <c r="A159">
        <v>45321.800138888888</v>
      </c>
      <c r="B159" t="s">
        <v>124</v>
      </c>
      <c r="C159" t="s">
        <v>166</v>
      </c>
      <c r="D159" t="s">
        <v>118</v>
      </c>
      <c r="E159" t="s">
        <v>266</v>
      </c>
      <c r="F159" t="s">
        <v>352</v>
      </c>
      <c r="G159" t="s">
        <v>118</v>
      </c>
      <c r="H159" t="s">
        <v>124</v>
      </c>
    </row>
    <row r="160" spans="1:8" x14ac:dyDescent="0.2">
      <c r="A160">
        <v>45321.741238425922</v>
      </c>
      <c r="B160" t="s">
        <v>72</v>
      </c>
      <c r="C160" t="s">
        <v>552</v>
      </c>
      <c r="D160" t="s">
        <v>118</v>
      </c>
      <c r="E160" t="s">
        <v>266</v>
      </c>
      <c r="F160" t="s">
        <v>354</v>
      </c>
      <c r="G160" t="s">
        <v>118</v>
      </c>
      <c r="H160" t="s">
        <v>353</v>
      </c>
    </row>
    <row r="161" spans="1:8" x14ac:dyDescent="0.2">
      <c r="A161">
        <v>45321.740046296298</v>
      </c>
      <c r="B161" t="s">
        <v>76</v>
      </c>
      <c r="C161" t="s">
        <v>77</v>
      </c>
      <c r="D161" t="s">
        <v>118</v>
      </c>
      <c r="E161" t="s">
        <v>266</v>
      </c>
      <c r="F161" t="s">
        <v>355</v>
      </c>
      <c r="G161" t="s">
        <v>356</v>
      </c>
      <c r="H161" t="s">
        <v>76</v>
      </c>
    </row>
    <row r="162" spans="1:8" x14ac:dyDescent="0.2">
      <c r="A162">
        <v>45321.702766203707</v>
      </c>
      <c r="B162" t="s">
        <v>357</v>
      </c>
      <c r="C162" t="s">
        <v>358</v>
      </c>
      <c r="D162" t="s">
        <v>118</v>
      </c>
      <c r="E162" t="s">
        <v>266</v>
      </c>
      <c r="F162" t="s">
        <v>359</v>
      </c>
      <c r="G162" t="s">
        <v>360</v>
      </c>
      <c r="H162" t="s">
        <v>361</v>
      </c>
    </row>
    <row r="163" spans="1:8" x14ac:dyDescent="0.2">
      <c r="A163">
        <v>45321.521817129629</v>
      </c>
      <c r="B163" t="s">
        <v>160</v>
      </c>
      <c r="C163" t="s">
        <v>332</v>
      </c>
      <c r="D163" t="s">
        <v>118</v>
      </c>
      <c r="E163" t="s">
        <v>266</v>
      </c>
      <c r="F163" t="s">
        <v>333</v>
      </c>
      <c r="G163" t="s">
        <v>334</v>
      </c>
      <c r="H163" t="s">
        <v>335</v>
      </c>
    </row>
    <row r="164" spans="1:8" x14ac:dyDescent="0.2">
      <c r="A164">
        <v>45320.830590277779</v>
      </c>
      <c r="B164" t="s">
        <v>382</v>
      </c>
      <c r="C164" t="s">
        <v>182</v>
      </c>
      <c r="D164" t="s">
        <v>118</v>
      </c>
      <c r="E164" t="s">
        <v>266</v>
      </c>
      <c r="F164" t="s">
        <v>154</v>
      </c>
      <c r="G164" t="s">
        <v>118</v>
      </c>
      <c r="H164" t="s">
        <v>331</v>
      </c>
    </row>
    <row r="165" spans="1:8" x14ac:dyDescent="0.2">
      <c r="A165">
        <v>45320.815127314818</v>
      </c>
      <c r="B165" t="s">
        <v>175</v>
      </c>
      <c r="C165" t="s">
        <v>23</v>
      </c>
      <c r="D165" t="s">
        <v>118</v>
      </c>
      <c r="E165" t="s">
        <v>266</v>
      </c>
      <c r="F165" t="s">
        <v>329</v>
      </c>
      <c r="G165" t="s">
        <v>330</v>
      </c>
      <c r="H165" t="s">
        <v>178</v>
      </c>
    </row>
    <row r="166" spans="1:8" x14ac:dyDescent="0.2">
      <c r="A166">
        <v>45320.243738425925</v>
      </c>
      <c r="B166" t="s">
        <v>383</v>
      </c>
      <c r="C166" t="s">
        <v>326</v>
      </c>
      <c r="D166" t="s">
        <v>118</v>
      </c>
      <c r="E166" t="s">
        <v>266</v>
      </c>
      <c r="F166" t="s">
        <v>327</v>
      </c>
      <c r="G166" t="s">
        <v>118</v>
      </c>
      <c r="H166" t="s">
        <v>328</v>
      </c>
    </row>
    <row r="167" spans="1:8" x14ac:dyDescent="0.2">
      <c r="A167">
        <v>45320.076574074075</v>
      </c>
      <c r="B167" t="s">
        <v>28</v>
      </c>
      <c r="C167" t="s">
        <v>323</v>
      </c>
      <c r="D167" t="s">
        <v>118</v>
      </c>
      <c r="E167" t="s">
        <v>266</v>
      </c>
      <c r="F167" t="s">
        <v>324</v>
      </c>
      <c r="G167" t="s">
        <v>325</v>
      </c>
      <c r="H167" t="s">
        <v>2</v>
      </c>
    </row>
    <row r="168" spans="1:8" x14ac:dyDescent="0.2">
      <c r="A168">
        <v>45319.976145833331</v>
      </c>
      <c r="B168" t="s">
        <v>195</v>
      </c>
      <c r="C168" t="s">
        <v>196</v>
      </c>
      <c r="D168" t="s">
        <v>118</v>
      </c>
      <c r="E168" t="s">
        <v>266</v>
      </c>
      <c r="F168" t="s">
        <v>321</v>
      </c>
      <c r="G168" t="s">
        <v>322</v>
      </c>
      <c r="H168" t="s">
        <v>199</v>
      </c>
    </row>
    <row r="169" spans="1:8" x14ac:dyDescent="0.2">
      <c r="A169">
        <v>45319.806828703702</v>
      </c>
      <c r="B169" t="s">
        <v>145</v>
      </c>
      <c r="C169" t="s">
        <v>380</v>
      </c>
      <c r="D169" t="s">
        <v>118</v>
      </c>
      <c r="E169" t="s">
        <v>266</v>
      </c>
      <c r="F169" t="s">
        <v>318</v>
      </c>
      <c r="G169" t="s">
        <v>319</v>
      </c>
      <c r="H169" t="s">
        <v>320</v>
      </c>
    </row>
    <row r="170" spans="1:8" x14ac:dyDescent="0.2">
      <c r="A170">
        <v>45319.366562499999</v>
      </c>
      <c r="B170" t="s">
        <v>384</v>
      </c>
      <c r="C170" t="s">
        <v>315</v>
      </c>
      <c r="D170" t="s">
        <v>118</v>
      </c>
      <c r="E170" t="s">
        <v>266</v>
      </c>
      <c r="F170" t="s">
        <v>316</v>
      </c>
      <c r="G170" t="s">
        <v>118</v>
      </c>
      <c r="H170" t="s">
        <v>317</v>
      </c>
    </row>
    <row r="171" spans="1:8" x14ac:dyDescent="0.2">
      <c r="A171">
        <v>45319.066504629627</v>
      </c>
      <c r="B171" t="s">
        <v>385</v>
      </c>
      <c r="C171" t="s">
        <v>379</v>
      </c>
      <c r="D171" t="s">
        <v>118</v>
      </c>
      <c r="E171" t="s">
        <v>266</v>
      </c>
      <c r="F171" t="s">
        <v>313</v>
      </c>
      <c r="G171" t="s">
        <v>314</v>
      </c>
      <c r="H171" t="s">
        <v>90</v>
      </c>
    </row>
    <row r="172" spans="1:8" x14ac:dyDescent="0.2">
      <c r="A172">
        <v>45318.504988425928</v>
      </c>
      <c r="B172" t="s">
        <v>305</v>
      </c>
      <c r="C172" t="s">
        <v>306</v>
      </c>
      <c r="D172" t="s">
        <v>118</v>
      </c>
      <c r="E172" t="s">
        <v>266</v>
      </c>
      <c r="F172" t="s">
        <v>307</v>
      </c>
      <c r="G172" t="s">
        <v>308</v>
      </c>
      <c r="H172" t="s">
        <v>309</v>
      </c>
    </row>
    <row r="173" spans="1:8" x14ac:dyDescent="0.2">
      <c r="A173">
        <v>45318.457280092596</v>
      </c>
      <c r="B173" t="s">
        <v>301</v>
      </c>
      <c r="C173" t="s">
        <v>302</v>
      </c>
      <c r="D173" t="s">
        <v>118</v>
      </c>
      <c r="E173" t="s">
        <v>266</v>
      </c>
      <c r="F173" t="s">
        <v>303</v>
      </c>
      <c r="G173" t="s">
        <v>304</v>
      </c>
      <c r="H173" t="s">
        <v>301</v>
      </c>
    </row>
    <row r="174" spans="1:8" x14ac:dyDescent="0.2">
      <c r="A174">
        <v>45318.359120370369</v>
      </c>
      <c r="B174" t="s">
        <v>298</v>
      </c>
      <c r="C174" t="s">
        <v>386</v>
      </c>
      <c r="D174" t="s">
        <v>118</v>
      </c>
      <c r="E174" t="s">
        <v>266</v>
      </c>
      <c r="F174" t="s">
        <v>299</v>
      </c>
      <c r="G174" t="s">
        <v>118</v>
      </c>
      <c r="H174" t="s">
        <v>300</v>
      </c>
    </row>
    <row r="175" spans="1:8" x14ac:dyDescent="0.2">
      <c r="A175">
        <v>45317.949618055558</v>
      </c>
      <c r="B175" t="s">
        <v>130</v>
      </c>
      <c r="C175" t="s">
        <v>86</v>
      </c>
      <c r="D175" t="s">
        <v>118</v>
      </c>
      <c r="E175" t="s">
        <v>266</v>
      </c>
      <c r="F175" t="s">
        <v>297</v>
      </c>
      <c r="G175" t="s">
        <v>118</v>
      </c>
      <c r="H175" t="s">
        <v>130</v>
      </c>
    </row>
    <row r="176" spans="1:8" x14ac:dyDescent="0.2">
      <c r="A176">
        <v>45317.738321759258</v>
      </c>
      <c r="B176" t="s">
        <v>120</v>
      </c>
      <c r="C176" t="s">
        <v>121</v>
      </c>
      <c r="D176" t="s">
        <v>118</v>
      </c>
      <c r="E176" t="s">
        <v>266</v>
      </c>
      <c r="F176" t="s">
        <v>296</v>
      </c>
      <c r="G176" t="s">
        <v>118</v>
      </c>
      <c r="H176" t="s">
        <v>123</v>
      </c>
    </row>
    <row r="177" spans="1:8" x14ac:dyDescent="0.2">
      <c r="A177">
        <v>45317.382870370369</v>
      </c>
      <c r="B177" t="s">
        <v>531</v>
      </c>
      <c r="C177" t="s">
        <v>293</v>
      </c>
      <c r="D177" t="s">
        <v>118</v>
      </c>
      <c r="E177" t="s">
        <v>266</v>
      </c>
      <c r="F177" t="s">
        <v>294</v>
      </c>
      <c r="G177" t="s">
        <v>118</v>
      </c>
      <c r="H177" t="s">
        <v>295</v>
      </c>
    </row>
    <row r="178" spans="1:8" x14ac:dyDescent="0.2">
      <c r="A178">
        <v>45317.004953703705</v>
      </c>
      <c r="B178" t="s">
        <v>290</v>
      </c>
      <c r="C178" t="s">
        <v>387</v>
      </c>
      <c r="D178" t="s">
        <v>118</v>
      </c>
      <c r="E178" t="s">
        <v>266</v>
      </c>
      <c r="F178" t="s">
        <v>291</v>
      </c>
      <c r="G178" t="s">
        <v>118</v>
      </c>
      <c r="H178" t="s">
        <v>290</v>
      </c>
    </row>
    <row r="179" spans="1:8" x14ac:dyDescent="0.2">
      <c r="A179">
        <v>45317.002812500003</v>
      </c>
      <c r="B179" t="s">
        <v>204</v>
      </c>
      <c r="C179" t="s">
        <v>286</v>
      </c>
      <c r="D179" t="s">
        <v>118</v>
      </c>
      <c r="E179" t="s">
        <v>266</v>
      </c>
      <c r="F179" t="s">
        <v>287</v>
      </c>
      <c r="G179" t="s">
        <v>288</v>
      </c>
      <c r="H179" t="s">
        <v>289</v>
      </c>
    </row>
    <row r="180" spans="1:8" x14ac:dyDescent="0.2">
      <c r="A180">
        <v>45316.993101851855</v>
      </c>
      <c r="B180" t="s">
        <v>124</v>
      </c>
      <c r="C180" t="s">
        <v>125</v>
      </c>
      <c r="D180" t="s">
        <v>118</v>
      </c>
      <c r="E180" t="s">
        <v>266</v>
      </c>
      <c r="F180" t="s">
        <v>284</v>
      </c>
      <c r="G180" t="s">
        <v>285</v>
      </c>
      <c r="H180" t="s">
        <v>128</v>
      </c>
    </row>
    <row r="181" spans="1:8" x14ac:dyDescent="0.2">
      <c r="A181">
        <v>45316.916180555556</v>
      </c>
      <c r="B181" t="s">
        <v>103</v>
      </c>
      <c r="C181" t="s">
        <v>104</v>
      </c>
      <c r="D181" t="s">
        <v>118</v>
      </c>
      <c r="E181" t="s">
        <v>266</v>
      </c>
      <c r="F181" t="s">
        <v>283</v>
      </c>
      <c r="G181" t="s">
        <v>118</v>
      </c>
      <c r="H181" t="s">
        <v>103</v>
      </c>
    </row>
    <row r="182" spans="1:8" x14ac:dyDescent="0.2">
      <c r="A182">
        <v>45316.907199074078</v>
      </c>
      <c r="B182" t="s">
        <v>131</v>
      </c>
      <c r="C182" t="s">
        <v>132</v>
      </c>
      <c r="D182" t="s">
        <v>118</v>
      </c>
      <c r="E182" t="s">
        <v>266</v>
      </c>
      <c r="F182" t="s">
        <v>281</v>
      </c>
      <c r="G182" t="s">
        <v>118</v>
      </c>
      <c r="H182" t="s">
        <v>282</v>
      </c>
    </row>
    <row r="183" spans="1:8" x14ac:dyDescent="0.2">
      <c r="A183">
        <v>45316.556284722225</v>
      </c>
      <c r="B183" t="s">
        <v>388</v>
      </c>
      <c r="C183" t="s">
        <v>148</v>
      </c>
      <c r="D183" t="s">
        <v>118</v>
      </c>
      <c r="E183" t="s">
        <v>266</v>
      </c>
      <c r="F183" t="s">
        <v>279</v>
      </c>
      <c r="G183" t="s">
        <v>118</v>
      </c>
      <c r="H183" t="s">
        <v>280</v>
      </c>
    </row>
    <row r="184" spans="1:8" x14ac:dyDescent="0.2">
      <c r="A184">
        <v>45316.547268518516</v>
      </c>
      <c r="B184" t="s">
        <v>72</v>
      </c>
      <c r="C184" t="s">
        <v>73</v>
      </c>
      <c r="D184" t="s">
        <v>118</v>
      </c>
      <c r="E184" t="s">
        <v>266</v>
      </c>
      <c r="F184" t="s">
        <v>276</v>
      </c>
      <c r="G184" t="s">
        <v>277</v>
      </c>
      <c r="H184" t="s">
        <v>278</v>
      </c>
    </row>
    <row r="185" spans="1:8" x14ac:dyDescent="0.2">
      <c r="A185">
        <v>45316.542824074073</v>
      </c>
      <c r="B185" t="s">
        <v>138</v>
      </c>
      <c r="C185" t="s">
        <v>139</v>
      </c>
      <c r="D185" t="s">
        <v>118</v>
      </c>
      <c r="E185" t="s">
        <v>266</v>
      </c>
      <c r="F185" t="s">
        <v>274</v>
      </c>
      <c r="G185" t="s">
        <v>118</v>
      </c>
      <c r="H185" t="s">
        <v>275</v>
      </c>
    </row>
    <row r="186" spans="1:8" x14ac:dyDescent="0.2">
      <c r="A186">
        <v>45316.463750000003</v>
      </c>
      <c r="B186" t="s">
        <v>135</v>
      </c>
      <c r="C186" t="s">
        <v>389</v>
      </c>
      <c r="D186" t="s">
        <v>118</v>
      </c>
      <c r="E186" t="s">
        <v>266</v>
      </c>
      <c r="F186" t="s">
        <v>272</v>
      </c>
      <c r="G186" t="s">
        <v>273</v>
      </c>
      <c r="H186" t="s">
        <v>42</v>
      </c>
    </row>
    <row r="187" spans="1:8" x14ac:dyDescent="0.2">
      <c r="A187">
        <v>45316.33934027778</v>
      </c>
      <c r="B187" t="s">
        <v>28</v>
      </c>
      <c r="C187" t="s">
        <v>29</v>
      </c>
      <c r="D187" t="s">
        <v>118</v>
      </c>
      <c r="E187" t="s">
        <v>266</v>
      </c>
      <c r="F187" t="s">
        <v>269</v>
      </c>
      <c r="G187" t="s">
        <v>270</v>
      </c>
      <c r="H187" t="s">
        <v>271</v>
      </c>
    </row>
    <row r="188" spans="1:8" x14ac:dyDescent="0.2">
      <c r="A188">
        <v>45315.717592592591</v>
      </c>
      <c r="B188" t="s">
        <v>264</v>
      </c>
      <c r="C188" t="s">
        <v>265</v>
      </c>
      <c r="D188" t="s">
        <v>118</v>
      </c>
      <c r="E188" t="s">
        <v>266</v>
      </c>
      <c r="F188" t="s">
        <v>267</v>
      </c>
      <c r="G188" t="s">
        <v>118</v>
      </c>
      <c r="H188" t="s">
        <v>264</v>
      </c>
    </row>
    <row r="189" spans="1:8" x14ac:dyDescent="0.2">
      <c r="A189">
        <v>45308.841666666667</v>
      </c>
      <c r="B189" t="s">
        <v>160</v>
      </c>
      <c r="C189" t="s">
        <v>260</v>
      </c>
      <c r="D189" t="s">
        <v>118</v>
      </c>
      <c r="E189" t="s">
        <v>99</v>
      </c>
      <c r="F189" t="s">
        <v>261</v>
      </c>
      <c r="G189" t="s">
        <v>262</v>
      </c>
      <c r="H189" t="s">
        <v>263</v>
      </c>
    </row>
    <row r="190" spans="1:8" x14ac:dyDescent="0.2">
      <c r="A190">
        <v>45292.95820601852</v>
      </c>
      <c r="B190" t="s">
        <v>28</v>
      </c>
      <c r="C190" t="s">
        <v>390</v>
      </c>
      <c r="D190" t="s">
        <v>118</v>
      </c>
      <c r="E190" t="s">
        <v>99</v>
      </c>
      <c r="F190" t="s">
        <v>259</v>
      </c>
      <c r="G190" t="s">
        <v>241</v>
      </c>
      <c r="H190" t="s">
        <v>242</v>
      </c>
    </row>
    <row r="191" spans="1:8" x14ac:dyDescent="0.2">
      <c r="A191">
        <v>45292.790462962963</v>
      </c>
      <c r="B191" t="s">
        <v>256</v>
      </c>
      <c r="C191" t="s">
        <v>257</v>
      </c>
      <c r="D191" t="s">
        <v>118</v>
      </c>
      <c r="E191" t="s">
        <v>99</v>
      </c>
      <c r="F191" t="s">
        <v>258</v>
      </c>
      <c r="G191" t="s">
        <v>118</v>
      </c>
      <c r="H191" t="s">
        <v>240</v>
      </c>
    </row>
    <row r="192" spans="1:8" x14ac:dyDescent="0.2">
      <c r="A192">
        <v>45292.578611111108</v>
      </c>
      <c r="B192" t="s">
        <v>72</v>
      </c>
      <c r="C192" t="s">
        <v>552</v>
      </c>
      <c r="D192" t="s">
        <v>118</v>
      </c>
      <c r="E192" t="s">
        <v>99</v>
      </c>
      <c r="F192" t="s">
        <v>255</v>
      </c>
      <c r="G192" t="s">
        <v>118</v>
      </c>
      <c r="H192" t="s">
        <v>238</v>
      </c>
    </row>
    <row r="193" spans="1:8" x14ac:dyDescent="0.2">
      <c r="A193">
        <v>45290.998888888891</v>
      </c>
      <c r="B193" t="s">
        <v>342</v>
      </c>
      <c r="C193" t="s">
        <v>211</v>
      </c>
      <c r="D193" t="s">
        <v>118</v>
      </c>
      <c r="E193" t="s">
        <v>99</v>
      </c>
      <c r="F193" t="s">
        <v>212</v>
      </c>
      <c r="G193" t="s">
        <v>118</v>
      </c>
      <c r="H193" t="s">
        <v>213</v>
      </c>
    </row>
    <row r="194" spans="1:8" x14ac:dyDescent="0.2">
      <c r="A194">
        <v>45290.920243055552</v>
      </c>
      <c r="B194" t="s">
        <v>207</v>
      </c>
      <c r="C194" t="s">
        <v>208</v>
      </c>
      <c r="D194" t="s">
        <v>118</v>
      </c>
      <c r="E194" t="s">
        <v>99</v>
      </c>
      <c r="F194" t="s">
        <v>209</v>
      </c>
      <c r="G194" t="s">
        <v>210</v>
      </c>
      <c r="H194" t="s">
        <v>207</v>
      </c>
    </row>
    <row r="195" spans="1:8" x14ac:dyDescent="0.2">
      <c r="A195">
        <v>45290.901643518519</v>
      </c>
      <c r="B195" t="s">
        <v>204</v>
      </c>
      <c r="C195" t="s">
        <v>378</v>
      </c>
      <c r="D195" t="s">
        <v>118</v>
      </c>
      <c r="E195" t="s">
        <v>99</v>
      </c>
      <c r="F195" t="s">
        <v>205</v>
      </c>
      <c r="G195" t="s">
        <v>206</v>
      </c>
      <c r="H195" t="s">
        <v>37</v>
      </c>
    </row>
    <row r="196" spans="1:8" x14ac:dyDescent="0.2">
      <c r="A196">
        <v>45290.842523148145</v>
      </c>
      <c r="B196" t="s">
        <v>200</v>
      </c>
      <c r="C196" t="s">
        <v>201</v>
      </c>
      <c r="D196" t="s">
        <v>118</v>
      </c>
      <c r="E196" t="s">
        <v>99</v>
      </c>
      <c r="F196" t="s">
        <v>202</v>
      </c>
      <c r="G196" t="s">
        <v>118</v>
      </c>
      <c r="H196" t="s">
        <v>203</v>
      </c>
    </row>
    <row r="197" spans="1:8" x14ac:dyDescent="0.2">
      <c r="A197">
        <v>45290.582708333335</v>
      </c>
      <c r="B197" t="s">
        <v>195</v>
      </c>
      <c r="C197" t="s">
        <v>196</v>
      </c>
      <c r="D197" t="s">
        <v>118</v>
      </c>
      <c r="E197" t="s">
        <v>99</v>
      </c>
      <c r="F197" t="s">
        <v>197</v>
      </c>
      <c r="G197" t="s">
        <v>198</v>
      </c>
      <c r="H197" t="s">
        <v>199</v>
      </c>
    </row>
    <row r="198" spans="1:8" x14ac:dyDescent="0.2">
      <c r="A198">
        <v>45290.557592592595</v>
      </c>
      <c r="B198" t="s">
        <v>115</v>
      </c>
      <c r="C198" t="s">
        <v>391</v>
      </c>
      <c r="D198" t="s">
        <v>118</v>
      </c>
      <c r="E198" t="s">
        <v>99</v>
      </c>
      <c r="F198" t="s">
        <v>192</v>
      </c>
      <c r="G198" t="s">
        <v>193</v>
      </c>
      <c r="H198" t="s">
        <v>194</v>
      </c>
    </row>
    <row r="199" spans="1:8" x14ac:dyDescent="0.2">
      <c r="A199">
        <v>45290.553182870368</v>
      </c>
      <c r="B199" t="s">
        <v>188</v>
      </c>
      <c r="C199" t="s">
        <v>189</v>
      </c>
      <c r="D199" t="s">
        <v>118</v>
      </c>
      <c r="E199" t="s">
        <v>99</v>
      </c>
      <c r="F199" t="s">
        <v>190</v>
      </c>
      <c r="G199" t="s">
        <v>118</v>
      </c>
      <c r="H199" t="s">
        <v>191</v>
      </c>
    </row>
    <row r="200" spans="1:8" x14ac:dyDescent="0.2">
      <c r="A200">
        <v>45290.494930555556</v>
      </c>
      <c r="B200" t="s">
        <v>28</v>
      </c>
      <c r="C200" t="s">
        <v>185</v>
      </c>
      <c r="D200" t="s">
        <v>118</v>
      </c>
      <c r="E200" t="s">
        <v>99</v>
      </c>
      <c r="F200" t="s">
        <v>186</v>
      </c>
      <c r="G200" t="s">
        <v>118</v>
      </c>
      <c r="H200" t="s">
        <v>187</v>
      </c>
    </row>
    <row r="201" spans="1:8" x14ac:dyDescent="0.2">
      <c r="A201">
        <v>45290.419479166667</v>
      </c>
      <c r="B201" t="s">
        <v>382</v>
      </c>
      <c r="C201" t="s">
        <v>182</v>
      </c>
      <c r="D201" t="s">
        <v>118</v>
      </c>
      <c r="E201" t="s">
        <v>99</v>
      </c>
      <c r="F201" t="s">
        <v>183</v>
      </c>
      <c r="G201" t="s">
        <v>118</v>
      </c>
      <c r="H201" t="s">
        <v>184</v>
      </c>
    </row>
    <row r="202" spans="1:8" x14ac:dyDescent="0.2">
      <c r="A202">
        <v>45289.776620370372</v>
      </c>
      <c r="B202" t="s">
        <v>392</v>
      </c>
      <c r="C202" t="s">
        <v>393</v>
      </c>
      <c r="D202" t="s">
        <v>118</v>
      </c>
      <c r="E202" t="s">
        <v>99</v>
      </c>
      <c r="F202" t="s">
        <v>179</v>
      </c>
      <c r="G202" t="s">
        <v>180</v>
      </c>
      <c r="H202" t="s">
        <v>181</v>
      </c>
    </row>
    <row r="203" spans="1:8" x14ac:dyDescent="0.2">
      <c r="A203">
        <v>45289.317233796297</v>
      </c>
      <c r="B203" t="s">
        <v>175</v>
      </c>
      <c r="C203" t="s">
        <v>23</v>
      </c>
      <c r="D203" t="s">
        <v>118</v>
      </c>
      <c r="E203" t="s">
        <v>99</v>
      </c>
      <c r="F203" t="s">
        <v>176</v>
      </c>
      <c r="G203" t="s">
        <v>177</v>
      </c>
      <c r="H203" t="s">
        <v>178</v>
      </c>
    </row>
    <row r="204" spans="1:8" x14ac:dyDescent="0.2">
      <c r="A204">
        <v>45289.047546296293</v>
      </c>
      <c r="B204" t="s">
        <v>28</v>
      </c>
      <c r="C204" t="s">
        <v>323</v>
      </c>
      <c r="D204" t="s">
        <v>118</v>
      </c>
      <c r="E204" t="s">
        <v>99</v>
      </c>
      <c r="F204" t="s">
        <v>173</v>
      </c>
      <c r="G204" t="s">
        <v>174</v>
      </c>
      <c r="H204" t="s">
        <v>2</v>
      </c>
    </row>
    <row r="205" spans="1:8" x14ac:dyDescent="0.2">
      <c r="A205">
        <v>45288.396469907406</v>
      </c>
      <c r="B205" t="s">
        <v>67</v>
      </c>
      <c r="C205" t="s">
        <v>68</v>
      </c>
      <c r="D205" t="s">
        <v>118</v>
      </c>
      <c r="E205" t="s">
        <v>99</v>
      </c>
      <c r="F205" t="s">
        <v>169</v>
      </c>
      <c r="G205" t="s">
        <v>170</v>
      </c>
      <c r="H205" t="s">
        <v>171</v>
      </c>
    </row>
    <row r="206" spans="1:8" x14ac:dyDescent="0.2">
      <c r="A206">
        <v>45288.008425925924</v>
      </c>
      <c r="B206" t="s">
        <v>124</v>
      </c>
      <c r="C206" t="s">
        <v>166</v>
      </c>
      <c r="D206" t="s">
        <v>118</v>
      </c>
      <c r="E206" t="s">
        <v>99</v>
      </c>
      <c r="F206" t="s">
        <v>167</v>
      </c>
      <c r="G206" t="s">
        <v>118</v>
      </c>
      <c r="H206" t="s">
        <v>168</v>
      </c>
    </row>
    <row r="207" spans="1:8" x14ac:dyDescent="0.2">
      <c r="A207">
        <v>45287.630069444444</v>
      </c>
      <c r="B207" t="s">
        <v>145</v>
      </c>
      <c r="C207" t="s">
        <v>380</v>
      </c>
      <c r="D207" t="s">
        <v>118</v>
      </c>
      <c r="E207" t="s">
        <v>99</v>
      </c>
      <c r="F207" t="s">
        <v>164</v>
      </c>
      <c r="G207" t="s">
        <v>165</v>
      </c>
      <c r="H207" t="s">
        <v>147</v>
      </c>
    </row>
    <row r="208" spans="1:8" x14ac:dyDescent="0.2">
      <c r="A208">
        <v>45287.622916666667</v>
      </c>
      <c r="B208" t="s">
        <v>160</v>
      </c>
      <c r="C208" t="s">
        <v>332</v>
      </c>
      <c r="D208" t="s">
        <v>118</v>
      </c>
      <c r="E208" t="s">
        <v>99</v>
      </c>
      <c r="F208" t="s">
        <v>161</v>
      </c>
      <c r="G208" t="s">
        <v>162</v>
      </c>
      <c r="H208" t="s">
        <v>163</v>
      </c>
    </row>
    <row r="209" spans="1:8" x14ac:dyDescent="0.2">
      <c r="A209">
        <v>45287.567766203705</v>
      </c>
      <c r="B209" t="s">
        <v>46</v>
      </c>
      <c r="C209" t="s">
        <v>47</v>
      </c>
      <c r="D209" t="s">
        <v>118</v>
      </c>
      <c r="E209" t="s">
        <v>99</v>
      </c>
      <c r="F209" t="s">
        <v>157</v>
      </c>
      <c r="G209" t="s">
        <v>158</v>
      </c>
      <c r="H209" t="s">
        <v>159</v>
      </c>
    </row>
    <row r="210" spans="1:8" x14ac:dyDescent="0.2">
      <c r="A210">
        <v>45287.557025462964</v>
      </c>
      <c r="B210" t="s">
        <v>28</v>
      </c>
      <c r="C210" t="s">
        <v>29</v>
      </c>
      <c r="D210" t="s">
        <v>118</v>
      </c>
      <c r="E210" t="s">
        <v>99</v>
      </c>
      <c r="F210" t="s">
        <v>154</v>
      </c>
      <c r="G210" t="s">
        <v>155</v>
      </c>
      <c r="H210" t="s">
        <v>156</v>
      </c>
    </row>
    <row r="211" spans="1:8" x14ac:dyDescent="0.2">
      <c r="A211">
        <v>45287.555706018517</v>
      </c>
      <c r="B211" t="s">
        <v>8</v>
      </c>
      <c r="C211" t="s">
        <v>152</v>
      </c>
      <c r="D211" t="s">
        <v>118</v>
      </c>
      <c r="E211" t="s">
        <v>99</v>
      </c>
      <c r="F211" t="s">
        <v>153</v>
      </c>
      <c r="G211" t="s">
        <v>118</v>
      </c>
      <c r="H211" t="s">
        <v>8</v>
      </c>
    </row>
    <row r="212" spans="1:8" x14ac:dyDescent="0.2">
      <c r="A212">
        <v>45287.524317129632</v>
      </c>
      <c r="B212" t="s">
        <v>388</v>
      </c>
      <c r="C212" t="s">
        <v>148</v>
      </c>
      <c r="D212" t="s">
        <v>118</v>
      </c>
      <c r="E212" t="s">
        <v>99</v>
      </c>
      <c r="F212" t="s">
        <v>149</v>
      </c>
      <c r="G212" t="s">
        <v>150</v>
      </c>
      <c r="H212" t="s">
        <v>151</v>
      </c>
    </row>
    <row r="213" spans="1:8" x14ac:dyDescent="0.2">
      <c r="A213">
        <v>45287.507048611114</v>
      </c>
      <c r="B213" t="s">
        <v>76</v>
      </c>
      <c r="C213" t="s">
        <v>77</v>
      </c>
      <c r="D213" t="s">
        <v>118</v>
      </c>
      <c r="E213" t="s">
        <v>99</v>
      </c>
      <c r="F213" t="s">
        <v>143</v>
      </c>
      <c r="G213" t="s">
        <v>144</v>
      </c>
      <c r="H213" t="s">
        <v>76</v>
      </c>
    </row>
    <row r="214" spans="1:8" x14ac:dyDescent="0.2">
      <c r="A214">
        <v>45287.436030092591</v>
      </c>
      <c r="B214" t="s">
        <v>138</v>
      </c>
      <c r="C214" t="s">
        <v>139</v>
      </c>
      <c r="D214" t="s">
        <v>118</v>
      </c>
      <c r="E214" t="s">
        <v>99</v>
      </c>
      <c r="F214" t="s">
        <v>140</v>
      </c>
      <c r="G214" t="s">
        <v>141</v>
      </c>
      <c r="H214" t="s">
        <v>142</v>
      </c>
    </row>
    <row r="215" spans="1:8" x14ac:dyDescent="0.2">
      <c r="A215">
        <v>45286.765601851854</v>
      </c>
      <c r="B215" t="s">
        <v>135</v>
      </c>
      <c r="C215" t="s">
        <v>389</v>
      </c>
      <c r="D215" t="s">
        <v>118</v>
      </c>
      <c r="E215" t="s">
        <v>99</v>
      </c>
      <c r="F215" t="s">
        <v>136</v>
      </c>
      <c r="G215" t="s">
        <v>137</v>
      </c>
      <c r="H215" t="s">
        <v>42</v>
      </c>
    </row>
    <row r="216" spans="1:8" x14ac:dyDescent="0.2">
      <c r="A216">
        <v>45284.588472222225</v>
      </c>
      <c r="B216" t="s">
        <v>131</v>
      </c>
      <c r="C216" t="s">
        <v>132</v>
      </c>
      <c r="D216" t="s">
        <v>118</v>
      </c>
      <c r="E216" t="s">
        <v>99</v>
      </c>
      <c r="F216" t="s">
        <v>133</v>
      </c>
      <c r="G216" t="s">
        <v>118</v>
      </c>
      <c r="H216" t="s">
        <v>134</v>
      </c>
    </row>
    <row r="217" spans="1:8" x14ac:dyDescent="0.2">
      <c r="A217">
        <v>45284.322118055556</v>
      </c>
      <c r="B217" t="s">
        <v>130</v>
      </c>
      <c r="C217" t="s">
        <v>86</v>
      </c>
      <c r="D217" t="s">
        <v>118</v>
      </c>
      <c r="E217" t="s">
        <v>99</v>
      </c>
      <c r="F217" t="s">
        <v>129</v>
      </c>
      <c r="G217" t="s">
        <v>118</v>
      </c>
      <c r="H217" t="s">
        <v>130</v>
      </c>
    </row>
    <row r="218" spans="1:8" x14ac:dyDescent="0.2">
      <c r="A218">
        <v>45284.07</v>
      </c>
      <c r="B218" t="s">
        <v>124</v>
      </c>
      <c r="C218" t="s">
        <v>125</v>
      </c>
      <c r="D218" t="s">
        <v>118</v>
      </c>
      <c r="E218" t="s">
        <v>99</v>
      </c>
      <c r="F218" t="s">
        <v>126</v>
      </c>
      <c r="G218" t="s">
        <v>127</v>
      </c>
      <c r="H218" t="s">
        <v>128</v>
      </c>
    </row>
    <row r="219" spans="1:8" x14ac:dyDescent="0.2">
      <c r="A219">
        <v>45283.995694444442</v>
      </c>
      <c r="B219" t="s">
        <v>120</v>
      </c>
      <c r="C219" t="s">
        <v>121</v>
      </c>
      <c r="D219" t="s">
        <v>118</v>
      </c>
      <c r="E219" t="s">
        <v>99</v>
      </c>
      <c r="F219" t="s">
        <v>122</v>
      </c>
      <c r="G219" t="s">
        <v>118</v>
      </c>
      <c r="H219" t="s">
        <v>123</v>
      </c>
    </row>
    <row r="220" spans="1:8" x14ac:dyDescent="0.2">
      <c r="A220">
        <v>45283.682013888887</v>
      </c>
      <c r="B220" t="s">
        <v>115</v>
      </c>
      <c r="C220" t="s">
        <v>394</v>
      </c>
      <c r="D220" t="s">
        <v>118</v>
      </c>
      <c r="E220" t="s">
        <v>99</v>
      </c>
      <c r="F220" t="s">
        <v>116</v>
      </c>
      <c r="G220" t="s">
        <v>118</v>
      </c>
      <c r="H220" t="s">
        <v>117</v>
      </c>
    </row>
    <row r="221" spans="1:8" x14ac:dyDescent="0.2">
      <c r="A221">
        <v>45283.64875</v>
      </c>
      <c r="B221" t="s">
        <v>112</v>
      </c>
      <c r="C221" t="s">
        <v>395</v>
      </c>
      <c r="D221" t="s">
        <v>118</v>
      </c>
      <c r="E221" t="s">
        <v>99</v>
      </c>
      <c r="F221" t="s">
        <v>113</v>
      </c>
      <c r="G221" t="s">
        <v>118</v>
      </c>
      <c r="H221" t="s">
        <v>114</v>
      </c>
    </row>
    <row r="222" spans="1:8" x14ac:dyDescent="0.2">
      <c r="A222">
        <v>45283.532418981478</v>
      </c>
      <c r="B222" t="s">
        <v>107</v>
      </c>
      <c r="C222" t="s">
        <v>108</v>
      </c>
      <c r="D222" t="s">
        <v>118</v>
      </c>
      <c r="E222" t="s">
        <v>99</v>
      </c>
      <c r="F222" t="s">
        <v>109</v>
      </c>
      <c r="G222" t="s">
        <v>110</v>
      </c>
      <c r="H222" t="s">
        <v>111</v>
      </c>
    </row>
    <row r="223" spans="1:8" x14ac:dyDescent="0.2">
      <c r="A223">
        <v>45283.365474537037</v>
      </c>
      <c r="B223" t="s">
        <v>103</v>
      </c>
      <c r="C223" t="s">
        <v>104</v>
      </c>
      <c r="D223" t="s">
        <v>118</v>
      </c>
      <c r="E223" t="s">
        <v>99</v>
      </c>
      <c r="F223" t="s">
        <v>105</v>
      </c>
      <c r="G223" t="s">
        <v>118</v>
      </c>
      <c r="H223" t="s">
        <v>106</v>
      </c>
    </row>
    <row r="224" spans="1:8" x14ac:dyDescent="0.2">
      <c r="A224">
        <v>45283.361006944448</v>
      </c>
      <c r="B224" t="s">
        <v>385</v>
      </c>
      <c r="C224" t="s">
        <v>379</v>
      </c>
      <c r="D224" t="s">
        <v>118</v>
      </c>
      <c r="E224" t="s">
        <v>99</v>
      </c>
      <c r="F224" t="s">
        <v>100</v>
      </c>
      <c r="G224" t="s">
        <v>101</v>
      </c>
      <c r="H224" t="s">
        <v>102</v>
      </c>
    </row>
    <row r="225" spans="1:8" x14ac:dyDescent="0.2">
      <c r="A225">
        <v>45278.658449074072</v>
      </c>
      <c r="B225" t="s">
        <v>94</v>
      </c>
      <c r="C225" t="s">
        <v>95</v>
      </c>
      <c r="D225" t="s">
        <v>96</v>
      </c>
      <c r="E225" t="s">
        <v>57</v>
      </c>
      <c r="F225" t="s">
        <v>97</v>
      </c>
      <c r="G225" t="s">
        <v>98</v>
      </c>
      <c r="H225" t="s">
        <v>118</v>
      </c>
    </row>
    <row r="226" spans="1:8" x14ac:dyDescent="0.2">
      <c r="A226">
        <v>45261.792870370373</v>
      </c>
      <c r="B226" t="s">
        <v>396</v>
      </c>
      <c r="C226" t="s">
        <v>379</v>
      </c>
      <c r="D226" t="s">
        <v>91</v>
      </c>
      <c r="E226" t="s">
        <v>25</v>
      </c>
      <c r="F226" t="s">
        <v>92</v>
      </c>
      <c r="G226" t="s">
        <v>93</v>
      </c>
      <c r="H226" t="s">
        <v>118</v>
      </c>
    </row>
    <row r="227" spans="1:8" x14ac:dyDescent="0.2">
      <c r="A227">
        <v>45260.915312500001</v>
      </c>
      <c r="B227" t="s">
        <v>130</v>
      </c>
      <c r="C227" t="s">
        <v>86</v>
      </c>
      <c r="D227" t="s">
        <v>87</v>
      </c>
      <c r="E227" t="s">
        <v>25</v>
      </c>
      <c r="F227" t="s">
        <v>88</v>
      </c>
      <c r="G227" t="s">
        <v>89</v>
      </c>
      <c r="H227" t="s">
        <v>118</v>
      </c>
    </row>
    <row r="228" spans="1:8" x14ac:dyDescent="0.2">
      <c r="A228">
        <v>45260.507997685185</v>
      </c>
      <c r="B228" t="s">
        <v>397</v>
      </c>
      <c r="C228" t="s">
        <v>83</v>
      </c>
      <c r="D228" t="s">
        <v>84</v>
      </c>
      <c r="E228" t="s">
        <v>25</v>
      </c>
      <c r="F228" t="s">
        <v>85</v>
      </c>
      <c r="G228" t="s">
        <v>119</v>
      </c>
      <c r="H228" t="s">
        <v>118</v>
      </c>
    </row>
    <row r="229" spans="1:8" x14ac:dyDescent="0.2">
      <c r="A229">
        <v>45260.092152777775</v>
      </c>
      <c r="B229" t="s">
        <v>28</v>
      </c>
      <c r="C229" t="s">
        <v>172</v>
      </c>
      <c r="D229" t="s">
        <v>80</v>
      </c>
      <c r="E229" t="s">
        <v>25</v>
      </c>
      <c r="F229" t="s">
        <v>81</v>
      </c>
      <c r="G229" t="s">
        <v>82</v>
      </c>
      <c r="H229" t="s">
        <v>118</v>
      </c>
    </row>
    <row r="230" spans="1:8" x14ac:dyDescent="0.2">
      <c r="A230">
        <v>45259.776666666665</v>
      </c>
      <c r="B230" t="s">
        <v>76</v>
      </c>
      <c r="C230" t="s">
        <v>77</v>
      </c>
      <c r="D230" t="s">
        <v>118</v>
      </c>
      <c r="E230" t="s">
        <v>25</v>
      </c>
      <c r="F230" t="s">
        <v>78</v>
      </c>
      <c r="G230" t="s">
        <v>79</v>
      </c>
      <c r="H230" t="s">
        <v>118</v>
      </c>
    </row>
    <row r="231" spans="1:8" x14ac:dyDescent="0.2">
      <c r="A231">
        <v>45259.677465277775</v>
      </c>
      <c r="B231" t="s">
        <v>72</v>
      </c>
      <c r="C231" t="s">
        <v>73</v>
      </c>
      <c r="D231" t="s">
        <v>118</v>
      </c>
      <c r="E231" t="s">
        <v>25</v>
      </c>
      <c r="F231" t="s">
        <v>74</v>
      </c>
      <c r="G231" t="s">
        <v>75</v>
      </c>
      <c r="H231" t="s">
        <v>118</v>
      </c>
    </row>
    <row r="232" spans="1:8" x14ac:dyDescent="0.2">
      <c r="A232">
        <v>45259.546273148146</v>
      </c>
      <c r="B232" t="s">
        <v>67</v>
      </c>
      <c r="C232" t="s">
        <v>68</v>
      </c>
      <c r="D232" t="s">
        <v>69</v>
      </c>
      <c r="E232" t="s">
        <v>25</v>
      </c>
      <c r="F232" t="s">
        <v>70</v>
      </c>
      <c r="G232" t="s">
        <v>71</v>
      </c>
      <c r="H232" t="s">
        <v>118</v>
      </c>
    </row>
    <row r="233" spans="1:8" x14ac:dyDescent="0.2">
      <c r="A233">
        <v>45258.841527777775</v>
      </c>
      <c r="B233" t="s">
        <v>64</v>
      </c>
      <c r="C233" t="s">
        <v>398</v>
      </c>
      <c r="D233" t="s">
        <v>65</v>
      </c>
      <c r="E233" t="s">
        <v>25</v>
      </c>
      <c r="F233" t="s">
        <v>66</v>
      </c>
      <c r="G233" t="s">
        <v>118</v>
      </c>
      <c r="H233" t="s">
        <v>118</v>
      </c>
    </row>
    <row r="234" spans="1:8" x14ac:dyDescent="0.2">
      <c r="A234">
        <v>45258.596354166664</v>
      </c>
      <c r="B234" t="s">
        <v>60</v>
      </c>
      <c r="C234" t="s">
        <v>61</v>
      </c>
      <c r="D234" t="s">
        <v>62</v>
      </c>
      <c r="E234" t="s">
        <v>25</v>
      </c>
      <c r="F234" t="s">
        <v>63</v>
      </c>
      <c r="G234" t="s">
        <v>118</v>
      </c>
      <c r="H234" t="s">
        <v>118</v>
      </c>
    </row>
    <row r="235" spans="1:8" x14ac:dyDescent="0.2">
      <c r="A235">
        <v>45258.501655092594</v>
      </c>
      <c r="B235" t="s">
        <v>54</v>
      </c>
      <c r="C235" t="s">
        <v>55</v>
      </c>
      <c r="D235" t="s">
        <v>56</v>
      </c>
      <c r="E235" t="s">
        <v>57</v>
      </c>
      <c r="F235" t="s">
        <v>58</v>
      </c>
      <c r="G235" t="s">
        <v>59</v>
      </c>
      <c r="H235" t="s">
        <v>118</v>
      </c>
    </row>
    <row r="236" spans="1:8" x14ac:dyDescent="0.2">
      <c r="A236">
        <v>45258.395405092589</v>
      </c>
      <c r="B236" t="s">
        <v>138</v>
      </c>
      <c r="C236" t="s">
        <v>51</v>
      </c>
      <c r="D236" t="s">
        <v>52</v>
      </c>
      <c r="E236" t="s">
        <v>25</v>
      </c>
      <c r="F236" t="s">
        <v>53</v>
      </c>
      <c r="G236" t="s">
        <v>118</v>
      </c>
      <c r="H236" t="s">
        <v>118</v>
      </c>
    </row>
    <row r="237" spans="1:8" x14ac:dyDescent="0.2">
      <c r="A237">
        <v>45258.363553240742</v>
      </c>
      <c r="B237" t="s">
        <v>46</v>
      </c>
      <c r="C237" t="s">
        <v>47</v>
      </c>
      <c r="D237" t="s">
        <v>48</v>
      </c>
      <c r="E237" t="s">
        <v>25</v>
      </c>
      <c r="F237" t="s">
        <v>49</v>
      </c>
      <c r="G237" t="s">
        <v>50</v>
      </c>
      <c r="H237" t="s">
        <v>118</v>
      </c>
    </row>
    <row r="238" spans="1:8" x14ac:dyDescent="0.2">
      <c r="A238">
        <v>45258.352916666663</v>
      </c>
      <c r="B238" t="s">
        <v>135</v>
      </c>
      <c r="C238" t="s">
        <v>389</v>
      </c>
      <c r="D238" t="s">
        <v>43</v>
      </c>
      <c r="E238" t="s">
        <v>25</v>
      </c>
      <c r="F238" t="s">
        <v>44</v>
      </c>
      <c r="G238" t="s">
        <v>45</v>
      </c>
      <c r="H238" t="s">
        <v>118</v>
      </c>
    </row>
    <row r="239" spans="1:8" x14ac:dyDescent="0.2">
      <c r="A239">
        <v>45257.696655092594</v>
      </c>
      <c r="B239" t="s">
        <v>37</v>
      </c>
      <c r="C239" t="s">
        <v>38</v>
      </c>
      <c r="D239" t="s">
        <v>39</v>
      </c>
      <c r="E239" t="s">
        <v>25</v>
      </c>
      <c r="F239" t="s">
        <v>40</v>
      </c>
      <c r="G239" t="s">
        <v>41</v>
      </c>
      <c r="H239" t="s">
        <v>118</v>
      </c>
    </row>
    <row r="240" spans="1:8" x14ac:dyDescent="0.2">
      <c r="A240">
        <v>45257.586273148147</v>
      </c>
      <c r="B240" t="s">
        <v>33</v>
      </c>
      <c r="C240" t="s">
        <v>34</v>
      </c>
      <c r="D240" t="s">
        <v>118</v>
      </c>
      <c r="E240" t="s">
        <v>25</v>
      </c>
      <c r="F240" t="s">
        <v>35</v>
      </c>
      <c r="G240" t="s">
        <v>36</v>
      </c>
      <c r="H240" t="s">
        <v>118</v>
      </c>
    </row>
    <row r="241" spans="1:8" x14ac:dyDescent="0.2">
      <c r="A241">
        <v>45257.418854166666</v>
      </c>
      <c r="B241" t="s">
        <v>28</v>
      </c>
      <c r="C241" t="s">
        <v>29</v>
      </c>
      <c r="D241" t="s">
        <v>30</v>
      </c>
      <c r="E241" t="s">
        <v>25</v>
      </c>
      <c r="F241" t="s">
        <v>31</v>
      </c>
      <c r="G241" t="s">
        <v>32</v>
      </c>
      <c r="H241" t="s">
        <v>118</v>
      </c>
    </row>
    <row r="242" spans="1:8" x14ac:dyDescent="0.2">
      <c r="A242">
        <v>45255.743344907409</v>
      </c>
      <c r="B242" t="s">
        <v>22</v>
      </c>
      <c r="C242" t="s">
        <v>23</v>
      </c>
      <c r="D242" t="s">
        <v>24</v>
      </c>
      <c r="E242" t="s">
        <v>25</v>
      </c>
      <c r="F242" t="s">
        <v>26</v>
      </c>
      <c r="G242" t="s">
        <v>27</v>
      </c>
      <c r="H242" t="s">
        <v>118</v>
      </c>
    </row>
  </sheetData>
  <phoneticPr fontId="9" type="noConversion"/>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F2CCEA-D8CB-4C9D-A2B5-EA183B0E9875}">
  <sheetPr codeName="Hoja1"/>
  <dimension ref="A1:X166"/>
  <sheetViews>
    <sheetView zoomScale="130" zoomScaleNormal="130" workbookViewId="0">
      <selection activeCell="T5" sqref="T5"/>
    </sheetView>
  </sheetViews>
  <sheetFormatPr baseColWidth="10" defaultRowHeight="12" x14ac:dyDescent="0.2"/>
  <cols>
    <col min="1" max="1" width="10" bestFit="1" customWidth="1"/>
    <col min="2" max="2" width="10.85546875" customWidth="1"/>
    <col min="3" max="3" width="1.5703125" customWidth="1"/>
    <col min="4" max="4" width="9.85546875" bestFit="1" customWidth="1"/>
    <col min="5" max="5" width="6.42578125" bestFit="1" customWidth="1"/>
    <col min="6" max="6" width="1.5703125" customWidth="1"/>
    <col min="7" max="7" width="9.85546875" bestFit="1" customWidth="1"/>
    <col min="8" max="8" width="6" style="4" bestFit="1" customWidth="1"/>
    <col min="9" max="9" width="1.7109375" style="4" customWidth="1"/>
    <col min="10" max="10" width="10.28515625" style="4" customWidth="1"/>
    <col min="11" max="11" width="7.140625" customWidth="1"/>
    <col min="12" max="12" width="0.85546875" customWidth="1"/>
    <col min="13" max="13" width="10" bestFit="1" customWidth="1"/>
    <col min="14" max="14" width="9.28515625" style="4" bestFit="1" customWidth="1"/>
    <col min="15" max="15" width="1.28515625" customWidth="1"/>
    <col min="16" max="16" width="10" style="4" bestFit="1" customWidth="1"/>
    <col min="17" max="17" width="9.28515625" style="4" bestFit="1" customWidth="1"/>
    <col min="18" max="18" width="1.5703125" customWidth="1"/>
    <col min="19" max="19" width="10" bestFit="1" customWidth="1"/>
    <col min="20" max="20" width="9.28515625" bestFit="1" customWidth="1"/>
    <col min="22" max="22" width="13.7109375" customWidth="1"/>
  </cols>
  <sheetData>
    <row r="1" spans="1:24" x14ac:dyDescent="0.2">
      <c r="A1" s="96" t="s">
        <v>341</v>
      </c>
      <c r="B1" s="96"/>
      <c r="D1" s="95" t="s">
        <v>237</v>
      </c>
      <c r="E1" s="95"/>
      <c r="G1" s="95" t="s">
        <v>368</v>
      </c>
      <c r="H1" s="95"/>
      <c r="J1" s="95" t="s">
        <v>476</v>
      </c>
      <c r="K1" s="95"/>
      <c r="M1" s="95" t="s">
        <v>551</v>
      </c>
      <c r="N1" s="95"/>
      <c r="P1" s="95" t="s">
        <v>661</v>
      </c>
      <c r="Q1" s="95"/>
      <c r="S1" s="95" t="s">
        <v>818</v>
      </c>
      <c r="T1" s="95"/>
      <c r="V1" t="s">
        <v>486</v>
      </c>
      <c r="W1" s="4">
        <f>MIN(omie[valor])</f>
        <v>0.44</v>
      </c>
      <c r="X1" s="5">
        <f>INDEX(omie[fecha],MATCH(W1,omie[valor],0))</f>
        <v>45387</v>
      </c>
    </row>
    <row r="2" spans="1:24" x14ac:dyDescent="0.2">
      <c r="A2" s="96"/>
      <c r="B2" s="96"/>
      <c r="D2" s="95"/>
      <c r="E2" s="95"/>
      <c r="G2" s="95"/>
      <c r="H2" s="95"/>
      <c r="J2" s="95"/>
      <c r="K2" s="95"/>
      <c r="M2" s="95"/>
      <c r="N2" s="95"/>
      <c r="P2" s="95"/>
      <c r="Q2" s="95"/>
      <c r="S2" s="95"/>
      <c r="T2" s="95"/>
    </row>
    <row r="3" spans="1:24" x14ac:dyDescent="0.2">
      <c r="A3" s="96"/>
      <c r="B3" s="96"/>
      <c r="D3" s="15" t="s">
        <v>14</v>
      </c>
      <c r="E3" s="25">
        <f>ROUND(AVERAGE(omie_enero[valor]),2)</f>
        <v>74.099999999999994</v>
      </c>
      <c r="G3" s="15" t="s">
        <v>14</v>
      </c>
      <c r="H3" s="25">
        <f>ROUND(AVERAGE(omie_febrero[valor]),2)</f>
        <v>40</v>
      </c>
      <c r="J3" s="15" t="s">
        <v>14</v>
      </c>
      <c r="K3" s="25">
        <f>ROUND(AVERAGE(omie_marzo[valor]),2)</f>
        <v>20.28</v>
      </c>
      <c r="M3" s="15" t="s">
        <v>14</v>
      </c>
      <c r="N3" s="25">
        <f>ROUND(AVERAGE(omie_abril[valor]),2)</f>
        <v>13.67</v>
      </c>
      <c r="P3" s="15" t="s">
        <v>14</v>
      </c>
      <c r="Q3" s="25">
        <f>ROUND(AVERAGE(omie_mayo[valor]),2)</f>
        <v>30.4</v>
      </c>
      <c r="S3" s="15" t="s">
        <v>14</v>
      </c>
      <c r="T3" s="25">
        <f>ROUND(AVERAGE(omie_junio[valor]),2)</f>
        <v>52.05</v>
      </c>
    </row>
    <row r="4" spans="1:24" x14ac:dyDescent="0.2">
      <c r="A4" s="2" t="s">
        <v>10</v>
      </c>
      <c r="B4" s="2" t="s">
        <v>11</v>
      </c>
      <c r="D4" s="4" t="s">
        <v>10</v>
      </c>
      <c r="E4" s="4" t="s">
        <v>11</v>
      </c>
      <c r="G4" s="4" t="s">
        <v>10</v>
      </c>
      <c r="H4" s="4" t="s">
        <v>11</v>
      </c>
      <c r="I4"/>
      <c r="J4" s="4" t="s">
        <v>10</v>
      </c>
      <c r="K4" s="4" t="s">
        <v>11</v>
      </c>
      <c r="M4" s="4" t="s">
        <v>10</v>
      </c>
      <c r="N4" s="4" t="s">
        <v>11</v>
      </c>
      <c r="P4" s="4" t="s">
        <v>10</v>
      </c>
      <c r="Q4" s="4" t="s">
        <v>11</v>
      </c>
      <c r="S4" s="4" t="s">
        <v>10</v>
      </c>
      <c r="T4" s="4" t="s">
        <v>11</v>
      </c>
    </row>
    <row r="5" spans="1:24" x14ac:dyDescent="0.2">
      <c r="A5" s="5">
        <v>45453</v>
      </c>
      <c r="B5" s="4">
        <v>44.61</v>
      </c>
      <c r="D5" s="24">
        <v>45292</v>
      </c>
      <c r="E5" s="21">
        <v>36.24</v>
      </c>
      <c r="G5" s="5">
        <v>45323</v>
      </c>
      <c r="H5" s="4">
        <v>70.95</v>
      </c>
      <c r="I5"/>
      <c r="J5" s="24">
        <v>45352</v>
      </c>
      <c r="K5">
        <v>2.14</v>
      </c>
      <c r="M5" s="5">
        <v>45383</v>
      </c>
      <c r="N5" s="4">
        <v>2.76</v>
      </c>
      <c r="P5" s="5">
        <v>45413</v>
      </c>
      <c r="Q5" s="4">
        <v>12.53</v>
      </c>
      <c r="S5" s="5">
        <v>45444</v>
      </c>
      <c r="T5" s="137">
        <v>1.76</v>
      </c>
    </row>
    <row r="6" spans="1:24" x14ac:dyDescent="0.2">
      <c r="A6" s="5">
        <v>45452</v>
      </c>
      <c r="B6" s="4">
        <v>16.43</v>
      </c>
      <c r="D6" s="24">
        <v>45293</v>
      </c>
      <c r="E6" s="21">
        <v>40.909999999999997</v>
      </c>
      <c r="G6" s="5">
        <v>45324</v>
      </c>
      <c r="H6" s="4">
        <v>65.319999999999993</v>
      </c>
      <c r="J6" s="24">
        <v>45353</v>
      </c>
      <c r="K6">
        <v>4.16</v>
      </c>
      <c r="M6" s="5">
        <v>45384</v>
      </c>
      <c r="N6" s="4">
        <v>9.85</v>
      </c>
      <c r="P6" s="5">
        <v>45414</v>
      </c>
      <c r="Q6" s="4">
        <v>15.6</v>
      </c>
      <c r="S6" s="5">
        <v>45445</v>
      </c>
      <c r="T6" s="137">
        <v>4.26</v>
      </c>
    </row>
    <row r="7" spans="1:24" x14ac:dyDescent="0.2">
      <c r="A7" s="5">
        <v>45451</v>
      </c>
      <c r="B7" s="4">
        <v>71.42</v>
      </c>
      <c r="D7" s="24">
        <v>45294</v>
      </c>
      <c r="E7" s="21">
        <v>55.08</v>
      </c>
      <c r="G7" s="5">
        <v>45325</v>
      </c>
      <c r="H7" s="4">
        <v>60.32</v>
      </c>
      <c r="J7" s="24">
        <v>45354</v>
      </c>
      <c r="K7">
        <v>3.79</v>
      </c>
      <c r="M7" s="24">
        <v>45385</v>
      </c>
      <c r="N7" s="4">
        <v>9.0299999999999994</v>
      </c>
      <c r="P7" s="5">
        <v>45415</v>
      </c>
      <c r="Q7" s="4">
        <v>26.11</v>
      </c>
      <c r="S7" s="5">
        <v>45446</v>
      </c>
      <c r="T7" s="137">
        <v>28.56</v>
      </c>
    </row>
    <row r="8" spans="1:24" x14ac:dyDescent="0.2">
      <c r="A8" s="5">
        <v>45450</v>
      </c>
      <c r="B8" s="4">
        <v>79.13</v>
      </c>
      <c r="D8" s="24">
        <v>45295</v>
      </c>
      <c r="E8" s="21">
        <v>91.36</v>
      </c>
      <c r="G8" s="5">
        <v>45326</v>
      </c>
      <c r="H8" s="4">
        <v>63.1</v>
      </c>
      <c r="J8" s="24">
        <v>45355</v>
      </c>
      <c r="K8">
        <v>7.95</v>
      </c>
      <c r="M8" s="24">
        <v>45386</v>
      </c>
      <c r="N8" s="4">
        <v>4</v>
      </c>
      <c r="P8" s="5">
        <v>45416</v>
      </c>
      <c r="Q8" s="4">
        <v>14.8</v>
      </c>
      <c r="S8" s="5">
        <v>45447</v>
      </c>
      <c r="T8" s="137">
        <v>87.64</v>
      </c>
    </row>
    <row r="9" spans="1:24" x14ac:dyDescent="0.2">
      <c r="A9" s="5">
        <v>45449</v>
      </c>
      <c r="B9" s="4">
        <v>93.42</v>
      </c>
      <c r="D9" s="24">
        <v>45296</v>
      </c>
      <c r="E9" s="21">
        <v>68.62</v>
      </c>
      <c r="G9" s="5">
        <v>45327</v>
      </c>
      <c r="H9" s="4">
        <v>80.92</v>
      </c>
      <c r="J9" s="24">
        <v>45356</v>
      </c>
      <c r="K9">
        <v>33.450000000000003</v>
      </c>
      <c r="M9" s="24">
        <v>45387</v>
      </c>
      <c r="N9" s="4">
        <v>0.44</v>
      </c>
      <c r="P9" s="5">
        <v>45417</v>
      </c>
      <c r="Q9" s="4">
        <v>17.53</v>
      </c>
      <c r="S9" s="5">
        <v>45448</v>
      </c>
      <c r="T9" s="137">
        <v>93.26</v>
      </c>
    </row>
    <row r="10" spans="1:24" x14ac:dyDescent="0.2">
      <c r="A10" s="5">
        <v>45448</v>
      </c>
      <c r="B10" s="4">
        <v>93.26</v>
      </c>
      <c r="D10" s="24">
        <v>45297</v>
      </c>
      <c r="E10" s="21">
        <v>43.97</v>
      </c>
      <c r="G10" s="5">
        <v>45328</v>
      </c>
      <c r="H10" s="4">
        <v>74.03</v>
      </c>
      <c r="J10" s="24">
        <v>45357</v>
      </c>
      <c r="K10">
        <v>45.97</v>
      </c>
      <c r="M10" s="24">
        <v>45388</v>
      </c>
      <c r="N10" s="4">
        <v>0.74</v>
      </c>
      <c r="P10" s="5">
        <v>45418</v>
      </c>
      <c r="Q10" s="4">
        <v>47.8</v>
      </c>
      <c r="S10" s="5">
        <v>45449</v>
      </c>
      <c r="T10" s="137">
        <v>93.42</v>
      </c>
    </row>
    <row r="11" spans="1:24" x14ac:dyDescent="0.2">
      <c r="A11" s="5">
        <v>45447</v>
      </c>
      <c r="B11" s="4">
        <v>87.64</v>
      </c>
      <c r="D11" s="24">
        <v>45298</v>
      </c>
      <c r="E11" s="21">
        <v>76</v>
      </c>
      <c r="G11" s="5">
        <v>45329</v>
      </c>
      <c r="H11" s="4">
        <v>50.11</v>
      </c>
      <c r="J11" s="24">
        <v>45358</v>
      </c>
      <c r="K11">
        <v>8.52</v>
      </c>
      <c r="M11" s="24">
        <v>45389</v>
      </c>
      <c r="N11" s="4">
        <v>4.05</v>
      </c>
      <c r="P11" s="5">
        <v>45419</v>
      </c>
      <c r="Q11" s="4">
        <v>42.04</v>
      </c>
      <c r="S11" s="5">
        <v>45450</v>
      </c>
      <c r="T11" s="137">
        <v>79.13</v>
      </c>
    </row>
    <row r="12" spans="1:24" x14ac:dyDescent="0.2">
      <c r="A12" s="5">
        <v>45446</v>
      </c>
      <c r="B12" s="4">
        <v>28.56</v>
      </c>
      <c r="D12" s="24">
        <v>45299</v>
      </c>
      <c r="E12" s="21">
        <v>105.51</v>
      </c>
      <c r="G12" s="5">
        <v>45330</v>
      </c>
      <c r="H12" s="4">
        <v>38.67</v>
      </c>
      <c r="J12" s="24">
        <v>45359</v>
      </c>
      <c r="K12">
        <v>1.67</v>
      </c>
      <c r="M12" s="24">
        <v>45390</v>
      </c>
      <c r="N12" s="4">
        <v>0.52</v>
      </c>
      <c r="P12" s="5">
        <v>45420</v>
      </c>
      <c r="Q12" s="4">
        <v>21.24</v>
      </c>
      <c r="S12" s="5">
        <v>45451</v>
      </c>
      <c r="T12" s="137">
        <v>71.42</v>
      </c>
    </row>
    <row r="13" spans="1:24" x14ac:dyDescent="0.2">
      <c r="A13" s="5">
        <v>45445</v>
      </c>
      <c r="B13" s="4">
        <v>4.26</v>
      </c>
      <c r="D13" s="24">
        <v>45300</v>
      </c>
      <c r="E13" s="21">
        <v>113.83</v>
      </c>
      <c r="G13" s="5">
        <v>45331</v>
      </c>
      <c r="H13" s="4">
        <v>40.18</v>
      </c>
      <c r="J13" s="24">
        <v>45360</v>
      </c>
      <c r="K13">
        <v>0.59</v>
      </c>
      <c r="M13" s="24">
        <v>45391</v>
      </c>
      <c r="N13" s="4">
        <v>1.29</v>
      </c>
      <c r="P13" s="5">
        <v>45421</v>
      </c>
      <c r="Q13" s="4">
        <v>33.54</v>
      </c>
      <c r="S13" s="5">
        <v>45452</v>
      </c>
      <c r="T13" s="137">
        <v>16.43</v>
      </c>
    </row>
    <row r="14" spans="1:24" x14ac:dyDescent="0.2">
      <c r="A14" s="5">
        <v>45444</v>
      </c>
      <c r="B14" s="4">
        <v>1.76</v>
      </c>
      <c r="D14" s="24">
        <v>45301</v>
      </c>
      <c r="E14" s="21">
        <v>100.88</v>
      </c>
      <c r="G14" s="5">
        <v>45332</v>
      </c>
      <c r="H14" s="4">
        <v>9.4700000000000006</v>
      </c>
      <c r="J14" s="24">
        <v>45361</v>
      </c>
      <c r="K14">
        <v>0.54</v>
      </c>
      <c r="M14" s="24">
        <v>45392</v>
      </c>
      <c r="N14" s="4">
        <v>4.3099999999999996</v>
      </c>
      <c r="P14" s="5">
        <v>45422</v>
      </c>
      <c r="Q14" s="4">
        <v>28.95</v>
      </c>
      <c r="S14" s="5">
        <v>45453</v>
      </c>
      <c r="T14" s="137">
        <v>44.61</v>
      </c>
    </row>
    <row r="15" spans="1:24" x14ac:dyDescent="0.2">
      <c r="A15" s="5">
        <v>45443</v>
      </c>
      <c r="B15" s="4">
        <v>2.69</v>
      </c>
      <c r="D15" s="24">
        <v>45302</v>
      </c>
      <c r="E15" s="21">
        <v>96.97</v>
      </c>
      <c r="G15" s="5">
        <v>45333</v>
      </c>
      <c r="H15" s="4">
        <v>44.83</v>
      </c>
      <c r="J15" s="24">
        <v>45362</v>
      </c>
      <c r="K15">
        <v>14.63</v>
      </c>
      <c r="M15" s="24">
        <v>45393</v>
      </c>
      <c r="N15" s="4">
        <v>12.03</v>
      </c>
      <c r="P15" s="5">
        <v>45423</v>
      </c>
      <c r="Q15" s="4">
        <v>20.59</v>
      </c>
    </row>
    <row r="16" spans="1:24" x14ac:dyDescent="0.2">
      <c r="A16" s="5">
        <v>45442</v>
      </c>
      <c r="B16" s="4">
        <v>24.37</v>
      </c>
      <c r="D16" s="24">
        <v>45303</v>
      </c>
      <c r="E16" s="21">
        <v>97.56</v>
      </c>
      <c r="G16" s="5">
        <v>45334</v>
      </c>
      <c r="H16" s="4">
        <v>45.85</v>
      </c>
      <c r="J16" s="24">
        <v>45363</v>
      </c>
      <c r="K16">
        <v>42.28</v>
      </c>
      <c r="M16" s="24">
        <v>45394</v>
      </c>
      <c r="N16" s="4">
        <v>19.940000000000001</v>
      </c>
      <c r="P16" s="5">
        <v>45424</v>
      </c>
      <c r="Q16" s="4">
        <v>21.53</v>
      </c>
    </row>
    <row r="17" spans="1:17" x14ac:dyDescent="0.2">
      <c r="A17" s="5">
        <v>45441</v>
      </c>
      <c r="B17" s="4">
        <v>38.86</v>
      </c>
      <c r="D17" s="24">
        <v>45304</v>
      </c>
      <c r="E17" s="21">
        <v>87.35</v>
      </c>
      <c r="G17" s="5">
        <v>45335</v>
      </c>
      <c r="H17" s="4">
        <v>62.72</v>
      </c>
      <c r="J17" s="24">
        <v>45364</v>
      </c>
      <c r="K17">
        <v>42.36</v>
      </c>
      <c r="M17" s="24">
        <v>45395</v>
      </c>
      <c r="N17" s="4">
        <v>9.17</v>
      </c>
      <c r="P17" s="5">
        <v>45425</v>
      </c>
      <c r="Q17" s="4">
        <v>23.34</v>
      </c>
    </row>
    <row r="18" spans="1:17" x14ac:dyDescent="0.2">
      <c r="A18" s="5">
        <v>45440</v>
      </c>
      <c r="B18" s="4">
        <v>27.47</v>
      </c>
      <c r="D18" s="24">
        <v>45305</v>
      </c>
      <c r="E18" s="21">
        <v>75.13</v>
      </c>
      <c r="G18" s="5">
        <v>45336</v>
      </c>
      <c r="H18" s="4">
        <v>59.57</v>
      </c>
      <c r="J18" s="24">
        <v>45365</v>
      </c>
      <c r="K18">
        <v>35.99</v>
      </c>
      <c r="M18" s="24">
        <v>45396</v>
      </c>
      <c r="N18" s="4">
        <v>5.6</v>
      </c>
      <c r="P18" s="5">
        <v>45426</v>
      </c>
      <c r="Q18" s="4">
        <v>8.14</v>
      </c>
    </row>
    <row r="19" spans="1:17" x14ac:dyDescent="0.2">
      <c r="A19" s="5">
        <v>45439</v>
      </c>
      <c r="B19" s="4">
        <v>30.84</v>
      </c>
      <c r="D19" s="24">
        <v>45306</v>
      </c>
      <c r="E19" s="21">
        <v>87.56</v>
      </c>
      <c r="G19" s="5">
        <v>45337</v>
      </c>
      <c r="H19" s="4">
        <v>51.22</v>
      </c>
      <c r="J19" s="24">
        <v>45366</v>
      </c>
      <c r="K19">
        <v>37.729999999999997</v>
      </c>
      <c r="M19" s="24">
        <v>45397</v>
      </c>
      <c r="N19" s="4">
        <v>3.48</v>
      </c>
      <c r="P19" s="5">
        <v>45427</v>
      </c>
      <c r="Q19" s="4">
        <v>14.21</v>
      </c>
    </row>
    <row r="20" spans="1:17" x14ac:dyDescent="0.2">
      <c r="A20" s="5">
        <v>45438</v>
      </c>
      <c r="B20" s="4">
        <v>25.42</v>
      </c>
      <c r="D20" s="24">
        <v>45307</v>
      </c>
      <c r="E20" s="21">
        <v>90.12</v>
      </c>
      <c r="G20" s="5">
        <v>45338</v>
      </c>
      <c r="H20" s="4">
        <v>54.24</v>
      </c>
      <c r="J20" s="24">
        <v>45367</v>
      </c>
      <c r="K20">
        <v>31.61</v>
      </c>
      <c r="M20" s="24">
        <v>45398</v>
      </c>
      <c r="N20" s="4">
        <v>1.37</v>
      </c>
      <c r="P20" s="5">
        <v>45428</v>
      </c>
      <c r="Q20" s="4">
        <v>32.35</v>
      </c>
    </row>
    <row r="21" spans="1:17" x14ac:dyDescent="0.2">
      <c r="A21" s="5">
        <v>45437</v>
      </c>
      <c r="B21" s="4">
        <v>43.71</v>
      </c>
      <c r="D21" s="24">
        <v>45308</v>
      </c>
      <c r="E21" s="21">
        <v>26.96</v>
      </c>
      <c r="G21" s="5">
        <v>45339</v>
      </c>
      <c r="H21" s="4">
        <v>48.69</v>
      </c>
      <c r="J21" s="24">
        <v>45368</v>
      </c>
      <c r="K21">
        <v>28.05</v>
      </c>
      <c r="M21" s="24">
        <v>45399</v>
      </c>
      <c r="N21" s="4">
        <v>3.26</v>
      </c>
      <c r="P21" s="5">
        <v>45429</v>
      </c>
      <c r="Q21" s="4">
        <v>53.42</v>
      </c>
    </row>
    <row r="22" spans="1:17" x14ac:dyDescent="0.2">
      <c r="A22" s="5">
        <v>45436</v>
      </c>
      <c r="B22" s="4">
        <v>71.67</v>
      </c>
      <c r="D22" s="24">
        <v>45309</v>
      </c>
      <c r="E22" s="21">
        <v>46.84</v>
      </c>
      <c r="G22" s="5">
        <v>45340</v>
      </c>
      <c r="H22" s="4">
        <v>47.04</v>
      </c>
      <c r="J22" s="24">
        <v>45369</v>
      </c>
      <c r="K22">
        <v>61.34</v>
      </c>
      <c r="M22" s="24">
        <v>45400</v>
      </c>
      <c r="N22" s="4">
        <v>4.54</v>
      </c>
      <c r="P22" s="5">
        <v>45430</v>
      </c>
      <c r="Q22" s="4">
        <v>32.99</v>
      </c>
    </row>
    <row r="23" spans="1:17" x14ac:dyDescent="0.2">
      <c r="A23" s="5">
        <v>45435</v>
      </c>
      <c r="B23" s="4">
        <v>60.45</v>
      </c>
      <c r="D23" s="24">
        <v>45310</v>
      </c>
      <c r="E23" s="21">
        <v>70.87</v>
      </c>
      <c r="G23" s="5">
        <v>45341</v>
      </c>
      <c r="H23" s="4">
        <v>45.55</v>
      </c>
      <c r="J23" s="24">
        <v>45370</v>
      </c>
      <c r="K23">
        <v>65</v>
      </c>
      <c r="M23" s="24">
        <v>45401</v>
      </c>
      <c r="N23" s="4">
        <v>15.18</v>
      </c>
      <c r="P23" s="5">
        <v>45431</v>
      </c>
      <c r="Q23" s="4">
        <v>26.6</v>
      </c>
    </row>
    <row r="24" spans="1:17" x14ac:dyDescent="0.2">
      <c r="A24" s="5">
        <v>45434</v>
      </c>
      <c r="B24" s="4">
        <v>44.76</v>
      </c>
      <c r="D24" s="24">
        <v>45311</v>
      </c>
      <c r="E24" s="21">
        <v>80.53</v>
      </c>
      <c r="G24" s="5">
        <v>45342</v>
      </c>
      <c r="H24" s="4">
        <v>52.86</v>
      </c>
      <c r="J24" s="24">
        <v>45371</v>
      </c>
      <c r="K24">
        <v>56.94</v>
      </c>
      <c r="M24" s="24">
        <v>45402</v>
      </c>
      <c r="N24" s="4">
        <v>5.66</v>
      </c>
      <c r="P24" s="5">
        <v>45432</v>
      </c>
      <c r="Q24" s="4">
        <v>32.72</v>
      </c>
    </row>
    <row r="25" spans="1:17" x14ac:dyDescent="0.2">
      <c r="A25" s="5">
        <v>45433</v>
      </c>
      <c r="B25" s="4">
        <v>46.09</v>
      </c>
      <c r="D25" s="24">
        <v>45312</v>
      </c>
      <c r="E25" s="21">
        <v>64.400000000000006</v>
      </c>
      <c r="G25" s="5">
        <v>45343</v>
      </c>
      <c r="H25" s="4">
        <v>45.3</v>
      </c>
      <c r="J25" s="24">
        <v>45372</v>
      </c>
      <c r="K25">
        <v>35.9</v>
      </c>
      <c r="M25" s="24">
        <v>45403</v>
      </c>
      <c r="N25" s="4">
        <v>2.17</v>
      </c>
      <c r="P25" s="5">
        <v>45433</v>
      </c>
      <c r="Q25" s="4">
        <v>46.09</v>
      </c>
    </row>
    <row r="26" spans="1:17" x14ac:dyDescent="0.2">
      <c r="A26" s="5">
        <v>45432</v>
      </c>
      <c r="B26" s="4">
        <v>32.72</v>
      </c>
      <c r="D26" s="24">
        <v>45313</v>
      </c>
      <c r="E26" s="21">
        <v>67.92</v>
      </c>
      <c r="G26" s="5">
        <v>45344</v>
      </c>
      <c r="H26" s="4">
        <v>10.71</v>
      </c>
      <c r="J26" s="24">
        <v>45373</v>
      </c>
      <c r="K26">
        <v>22.4</v>
      </c>
      <c r="M26" s="24">
        <v>45404</v>
      </c>
      <c r="N26" s="4">
        <v>1.9</v>
      </c>
      <c r="P26" s="5">
        <v>45434</v>
      </c>
      <c r="Q26" s="4">
        <v>44.76</v>
      </c>
    </row>
    <row r="27" spans="1:17" x14ac:dyDescent="0.2">
      <c r="A27" s="5">
        <v>45431</v>
      </c>
      <c r="B27" s="4">
        <v>26.6</v>
      </c>
      <c r="D27" s="24">
        <v>45314</v>
      </c>
      <c r="E27" s="21">
        <v>78.02</v>
      </c>
      <c r="G27" s="5">
        <v>45345</v>
      </c>
      <c r="H27" s="4">
        <v>6.72</v>
      </c>
      <c r="J27" s="24">
        <v>45374</v>
      </c>
      <c r="K27">
        <v>2.0099999999999998</v>
      </c>
      <c r="M27" s="24">
        <v>45405</v>
      </c>
      <c r="N27" s="4">
        <v>5.84</v>
      </c>
      <c r="P27" s="5">
        <v>45435</v>
      </c>
      <c r="Q27" s="4">
        <v>60.45</v>
      </c>
    </row>
    <row r="28" spans="1:17" x14ac:dyDescent="0.2">
      <c r="A28" s="5">
        <v>45430</v>
      </c>
      <c r="B28" s="4">
        <v>32.99</v>
      </c>
      <c r="D28" s="24">
        <v>45315</v>
      </c>
      <c r="E28" s="21">
        <v>83.42</v>
      </c>
      <c r="G28" s="5">
        <v>45346</v>
      </c>
      <c r="H28" s="4">
        <v>6.94</v>
      </c>
      <c r="J28" s="24">
        <v>45375</v>
      </c>
      <c r="K28">
        <v>6.69</v>
      </c>
      <c r="M28" s="24">
        <v>45406</v>
      </c>
      <c r="N28" s="4">
        <v>18.57</v>
      </c>
      <c r="P28" s="5">
        <v>45436</v>
      </c>
      <c r="Q28" s="4">
        <v>71.67</v>
      </c>
    </row>
    <row r="29" spans="1:17" x14ac:dyDescent="0.2">
      <c r="A29" s="5">
        <v>45429</v>
      </c>
      <c r="B29" s="4">
        <v>53.42</v>
      </c>
      <c r="D29" s="24">
        <v>45316</v>
      </c>
      <c r="E29" s="21">
        <v>76.8</v>
      </c>
      <c r="G29" s="5">
        <v>45347</v>
      </c>
      <c r="H29" s="4">
        <v>3.06</v>
      </c>
      <c r="J29" s="24">
        <v>45376</v>
      </c>
      <c r="K29">
        <v>23.75</v>
      </c>
      <c r="M29" s="24">
        <v>45407</v>
      </c>
      <c r="N29" s="4">
        <v>41.44</v>
      </c>
      <c r="P29" s="5">
        <v>45437</v>
      </c>
      <c r="Q29" s="4">
        <v>43.71</v>
      </c>
    </row>
    <row r="30" spans="1:17" x14ac:dyDescent="0.2">
      <c r="A30" s="5">
        <v>45428</v>
      </c>
      <c r="B30" s="4">
        <v>32.35</v>
      </c>
      <c r="D30" s="24">
        <v>45317</v>
      </c>
      <c r="E30" s="21">
        <v>72.56</v>
      </c>
      <c r="G30" s="5">
        <v>45348</v>
      </c>
      <c r="H30" s="4">
        <v>3.82</v>
      </c>
      <c r="J30" s="24">
        <v>45377</v>
      </c>
      <c r="K30">
        <v>2.36</v>
      </c>
      <c r="M30" s="24">
        <v>45408</v>
      </c>
      <c r="N30" s="4">
        <v>57.49</v>
      </c>
      <c r="P30" s="5">
        <v>45438</v>
      </c>
      <c r="Q30" s="4">
        <v>25.42</v>
      </c>
    </row>
    <row r="31" spans="1:17" x14ac:dyDescent="0.2">
      <c r="A31" s="5">
        <v>45427</v>
      </c>
      <c r="B31" s="4">
        <v>14.21</v>
      </c>
      <c r="D31" s="24">
        <v>45318</v>
      </c>
      <c r="E31" s="21">
        <v>66.06</v>
      </c>
      <c r="G31" s="5">
        <v>45349</v>
      </c>
      <c r="H31" s="4">
        <v>3.66</v>
      </c>
      <c r="J31" s="24">
        <v>45378</v>
      </c>
      <c r="K31">
        <v>0.76</v>
      </c>
      <c r="M31" s="24">
        <v>45409</v>
      </c>
      <c r="N31" s="4">
        <v>25.02</v>
      </c>
      <c r="P31" s="5">
        <v>45439</v>
      </c>
      <c r="Q31" s="4">
        <v>30.84</v>
      </c>
    </row>
    <row r="32" spans="1:17" x14ac:dyDescent="0.2">
      <c r="A32" s="5">
        <v>45426</v>
      </c>
      <c r="B32" s="28">
        <v>8.14</v>
      </c>
      <c r="D32" s="24">
        <v>45319</v>
      </c>
      <c r="E32" s="21">
        <v>52.14</v>
      </c>
      <c r="G32" s="5">
        <v>45350</v>
      </c>
      <c r="H32" s="4">
        <v>9.35</v>
      </c>
      <c r="J32" s="24">
        <v>45379</v>
      </c>
      <c r="K32">
        <v>0.66</v>
      </c>
      <c r="M32" s="24">
        <v>45410</v>
      </c>
      <c r="N32" s="4">
        <v>28.72</v>
      </c>
      <c r="P32" s="5">
        <v>45440</v>
      </c>
      <c r="Q32" s="4">
        <v>27.47</v>
      </c>
    </row>
    <row r="33" spans="1:17" x14ac:dyDescent="0.2">
      <c r="A33" s="5">
        <v>45425</v>
      </c>
      <c r="B33" s="4">
        <v>23.34</v>
      </c>
      <c r="D33" s="24">
        <v>45320</v>
      </c>
      <c r="E33" s="21">
        <v>77.97</v>
      </c>
      <c r="G33" s="5">
        <v>45351</v>
      </c>
      <c r="H33" s="4">
        <v>4.8</v>
      </c>
      <c r="J33" s="24">
        <v>45380</v>
      </c>
      <c r="K33">
        <v>4.05</v>
      </c>
      <c r="M33" s="24">
        <v>45411</v>
      </c>
      <c r="N33" s="4">
        <v>58.27</v>
      </c>
      <c r="P33" s="5">
        <v>45441</v>
      </c>
      <c r="Q33" s="4">
        <v>38.86</v>
      </c>
    </row>
    <row r="34" spans="1:17" x14ac:dyDescent="0.2">
      <c r="A34" s="5">
        <v>45424</v>
      </c>
      <c r="B34" s="4">
        <v>21.53</v>
      </c>
      <c r="D34" s="24">
        <v>45321</v>
      </c>
      <c r="E34" s="21">
        <v>81.28</v>
      </c>
      <c r="G34" s="4"/>
      <c r="J34" s="24">
        <v>45381</v>
      </c>
      <c r="K34">
        <v>4.5199999999999996</v>
      </c>
      <c r="M34" s="24">
        <v>45412</v>
      </c>
      <c r="N34" s="4">
        <v>53.44</v>
      </c>
      <c r="P34" s="5">
        <v>45442</v>
      </c>
      <c r="Q34" s="4">
        <v>24.37</v>
      </c>
    </row>
    <row r="35" spans="1:17" x14ac:dyDescent="0.2">
      <c r="A35" s="5">
        <v>45423</v>
      </c>
      <c r="B35" s="4">
        <v>20.59</v>
      </c>
      <c r="D35" s="24">
        <v>45322</v>
      </c>
      <c r="E35" s="21">
        <v>84.26</v>
      </c>
      <c r="G35" s="4"/>
      <c r="J35" s="51">
        <v>45382</v>
      </c>
      <c r="K35" s="47">
        <v>0.83</v>
      </c>
      <c r="P35" s="5">
        <v>45443</v>
      </c>
      <c r="Q35" s="4">
        <v>2.69</v>
      </c>
    </row>
    <row r="36" spans="1:17" x14ac:dyDescent="0.2">
      <c r="A36" s="5">
        <v>45422</v>
      </c>
      <c r="B36" s="4">
        <v>28.95</v>
      </c>
      <c r="F36" s="21"/>
      <c r="G36" s="4"/>
      <c r="J36"/>
    </row>
    <row r="37" spans="1:17" x14ac:dyDescent="0.2">
      <c r="A37" s="5">
        <v>45421</v>
      </c>
      <c r="B37" s="4">
        <v>33.54</v>
      </c>
      <c r="G37" s="4"/>
      <c r="J37"/>
    </row>
    <row r="38" spans="1:17" x14ac:dyDescent="0.2">
      <c r="A38" s="5">
        <v>45420</v>
      </c>
      <c r="B38" s="4">
        <v>21.24</v>
      </c>
      <c r="G38" s="4"/>
      <c r="J38"/>
    </row>
    <row r="39" spans="1:17" x14ac:dyDescent="0.2">
      <c r="A39" s="5">
        <v>45419</v>
      </c>
      <c r="B39" s="4">
        <v>42.04</v>
      </c>
      <c r="G39" s="4"/>
      <c r="J39"/>
    </row>
    <row r="40" spans="1:17" x14ac:dyDescent="0.2">
      <c r="A40" s="5">
        <v>45418</v>
      </c>
      <c r="B40" s="4">
        <v>47.8</v>
      </c>
      <c r="G40" s="4"/>
      <c r="J40"/>
    </row>
    <row r="41" spans="1:17" x14ac:dyDescent="0.2">
      <c r="A41" s="5">
        <v>45417</v>
      </c>
      <c r="B41" s="4">
        <v>17.53</v>
      </c>
      <c r="G41" s="4"/>
      <c r="J41"/>
    </row>
    <row r="42" spans="1:17" x14ac:dyDescent="0.2">
      <c r="A42" s="5">
        <v>45416</v>
      </c>
      <c r="B42" s="4">
        <v>14.8</v>
      </c>
      <c r="G42" s="4"/>
      <c r="J42"/>
    </row>
    <row r="43" spans="1:17" x14ac:dyDescent="0.2">
      <c r="A43" s="5">
        <v>45415</v>
      </c>
      <c r="B43" s="4">
        <v>26.11</v>
      </c>
      <c r="G43" s="4"/>
      <c r="J43"/>
    </row>
    <row r="44" spans="1:17" x14ac:dyDescent="0.2">
      <c r="A44" s="5">
        <v>45414</v>
      </c>
      <c r="B44" s="4">
        <v>15.6</v>
      </c>
      <c r="G44" s="4"/>
      <c r="J44"/>
    </row>
    <row r="45" spans="1:17" x14ac:dyDescent="0.2">
      <c r="A45" s="5">
        <v>45413</v>
      </c>
      <c r="B45" s="4">
        <v>12.53</v>
      </c>
      <c r="G45" s="4"/>
      <c r="J45"/>
    </row>
    <row r="46" spans="1:17" x14ac:dyDescent="0.2">
      <c r="A46" s="5">
        <v>45412</v>
      </c>
      <c r="B46" s="4">
        <v>53.44</v>
      </c>
      <c r="G46" s="4"/>
      <c r="J46"/>
    </row>
    <row r="47" spans="1:17" x14ac:dyDescent="0.2">
      <c r="A47" s="5">
        <v>45411</v>
      </c>
      <c r="B47" s="4">
        <v>58.27</v>
      </c>
      <c r="G47" s="4"/>
      <c r="J47"/>
    </row>
    <row r="48" spans="1:17" x14ac:dyDescent="0.2">
      <c r="A48" s="5">
        <v>45410</v>
      </c>
      <c r="B48" s="4">
        <v>28.72</v>
      </c>
      <c r="G48" s="4"/>
      <c r="J48"/>
    </row>
    <row r="49" spans="1:10" x14ac:dyDescent="0.2">
      <c r="A49" s="5">
        <v>45409</v>
      </c>
      <c r="B49" s="4">
        <v>25.02</v>
      </c>
      <c r="G49" s="4"/>
      <c r="J49"/>
    </row>
    <row r="50" spans="1:10" x14ac:dyDescent="0.2">
      <c r="A50" s="5">
        <v>45408</v>
      </c>
      <c r="B50" s="4">
        <v>57.49</v>
      </c>
      <c r="G50" s="4"/>
      <c r="J50"/>
    </row>
    <row r="51" spans="1:10" x14ac:dyDescent="0.2">
      <c r="A51" s="5">
        <v>45407</v>
      </c>
      <c r="B51" s="4">
        <v>41.44</v>
      </c>
      <c r="G51" s="4"/>
      <c r="J51"/>
    </row>
    <row r="52" spans="1:10" x14ac:dyDescent="0.2">
      <c r="A52" s="5">
        <v>45406</v>
      </c>
      <c r="B52" s="4">
        <v>18.57</v>
      </c>
      <c r="G52" s="4"/>
      <c r="J52"/>
    </row>
    <row r="53" spans="1:10" x14ac:dyDescent="0.2">
      <c r="A53" s="5">
        <v>45405</v>
      </c>
      <c r="B53" s="4">
        <v>5.84</v>
      </c>
      <c r="G53" s="4"/>
      <c r="J53"/>
    </row>
    <row r="54" spans="1:10" x14ac:dyDescent="0.2">
      <c r="A54" s="5">
        <v>45404</v>
      </c>
      <c r="B54" s="4">
        <v>1.9</v>
      </c>
      <c r="G54" s="4"/>
      <c r="J54"/>
    </row>
    <row r="55" spans="1:10" x14ac:dyDescent="0.2">
      <c r="A55" s="5">
        <v>45403</v>
      </c>
      <c r="B55" s="4">
        <v>2.17</v>
      </c>
      <c r="G55" s="4"/>
      <c r="J55"/>
    </row>
    <row r="56" spans="1:10" x14ac:dyDescent="0.2">
      <c r="A56" s="5">
        <v>45402</v>
      </c>
      <c r="B56" s="4">
        <v>5.66</v>
      </c>
      <c r="G56" s="4"/>
      <c r="J56"/>
    </row>
    <row r="57" spans="1:10" x14ac:dyDescent="0.2">
      <c r="A57" s="5">
        <v>45401</v>
      </c>
      <c r="B57" s="4">
        <v>15.18</v>
      </c>
      <c r="G57" s="4"/>
      <c r="J57"/>
    </row>
    <row r="58" spans="1:10" x14ac:dyDescent="0.2">
      <c r="A58" s="5">
        <v>45400</v>
      </c>
      <c r="B58" s="4">
        <v>4.54</v>
      </c>
      <c r="G58" s="4"/>
      <c r="J58"/>
    </row>
    <row r="59" spans="1:10" x14ac:dyDescent="0.2">
      <c r="A59" s="5">
        <v>45399</v>
      </c>
      <c r="B59" s="4">
        <v>3.26</v>
      </c>
      <c r="G59" s="4"/>
      <c r="J59"/>
    </row>
    <row r="60" spans="1:10" x14ac:dyDescent="0.2">
      <c r="A60" s="5">
        <v>45398</v>
      </c>
      <c r="B60" s="4">
        <v>1.37</v>
      </c>
      <c r="G60" s="4"/>
      <c r="J60"/>
    </row>
    <row r="61" spans="1:10" x14ac:dyDescent="0.2">
      <c r="A61" s="5">
        <v>45397</v>
      </c>
      <c r="B61" s="4">
        <v>3.48</v>
      </c>
      <c r="G61" s="4"/>
      <c r="J61"/>
    </row>
    <row r="62" spans="1:10" x14ac:dyDescent="0.2">
      <c r="A62" s="5">
        <v>45396</v>
      </c>
      <c r="B62" s="4">
        <v>5.6</v>
      </c>
      <c r="G62" s="4"/>
      <c r="J62"/>
    </row>
    <row r="63" spans="1:10" x14ac:dyDescent="0.2">
      <c r="A63" s="5">
        <v>45395</v>
      </c>
      <c r="B63" s="4">
        <v>9.17</v>
      </c>
      <c r="G63" s="4"/>
      <c r="J63"/>
    </row>
    <row r="64" spans="1:10" x14ac:dyDescent="0.2">
      <c r="A64" s="5">
        <v>45394</v>
      </c>
      <c r="B64" s="4">
        <v>19.940000000000001</v>
      </c>
      <c r="J64"/>
    </row>
    <row r="65" spans="1:2" x14ac:dyDescent="0.2">
      <c r="A65" s="5">
        <v>45393</v>
      </c>
      <c r="B65" s="4">
        <v>12.03</v>
      </c>
    </row>
    <row r="66" spans="1:2" x14ac:dyDescent="0.2">
      <c r="A66" s="5">
        <v>45392</v>
      </c>
      <c r="B66" s="4">
        <v>4.3099999999999996</v>
      </c>
    </row>
    <row r="67" spans="1:2" x14ac:dyDescent="0.2">
      <c r="A67" s="5">
        <v>45391</v>
      </c>
      <c r="B67" s="4">
        <v>1.29</v>
      </c>
    </row>
    <row r="68" spans="1:2" x14ac:dyDescent="0.2">
      <c r="A68" s="5">
        <v>45390</v>
      </c>
      <c r="B68" s="4">
        <v>0.52</v>
      </c>
    </row>
    <row r="69" spans="1:2" x14ac:dyDescent="0.2">
      <c r="A69" s="5">
        <v>45389</v>
      </c>
      <c r="B69" s="4">
        <v>4.05</v>
      </c>
    </row>
    <row r="70" spans="1:2" x14ac:dyDescent="0.2">
      <c r="A70" s="5">
        <v>45388</v>
      </c>
      <c r="B70" s="4">
        <v>0.74</v>
      </c>
    </row>
    <row r="71" spans="1:2" x14ac:dyDescent="0.2">
      <c r="A71" s="5">
        <v>45387</v>
      </c>
      <c r="B71" s="4">
        <v>0.44</v>
      </c>
    </row>
    <row r="72" spans="1:2" x14ac:dyDescent="0.2">
      <c r="A72" s="5">
        <v>45386</v>
      </c>
      <c r="B72" s="4">
        <v>4</v>
      </c>
    </row>
    <row r="73" spans="1:2" x14ac:dyDescent="0.2">
      <c r="A73" s="5">
        <v>45385</v>
      </c>
      <c r="B73" s="4">
        <v>9.0299999999999994</v>
      </c>
    </row>
    <row r="74" spans="1:2" x14ac:dyDescent="0.2">
      <c r="A74" s="5">
        <v>45384</v>
      </c>
      <c r="B74" s="4">
        <v>9.85</v>
      </c>
    </row>
    <row r="75" spans="1:2" x14ac:dyDescent="0.2">
      <c r="A75" s="5">
        <v>45383</v>
      </c>
      <c r="B75" s="4">
        <v>2.76</v>
      </c>
    </row>
    <row r="76" spans="1:2" x14ac:dyDescent="0.2">
      <c r="A76" s="5">
        <v>45382</v>
      </c>
      <c r="B76" s="4">
        <v>0.83</v>
      </c>
    </row>
    <row r="77" spans="1:2" x14ac:dyDescent="0.2">
      <c r="A77" s="5">
        <v>45381</v>
      </c>
      <c r="B77" s="4">
        <v>4.5199999999999996</v>
      </c>
    </row>
    <row r="78" spans="1:2" x14ac:dyDescent="0.2">
      <c r="A78" s="5">
        <v>45380</v>
      </c>
      <c r="B78" s="4">
        <v>4.05</v>
      </c>
    </row>
    <row r="79" spans="1:2" x14ac:dyDescent="0.2">
      <c r="A79" s="5">
        <v>45379</v>
      </c>
      <c r="B79" s="4">
        <v>0.66</v>
      </c>
    </row>
    <row r="80" spans="1:2" x14ac:dyDescent="0.2">
      <c r="A80" s="5">
        <v>45378</v>
      </c>
      <c r="B80" s="4">
        <v>0.76</v>
      </c>
    </row>
    <row r="81" spans="1:2" x14ac:dyDescent="0.2">
      <c r="A81" s="5">
        <v>45377</v>
      </c>
      <c r="B81" s="4">
        <v>2.36</v>
      </c>
    </row>
    <row r="82" spans="1:2" x14ac:dyDescent="0.2">
      <c r="A82" s="5">
        <v>45376</v>
      </c>
      <c r="B82" s="4">
        <v>23.75</v>
      </c>
    </row>
    <row r="83" spans="1:2" x14ac:dyDescent="0.2">
      <c r="A83" s="5">
        <v>45375</v>
      </c>
      <c r="B83" s="4">
        <v>6.69</v>
      </c>
    </row>
    <row r="84" spans="1:2" x14ac:dyDescent="0.2">
      <c r="A84" s="5">
        <v>45374</v>
      </c>
      <c r="B84" s="4">
        <v>2.0099999999999998</v>
      </c>
    </row>
    <row r="85" spans="1:2" x14ac:dyDescent="0.2">
      <c r="A85" s="5">
        <v>45373</v>
      </c>
      <c r="B85" s="4">
        <v>22.4</v>
      </c>
    </row>
    <row r="86" spans="1:2" x14ac:dyDescent="0.2">
      <c r="A86" s="5">
        <v>45372</v>
      </c>
      <c r="B86" s="4">
        <v>35.9</v>
      </c>
    </row>
    <row r="87" spans="1:2" x14ac:dyDescent="0.2">
      <c r="A87" s="5">
        <v>45371</v>
      </c>
      <c r="B87" s="4">
        <v>56.94</v>
      </c>
    </row>
    <row r="88" spans="1:2" x14ac:dyDescent="0.2">
      <c r="A88" s="5">
        <v>45370</v>
      </c>
      <c r="B88" s="4">
        <v>65</v>
      </c>
    </row>
    <row r="89" spans="1:2" x14ac:dyDescent="0.2">
      <c r="A89" s="5">
        <v>45369</v>
      </c>
      <c r="B89" s="4">
        <v>61.34</v>
      </c>
    </row>
    <row r="90" spans="1:2" x14ac:dyDescent="0.2">
      <c r="A90" s="5">
        <v>45368</v>
      </c>
      <c r="B90" s="4">
        <v>28.05</v>
      </c>
    </row>
    <row r="91" spans="1:2" x14ac:dyDescent="0.2">
      <c r="A91" s="5">
        <v>45367</v>
      </c>
      <c r="B91" s="4">
        <v>31.61</v>
      </c>
    </row>
    <row r="92" spans="1:2" x14ac:dyDescent="0.2">
      <c r="A92" s="5">
        <v>45366</v>
      </c>
      <c r="B92" s="4">
        <v>37.729999999999997</v>
      </c>
    </row>
    <row r="93" spans="1:2" x14ac:dyDescent="0.2">
      <c r="A93" s="5">
        <v>45365</v>
      </c>
      <c r="B93" s="4">
        <v>35.99</v>
      </c>
    </row>
    <row r="94" spans="1:2" x14ac:dyDescent="0.2">
      <c r="A94" s="5">
        <v>45364</v>
      </c>
      <c r="B94" s="4">
        <v>42.36</v>
      </c>
    </row>
    <row r="95" spans="1:2" x14ac:dyDescent="0.2">
      <c r="A95" s="5">
        <v>45363</v>
      </c>
      <c r="B95" s="4">
        <v>42.28</v>
      </c>
    </row>
    <row r="96" spans="1:2" x14ac:dyDescent="0.2">
      <c r="A96" s="5">
        <v>45362</v>
      </c>
      <c r="B96" s="4">
        <v>14.63</v>
      </c>
    </row>
    <row r="97" spans="1:2" x14ac:dyDescent="0.2">
      <c r="A97" s="5">
        <v>45361</v>
      </c>
      <c r="B97" s="4">
        <v>0.54</v>
      </c>
    </row>
    <row r="98" spans="1:2" x14ac:dyDescent="0.2">
      <c r="A98">
        <v>45360</v>
      </c>
      <c r="B98">
        <v>0.59</v>
      </c>
    </row>
    <row r="99" spans="1:2" x14ac:dyDescent="0.2">
      <c r="A99">
        <v>45359</v>
      </c>
      <c r="B99">
        <v>1.67</v>
      </c>
    </row>
    <row r="100" spans="1:2" x14ac:dyDescent="0.2">
      <c r="A100">
        <v>45358</v>
      </c>
      <c r="B100">
        <v>8.52</v>
      </c>
    </row>
    <row r="101" spans="1:2" x14ac:dyDescent="0.2">
      <c r="A101">
        <v>45357</v>
      </c>
      <c r="B101">
        <v>45.97</v>
      </c>
    </row>
    <row r="102" spans="1:2" x14ac:dyDescent="0.2">
      <c r="A102">
        <v>45356</v>
      </c>
      <c r="B102">
        <v>33.450000000000003</v>
      </c>
    </row>
    <row r="103" spans="1:2" x14ac:dyDescent="0.2">
      <c r="A103">
        <v>45355</v>
      </c>
      <c r="B103">
        <v>7.95</v>
      </c>
    </row>
    <row r="104" spans="1:2" x14ac:dyDescent="0.2">
      <c r="A104">
        <v>45354</v>
      </c>
      <c r="B104">
        <v>3.79</v>
      </c>
    </row>
    <row r="105" spans="1:2" x14ac:dyDescent="0.2">
      <c r="A105">
        <v>45353</v>
      </c>
      <c r="B105">
        <v>4.16</v>
      </c>
    </row>
    <row r="106" spans="1:2" x14ac:dyDescent="0.2">
      <c r="A106">
        <v>45352</v>
      </c>
      <c r="B106">
        <v>2.14</v>
      </c>
    </row>
    <row r="107" spans="1:2" x14ac:dyDescent="0.2">
      <c r="A107">
        <v>45351</v>
      </c>
      <c r="B107">
        <v>4.8</v>
      </c>
    </row>
    <row r="108" spans="1:2" x14ac:dyDescent="0.2">
      <c r="A108">
        <v>45350</v>
      </c>
      <c r="B108">
        <v>9.35</v>
      </c>
    </row>
    <row r="109" spans="1:2" x14ac:dyDescent="0.2">
      <c r="A109">
        <v>45349</v>
      </c>
      <c r="B109">
        <v>3.66</v>
      </c>
    </row>
    <row r="110" spans="1:2" x14ac:dyDescent="0.2">
      <c r="A110">
        <v>45348</v>
      </c>
      <c r="B110">
        <v>3.82</v>
      </c>
    </row>
    <row r="111" spans="1:2" x14ac:dyDescent="0.2">
      <c r="A111">
        <v>45347</v>
      </c>
      <c r="B111">
        <v>3.06</v>
      </c>
    </row>
    <row r="112" spans="1:2" x14ac:dyDescent="0.2">
      <c r="A112">
        <v>45346</v>
      </c>
      <c r="B112">
        <v>6.94</v>
      </c>
    </row>
    <row r="113" spans="1:2" x14ac:dyDescent="0.2">
      <c r="A113">
        <v>45345</v>
      </c>
      <c r="B113">
        <v>6.72</v>
      </c>
    </row>
    <row r="114" spans="1:2" x14ac:dyDescent="0.2">
      <c r="A114">
        <v>45344</v>
      </c>
      <c r="B114">
        <v>10.71</v>
      </c>
    </row>
    <row r="115" spans="1:2" x14ac:dyDescent="0.2">
      <c r="A115">
        <v>45343</v>
      </c>
      <c r="B115">
        <v>45.3</v>
      </c>
    </row>
    <row r="116" spans="1:2" x14ac:dyDescent="0.2">
      <c r="A116">
        <v>45342</v>
      </c>
      <c r="B116">
        <v>52.86</v>
      </c>
    </row>
    <row r="117" spans="1:2" x14ac:dyDescent="0.2">
      <c r="A117">
        <v>45341</v>
      </c>
      <c r="B117">
        <v>45.55</v>
      </c>
    </row>
    <row r="118" spans="1:2" x14ac:dyDescent="0.2">
      <c r="A118">
        <v>45340</v>
      </c>
      <c r="B118">
        <v>47.04</v>
      </c>
    </row>
    <row r="119" spans="1:2" x14ac:dyDescent="0.2">
      <c r="A119">
        <v>45339</v>
      </c>
      <c r="B119">
        <v>48.69</v>
      </c>
    </row>
    <row r="120" spans="1:2" x14ac:dyDescent="0.2">
      <c r="A120">
        <v>45338</v>
      </c>
      <c r="B120">
        <v>54.24</v>
      </c>
    </row>
    <row r="121" spans="1:2" x14ac:dyDescent="0.2">
      <c r="A121">
        <v>45337</v>
      </c>
      <c r="B121">
        <v>51.22</v>
      </c>
    </row>
    <row r="122" spans="1:2" x14ac:dyDescent="0.2">
      <c r="A122">
        <v>45336</v>
      </c>
      <c r="B122">
        <v>59.57</v>
      </c>
    </row>
    <row r="123" spans="1:2" x14ac:dyDescent="0.2">
      <c r="A123">
        <v>45335</v>
      </c>
      <c r="B123">
        <v>62.72</v>
      </c>
    </row>
    <row r="124" spans="1:2" x14ac:dyDescent="0.2">
      <c r="A124">
        <v>45334</v>
      </c>
      <c r="B124">
        <v>45.85</v>
      </c>
    </row>
    <row r="125" spans="1:2" x14ac:dyDescent="0.2">
      <c r="A125">
        <v>45333</v>
      </c>
      <c r="B125">
        <v>44.83</v>
      </c>
    </row>
    <row r="126" spans="1:2" x14ac:dyDescent="0.2">
      <c r="A126">
        <v>45332</v>
      </c>
      <c r="B126">
        <v>9.4700000000000006</v>
      </c>
    </row>
    <row r="127" spans="1:2" x14ac:dyDescent="0.2">
      <c r="A127">
        <v>45331</v>
      </c>
      <c r="B127">
        <v>40.18</v>
      </c>
    </row>
    <row r="128" spans="1:2" x14ac:dyDescent="0.2">
      <c r="A128">
        <v>45330</v>
      </c>
      <c r="B128">
        <v>38.67</v>
      </c>
    </row>
    <row r="129" spans="1:2" x14ac:dyDescent="0.2">
      <c r="A129">
        <v>45329</v>
      </c>
      <c r="B129">
        <v>50.11</v>
      </c>
    </row>
    <row r="130" spans="1:2" x14ac:dyDescent="0.2">
      <c r="A130">
        <v>45328</v>
      </c>
      <c r="B130">
        <v>74.03</v>
      </c>
    </row>
    <row r="131" spans="1:2" x14ac:dyDescent="0.2">
      <c r="A131">
        <v>45327</v>
      </c>
      <c r="B131">
        <v>80.92</v>
      </c>
    </row>
    <row r="132" spans="1:2" x14ac:dyDescent="0.2">
      <c r="A132">
        <v>45326</v>
      </c>
      <c r="B132">
        <v>63.1</v>
      </c>
    </row>
    <row r="133" spans="1:2" x14ac:dyDescent="0.2">
      <c r="A133">
        <v>45325</v>
      </c>
      <c r="B133">
        <v>60.32</v>
      </c>
    </row>
    <row r="134" spans="1:2" x14ac:dyDescent="0.2">
      <c r="A134">
        <v>45324</v>
      </c>
      <c r="B134">
        <v>65.319999999999993</v>
      </c>
    </row>
    <row r="135" spans="1:2" x14ac:dyDescent="0.2">
      <c r="A135">
        <v>45323</v>
      </c>
      <c r="B135">
        <v>70.95</v>
      </c>
    </row>
    <row r="136" spans="1:2" x14ac:dyDescent="0.2">
      <c r="A136">
        <v>45322</v>
      </c>
      <c r="B136">
        <v>84.26</v>
      </c>
    </row>
    <row r="137" spans="1:2" x14ac:dyDescent="0.2">
      <c r="A137">
        <v>45321</v>
      </c>
      <c r="B137">
        <v>81.28</v>
      </c>
    </row>
    <row r="138" spans="1:2" x14ac:dyDescent="0.2">
      <c r="A138">
        <v>45320</v>
      </c>
      <c r="B138">
        <v>77.97</v>
      </c>
    </row>
    <row r="139" spans="1:2" x14ac:dyDescent="0.2">
      <c r="A139">
        <v>45319</v>
      </c>
      <c r="B139">
        <v>52.14</v>
      </c>
    </row>
    <row r="140" spans="1:2" x14ac:dyDescent="0.2">
      <c r="A140">
        <v>45318</v>
      </c>
      <c r="B140">
        <v>66.06</v>
      </c>
    </row>
    <row r="141" spans="1:2" x14ac:dyDescent="0.2">
      <c r="A141">
        <v>45317</v>
      </c>
      <c r="B141">
        <v>72.56</v>
      </c>
    </row>
    <row r="142" spans="1:2" x14ac:dyDescent="0.2">
      <c r="A142">
        <v>45316</v>
      </c>
      <c r="B142">
        <v>76.8</v>
      </c>
    </row>
    <row r="143" spans="1:2" x14ac:dyDescent="0.2">
      <c r="A143">
        <v>45315</v>
      </c>
      <c r="B143">
        <v>83.42</v>
      </c>
    </row>
    <row r="144" spans="1:2" x14ac:dyDescent="0.2">
      <c r="A144">
        <v>45314</v>
      </c>
      <c r="B144">
        <v>78.02</v>
      </c>
    </row>
    <row r="145" spans="1:2" x14ac:dyDescent="0.2">
      <c r="A145">
        <v>45313</v>
      </c>
      <c r="B145">
        <v>67.92</v>
      </c>
    </row>
    <row r="146" spans="1:2" x14ac:dyDescent="0.2">
      <c r="A146">
        <v>45312</v>
      </c>
      <c r="B146">
        <v>64.400000000000006</v>
      </c>
    </row>
    <row r="147" spans="1:2" x14ac:dyDescent="0.2">
      <c r="A147">
        <v>45311</v>
      </c>
      <c r="B147">
        <v>80.53</v>
      </c>
    </row>
    <row r="148" spans="1:2" x14ac:dyDescent="0.2">
      <c r="A148">
        <v>45310</v>
      </c>
      <c r="B148">
        <v>70.87</v>
      </c>
    </row>
    <row r="149" spans="1:2" x14ac:dyDescent="0.2">
      <c r="A149">
        <v>45309</v>
      </c>
      <c r="B149">
        <v>46.84</v>
      </c>
    </row>
    <row r="150" spans="1:2" x14ac:dyDescent="0.2">
      <c r="A150">
        <v>45308</v>
      </c>
      <c r="B150">
        <v>26.96</v>
      </c>
    </row>
    <row r="151" spans="1:2" x14ac:dyDescent="0.2">
      <c r="A151">
        <v>45307</v>
      </c>
      <c r="B151">
        <v>90.12</v>
      </c>
    </row>
    <row r="152" spans="1:2" x14ac:dyDescent="0.2">
      <c r="A152">
        <v>45306</v>
      </c>
      <c r="B152">
        <v>87.56</v>
      </c>
    </row>
    <row r="153" spans="1:2" x14ac:dyDescent="0.2">
      <c r="A153">
        <v>45305</v>
      </c>
      <c r="B153">
        <v>75.13</v>
      </c>
    </row>
    <row r="154" spans="1:2" x14ac:dyDescent="0.2">
      <c r="A154">
        <v>45304</v>
      </c>
      <c r="B154">
        <v>87.35</v>
      </c>
    </row>
    <row r="155" spans="1:2" x14ac:dyDescent="0.2">
      <c r="A155">
        <v>45303</v>
      </c>
      <c r="B155">
        <v>97.56</v>
      </c>
    </row>
    <row r="156" spans="1:2" x14ac:dyDescent="0.2">
      <c r="A156">
        <v>45302</v>
      </c>
      <c r="B156">
        <v>96.97</v>
      </c>
    </row>
    <row r="157" spans="1:2" x14ac:dyDescent="0.2">
      <c r="A157">
        <v>45301</v>
      </c>
      <c r="B157">
        <v>100.88</v>
      </c>
    </row>
    <row r="158" spans="1:2" x14ac:dyDescent="0.2">
      <c r="A158">
        <v>45300</v>
      </c>
      <c r="B158">
        <v>113.83</v>
      </c>
    </row>
    <row r="159" spans="1:2" x14ac:dyDescent="0.2">
      <c r="A159">
        <v>45299</v>
      </c>
      <c r="B159">
        <v>105.51</v>
      </c>
    </row>
    <row r="160" spans="1:2" x14ac:dyDescent="0.2">
      <c r="A160">
        <v>45298</v>
      </c>
      <c r="B160">
        <v>76</v>
      </c>
    </row>
    <row r="161" spans="1:2" x14ac:dyDescent="0.2">
      <c r="A161">
        <v>45297</v>
      </c>
      <c r="B161">
        <v>43.97</v>
      </c>
    </row>
    <row r="162" spans="1:2" x14ac:dyDescent="0.2">
      <c r="A162">
        <v>45296</v>
      </c>
      <c r="B162">
        <v>68.62</v>
      </c>
    </row>
    <row r="163" spans="1:2" x14ac:dyDescent="0.2">
      <c r="A163">
        <v>45295</v>
      </c>
      <c r="B163">
        <v>91.36</v>
      </c>
    </row>
    <row r="164" spans="1:2" x14ac:dyDescent="0.2">
      <c r="A164">
        <v>45294</v>
      </c>
      <c r="B164">
        <v>55.08</v>
      </c>
    </row>
    <row r="165" spans="1:2" x14ac:dyDescent="0.2">
      <c r="A165">
        <v>45293</v>
      </c>
      <c r="B165">
        <v>40.909999999999997</v>
      </c>
    </row>
    <row r="166" spans="1:2" x14ac:dyDescent="0.2">
      <c r="A166">
        <v>45292</v>
      </c>
      <c r="B166">
        <v>36.24</v>
      </c>
    </row>
  </sheetData>
  <sortState xmlns:xlrd2="http://schemas.microsoft.com/office/spreadsheetml/2017/richdata2" ref="E5:H38">
    <sortCondition ref="H4"/>
  </sortState>
  <mergeCells count="7">
    <mergeCell ref="S1:T2"/>
    <mergeCell ref="P1:Q2"/>
    <mergeCell ref="A1:B3"/>
    <mergeCell ref="D1:E2"/>
    <mergeCell ref="G1:H2"/>
    <mergeCell ref="J1:K2"/>
    <mergeCell ref="M1:N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ejecutar">
                <anchor moveWithCells="1" sizeWithCells="1">
                  <from>
                    <xdr:col>21</xdr:col>
                    <xdr:colOff>38100</xdr:colOff>
                    <xdr:row>10</xdr:row>
                    <xdr:rowOff>9525</xdr:rowOff>
                  </from>
                  <to>
                    <xdr:col>23</xdr:col>
                    <xdr:colOff>304800</xdr:colOff>
                    <xdr:row>13</xdr:row>
                    <xdr:rowOff>85725</xdr:rowOff>
                  </to>
                </anchor>
              </controlPr>
            </control>
          </mc:Choice>
        </mc:AlternateContent>
      </controls>
    </mc:Choice>
  </mc:AlternateContent>
  <tableParts count="7">
    <tablePart r:id="rId4"/>
    <tablePart r:id="rId5"/>
    <tablePart r:id="rId6"/>
    <tablePart r:id="rId7"/>
    <tablePart r:id="rId8"/>
    <tablePart r:id="rId9"/>
    <tablePart r:id="rId10"/>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DBB831-FED0-4A85-925E-9E49A17BB14B}">
  <sheetPr codeName="Hoja3">
    <tabColor rgb="FFC00000"/>
  </sheetPr>
  <dimension ref="A1:T42"/>
  <sheetViews>
    <sheetView showGridLines="0" zoomScale="130" zoomScaleNormal="130" workbookViewId="0">
      <selection activeCell="Q25" sqref="Q25"/>
    </sheetView>
  </sheetViews>
  <sheetFormatPr baseColWidth="10" defaultRowHeight="12" x14ac:dyDescent="0.2"/>
  <cols>
    <col min="1" max="1" width="11.5703125" customWidth="1"/>
    <col min="2" max="2" width="15" customWidth="1"/>
    <col min="3" max="3" width="11.140625" customWidth="1"/>
    <col min="4" max="4" width="24.85546875" customWidth="1"/>
    <col min="5" max="5" width="12.140625" customWidth="1"/>
    <col min="6" max="6" width="8.42578125" bestFit="1" customWidth="1"/>
    <col min="7" max="7" width="10.140625" bestFit="1" customWidth="1"/>
    <col min="8" max="8" width="9.85546875" bestFit="1" customWidth="1"/>
    <col min="9" max="9" width="2.5703125" customWidth="1"/>
    <col min="10" max="10" width="10.28515625" customWidth="1"/>
    <col min="11" max="11" width="26.140625" customWidth="1"/>
    <col min="15" max="15" width="7.7109375" style="4" bestFit="1" customWidth="1"/>
    <col min="16" max="16" width="10.85546875" bestFit="1" customWidth="1"/>
    <col min="19" max="19" width="12" customWidth="1"/>
    <col min="20" max="20" width="30.7109375" customWidth="1"/>
  </cols>
  <sheetData>
    <row r="1" spans="1:20" ht="12" customHeight="1" x14ac:dyDescent="0.2">
      <c r="A1" t="s">
        <v>228</v>
      </c>
      <c r="B1" s="23">
        <f>COUNTA(apuestas_ene24[Nombre])</f>
        <v>36</v>
      </c>
      <c r="G1" s="15" t="s">
        <v>236</v>
      </c>
      <c r="H1" s="23">
        <v>31</v>
      </c>
      <c r="I1" s="4"/>
      <c r="J1" s="103" t="s">
        <v>246</v>
      </c>
      <c r="K1" s="104"/>
      <c r="L1" s="107" t="s">
        <v>3</v>
      </c>
      <c r="M1" s="113" t="s">
        <v>235</v>
      </c>
      <c r="N1" s="114"/>
      <c r="O1" s="111" t="s">
        <v>4</v>
      </c>
      <c r="P1" s="112"/>
      <c r="Q1" s="99" t="s">
        <v>246</v>
      </c>
      <c r="R1" s="99"/>
      <c r="S1" s="100"/>
      <c r="T1" s="98"/>
    </row>
    <row r="2" spans="1:20" ht="12" customHeight="1" x14ac:dyDescent="0.2">
      <c r="A2" t="s">
        <v>3</v>
      </c>
      <c r="B2" s="23" t="str">
        <f>A7</f>
        <v>Ene 2024</v>
      </c>
      <c r="C2" t="s">
        <v>243</v>
      </c>
      <c r="G2" s="15" t="s">
        <v>253</v>
      </c>
      <c r="H2" s="24">
        <f ca="1">TODAY()</f>
        <v>45453</v>
      </c>
      <c r="I2" s="24"/>
      <c r="J2" s="105"/>
      <c r="K2" s="100"/>
      <c r="L2" s="108"/>
      <c r="M2" s="115"/>
      <c r="N2" s="116"/>
      <c r="O2" s="111"/>
      <c r="P2" s="112"/>
      <c r="Q2" s="99"/>
      <c r="R2" s="99"/>
      <c r="S2" s="100"/>
      <c r="T2" s="98"/>
    </row>
    <row r="3" spans="1:20" ht="12" customHeight="1" x14ac:dyDescent="0.2">
      <c r="A3" t="s">
        <v>229</v>
      </c>
      <c r="B3" s="23">
        <f ca="1">IF(C3="",ROUND(AVERAGE(omie!E5:OFFSET(omie!E5,MATCH(B4,omie_enero[fecha],0)-1,0)),2),C3)</f>
        <v>74.099999999999994</v>
      </c>
      <c r="C3" s="26"/>
      <c r="G3" s="97" t="s">
        <v>248</v>
      </c>
      <c r="H3" s="97"/>
      <c r="I3" s="4"/>
      <c r="J3" s="105"/>
      <c r="K3" s="100"/>
      <c r="L3" s="109" t="s">
        <v>13</v>
      </c>
      <c r="M3" s="117">
        <f>H1</f>
        <v>31</v>
      </c>
      <c r="N3" s="117"/>
      <c r="O3" s="110">
        <f ca="1">B3</f>
        <v>74.099999999999994</v>
      </c>
      <c r="P3" s="110"/>
      <c r="Q3" s="99"/>
      <c r="R3" s="99"/>
      <c r="S3" s="100"/>
      <c r="T3" s="98"/>
    </row>
    <row r="4" spans="1:20" ht="12" customHeight="1" x14ac:dyDescent="0.2">
      <c r="A4" t="s">
        <v>6</v>
      </c>
      <c r="B4" s="3">
        <f>DATE(2024,1,H1)</f>
        <v>45322</v>
      </c>
      <c r="G4" t="s">
        <v>247</v>
      </c>
      <c r="H4" s="30">
        <f>[1]omie_dinamic_dia!$G$2</f>
        <v>10</v>
      </c>
      <c r="I4" s="42"/>
      <c r="J4" s="105"/>
      <c r="K4" s="100"/>
      <c r="L4" s="109"/>
      <c r="M4" s="117"/>
      <c r="N4" s="117"/>
      <c r="O4" s="110"/>
      <c r="P4" s="110"/>
      <c r="Q4" s="99"/>
      <c r="R4" s="99"/>
      <c r="S4" s="100"/>
      <c r="T4" s="98"/>
    </row>
    <row r="5" spans="1:20" ht="12" customHeight="1" x14ac:dyDescent="0.2">
      <c r="A5" t="s">
        <v>15</v>
      </c>
      <c r="B5" s="3">
        <f>MAX(omie_enero[fecha])</f>
        <v>45322</v>
      </c>
      <c r="J5" s="106"/>
      <c r="K5" s="102"/>
      <c r="L5" s="109"/>
      <c r="M5" s="117"/>
      <c r="N5" s="117"/>
      <c r="O5" s="110"/>
      <c r="P5" s="110"/>
      <c r="Q5" s="101"/>
      <c r="R5" s="101"/>
      <c r="S5" s="102"/>
      <c r="T5" s="98"/>
    </row>
    <row r="6" spans="1:20" s="1" customFormat="1" ht="36.75" thickBot="1" x14ac:dyDescent="0.25">
      <c r="A6" s="1" t="s">
        <v>18</v>
      </c>
      <c r="B6" s="1" t="s">
        <v>233</v>
      </c>
      <c r="C6" s="1" t="s">
        <v>234</v>
      </c>
      <c r="D6" s="1" t="s">
        <v>20</v>
      </c>
      <c r="E6" s="1" t="s">
        <v>214</v>
      </c>
      <c r="F6" s="34" t="s">
        <v>230</v>
      </c>
      <c r="G6" s="34" t="s">
        <v>231</v>
      </c>
      <c r="H6" s="34" t="s">
        <v>232</v>
      </c>
      <c r="J6" s="52" t="s">
        <v>3</v>
      </c>
      <c r="K6" s="11" t="s">
        <v>12</v>
      </c>
      <c r="L6" s="12" t="s">
        <v>0</v>
      </c>
      <c r="M6" s="7" t="s">
        <v>1</v>
      </c>
      <c r="N6" s="8" t="s">
        <v>5</v>
      </c>
      <c r="O6" s="8" t="s">
        <v>7</v>
      </c>
      <c r="P6" s="2" t="s">
        <v>244</v>
      </c>
      <c r="Q6" s="2" t="s">
        <v>245</v>
      </c>
    </row>
    <row r="7" spans="1:20" ht="12.75" thickTop="1" x14ac:dyDescent="0.2">
      <c r="A7" t="s">
        <v>99</v>
      </c>
      <c r="B7" t="s">
        <v>411</v>
      </c>
      <c r="C7">
        <v>102.78</v>
      </c>
      <c r="D7" t="s">
        <v>118</v>
      </c>
      <c r="E7" t="s">
        <v>114</v>
      </c>
      <c r="F7" s="21">
        <f ca="1">apuestas_ene24[[#This Row],[Apuesta Miniporra]]-$B$3</f>
        <v>28.680000000000007</v>
      </c>
      <c r="G7" s="22">
        <f ca="1">ABS(apuestas_ene24[[#This Row],[desvio]])/$B$3</f>
        <v>0.38704453441295561</v>
      </c>
      <c r="H7">
        <f ca="1">_xlfn.RANK.EQ(apuestas_ene24[[#This Row],[desvio %]],apuestas_ene24[desvio %],1)</f>
        <v>35</v>
      </c>
      <c r="J7" t="s">
        <v>99</v>
      </c>
      <c r="K7" s="10">
        <f ca="1">INDEX(apuestas_ene24[orden],MATCH(resultados_ene[Apuesta MiniPorra],apuestas_ene24[Apuesta Miniporra],0))</f>
        <v>35</v>
      </c>
      <c r="L7" s="6" t="str">
        <f>INDEX(apuestas_ene24[Nombre],MATCH(resultados_ene[[#This Row],[Apuesta MiniPorra]],apuestas_ene24[Apuesta Miniporra],0))</f>
        <v>Jonathan Pazmiño Espinoza</v>
      </c>
      <c r="M7" s="14">
        <f>apuestas_ene24[[#This Row],[Apuesta Miniporra]]</f>
        <v>102.78</v>
      </c>
      <c r="N7" s="14">
        <f ca="1">INDEX(apuestas_ene24[desvio],MATCH(resultados_ene[[#This Row],[Apuesta MiniPorra]],apuestas_ene24[Apuesta Miniporra],0))</f>
        <v>28.680000000000007</v>
      </c>
      <c r="O7" s="13">
        <f ca="1">INDEX(apuestas_ene24[desvio %],MATCH(resultados_ene[[#This Row],[Apuesta MiniPorra]],apuestas_ene24[Apuesta Miniporra],0))</f>
        <v>0.38704453441295561</v>
      </c>
      <c r="P7" s="4">
        <v>1</v>
      </c>
      <c r="Q7" s="28">
        <v>36.24</v>
      </c>
    </row>
    <row r="8" spans="1:20" x14ac:dyDescent="0.2">
      <c r="A8" t="s">
        <v>99</v>
      </c>
      <c r="B8" t="s">
        <v>410</v>
      </c>
      <c r="C8">
        <v>91.2</v>
      </c>
      <c r="D8" t="s">
        <v>118</v>
      </c>
      <c r="E8" t="s">
        <v>117</v>
      </c>
      <c r="F8" s="21">
        <f ca="1">apuestas_ene24[[#This Row],[Apuesta Miniporra]]-$B$3</f>
        <v>17.100000000000009</v>
      </c>
      <c r="G8" s="22">
        <f ca="1">ABS(apuestas_ene24[[#This Row],[desvio]])/$B$3</f>
        <v>0.23076923076923089</v>
      </c>
      <c r="H8">
        <f ca="1">_xlfn.RANK.EQ(apuestas_ene24[[#This Row],[desvio %]],apuestas_ene24[desvio %],1)</f>
        <v>34</v>
      </c>
      <c r="J8" t="s">
        <v>99</v>
      </c>
      <c r="K8" s="10">
        <f ca="1">INDEX(apuestas_ene24[orden],MATCH(resultados_ene[Apuesta MiniPorra],apuestas_ene24[Apuesta Miniporra],0))</f>
        <v>34</v>
      </c>
      <c r="L8" s="6" t="str">
        <f>INDEX(apuestas_ene24[Nombre],MATCH(resultados_ene[[#This Row],[Apuesta MiniPorra]],apuestas_ene24[Apuesta Miniporra],0))</f>
        <v>Manuel Bueno Pérez</v>
      </c>
      <c r="M8" s="14">
        <f>apuestas_ene24[[#This Row],[Apuesta Miniporra]]</f>
        <v>91.2</v>
      </c>
      <c r="N8" s="14">
        <f ca="1">INDEX(apuestas_ene24[desvio],MATCH(resultados_ene[[#This Row],[Apuesta MiniPorra]],apuestas_ene24[Apuesta Miniporra],0))</f>
        <v>17.100000000000009</v>
      </c>
      <c r="O8" s="13">
        <f ca="1">INDEX(apuestas_ene24[desvio %],MATCH(resultados_ene[[#This Row],[Apuesta MiniPorra]],apuestas_ene24[Apuesta Miniporra],0))</f>
        <v>0.23076923076923089</v>
      </c>
      <c r="P8" s="4">
        <v>2</v>
      </c>
      <c r="Q8" s="28">
        <v>40.909999999999997</v>
      </c>
    </row>
    <row r="9" spans="1:20" x14ac:dyDescent="0.2">
      <c r="A9" t="s">
        <v>99</v>
      </c>
      <c r="B9" s="45" t="s">
        <v>239</v>
      </c>
      <c r="C9">
        <v>90.1</v>
      </c>
      <c r="D9" t="s">
        <v>118</v>
      </c>
      <c r="E9" t="s">
        <v>240</v>
      </c>
      <c r="F9" s="21">
        <f ca="1">apuestas_ene24[[#This Row],[Apuesta Miniporra]]-$B$3</f>
        <v>16</v>
      </c>
      <c r="G9" s="22">
        <f ca="1">ABS(apuestas_ene24[[#This Row],[desvio]])/$B$3</f>
        <v>0.21592442645074225</v>
      </c>
      <c r="H9">
        <f ca="1">_xlfn.RANK.EQ(apuestas_ene24[[#This Row],[desvio %]],apuestas_ene24[desvio %],1)</f>
        <v>33</v>
      </c>
      <c r="J9" t="s">
        <v>99</v>
      </c>
      <c r="K9" s="19">
        <f ca="1">INDEX(apuestas_ene24[orden],MATCH(resultados_ene[Apuesta MiniPorra],apuestas_ene24[Apuesta Miniporra],0))</f>
        <v>33</v>
      </c>
      <c r="L9" s="27" t="str">
        <f>INDEX(apuestas_ene24[Nombre],MATCH(resultados_ene[[#This Row],[Apuesta MiniPorra]],apuestas_ene24[Apuesta Miniporra],0))</f>
        <v>Vitor Costa Costa</v>
      </c>
      <c r="M9" s="17">
        <f>apuestas_ene24[[#This Row],[Apuesta Miniporra]]</f>
        <v>90.1</v>
      </c>
      <c r="N9" s="17">
        <f ca="1">INDEX(apuestas_ene24[desvio],MATCH(resultados_ene[[#This Row],[Apuesta MiniPorra]],apuestas_ene24[Apuesta Miniporra],0))</f>
        <v>16</v>
      </c>
      <c r="O9" s="18">
        <f ca="1">INDEX(apuestas_ene24[desvio %],MATCH(resultados_ene[[#This Row],[Apuesta MiniPorra]],apuestas_ene24[Apuesta Miniporra],0))</f>
        <v>0.21592442645074225</v>
      </c>
      <c r="P9" s="4">
        <v>3</v>
      </c>
      <c r="Q9" s="28">
        <v>55.08</v>
      </c>
    </row>
    <row r="10" spans="1:20" x14ac:dyDescent="0.2">
      <c r="A10" t="s">
        <v>99</v>
      </c>
      <c r="B10" t="s">
        <v>400</v>
      </c>
      <c r="C10">
        <v>89.7</v>
      </c>
      <c r="D10" t="s">
        <v>193</v>
      </c>
      <c r="E10" t="s">
        <v>194</v>
      </c>
      <c r="F10" s="21">
        <f ca="1">apuestas_ene24[[#This Row],[Apuesta Miniporra]]-$B$3</f>
        <v>15.600000000000009</v>
      </c>
      <c r="G10" s="22">
        <f ca="1">ABS(apuestas_ene24[[#This Row],[desvio]])/$B$3</f>
        <v>0.21052631578947381</v>
      </c>
      <c r="H10">
        <f ca="1">_xlfn.RANK.EQ(apuestas_ene24[[#This Row],[desvio %]],apuestas_ene24[desvio %],1)</f>
        <v>32</v>
      </c>
      <c r="J10" t="s">
        <v>99</v>
      </c>
      <c r="K10" s="10">
        <f ca="1">INDEX(apuestas_ene24[orden],MATCH(resultados_ene[Apuesta MiniPorra],apuestas_ene24[Apuesta Miniporra],0))</f>
        <v>32</v>
      </c>
      <c r="L10" s="6" t="str">
        <f>INDEX(apuestas_ene24[Nombre],MATCH(resultados_ene[[#This Row],[Apuesta MiniPorra]],apuestas_ene24[Apuesta Miniporra],0))</f>
        <v>Manuel Nogales Guillén</v>
      </c>
      <c r="M10" s="14">
        <f>apuestas_ene24[[#This Row],[Apuesta Miniporra]]</f>
        <v>89.7</v>
      </c>
      <c r="N10" s="14">
        <f ca="1">INDEX(apuestas_ene24[desvio],MATCH(resultados_ene[[#This Row],[Apuesta MiniPorra]],apuestas_ene24[Apuesta Miniporra],0))</f>
        <v>15.600000000000009</v>
      </c>
      <c r="O10" s="13">
        <f ca="1">INDEX(apuestas_ene24[desvio %],MATCH(resultados_ene[[#This Row],[Apuesta MiniPorra]],apuestas_ene24[Apuesta Miniporra],0))</f>
        <v>0.21052631578947381</v>
      </c>
      <c r="P10" s="4">
        <v>4</v>
      </c>
      <c r="Q10" s="28">
        <v>91.36</v>
      </c>
    </row>
    <row r="11" spans="1:20" x14ac:dyDescent="0.2">
      <c r="A11" t="s">
        <v>99</v>
      </c>
      <c r="B11" t="s">
        <v>403</v>
      </c>
      <c r="C11">
        <v>88.5</v>
      </c>
      <c r="D11" t="s">
        <v>170</v>
      </c>
      <c r="E11" t="s">
        <v>171</v>
      </c>
      <c r="F11" s="21">
        <f ca="1">apuestas_ene24[[#This Row],[Apuesta Miniporra]]-$B$3</f>
        <v>14.400000000000006</v>
      </c>
      <c r="G11" s="22">
        <f ca="1">ABS(apuestas_ene24[[#This Row],[desvio]])/$B$3</f>
        <v>0.1943319838056681</v>
      </c>
      <c r="H11">
        <f ca="1">_xlfn.RANK.EQ(apuestas_ene24[[#This Row],[desvio %]],apuestas_ene24[desvio %],1)</f>
        <v>30</v>
      </c>
      <c r="J11" t="s">
        <v>99</v>
      </c>
      <c r="K11" s="9">
        <f ca="1">INDEX(apuestas_ene24[orden],MATCH(resultados_ene[Apuesta MiniPorra],apuestas_ene24[Apuesta Miniporra],0))</f>
        <v>30</v>
      </c>
      <c r="L11" s="6" t="str">
        <f>INDEX(apuestas_ene24[Nombre],MATCH(resultados_ene[[#This Row],[Apuesta MiniPorra]],apuestas_ene24[Apuesta Miniporra],0))</f>
        <v>Luis Angel Garzon Velasco</v>
      </c>
      <c r="M11" s="14">
        <f>apuestas_ene24[[#This Row],[Apuesta Miniporra]]</f>
        <v>88.5</v>
      </c>
      <c r="N11" s="14">
        <f ca="1">INDEX(apuestas_ene24[desvio],MATCH(resultados_ene[[#This Row],[Apuesta MiniPorra]],apuestas_ene24[Apuesta Miniporra],0))</f>
        <v>14.400000000000006</v>
      </c>
      <c r="O11" s="13">
        <f ca="1">INDEX(apuestas_ene24[desvio %],MATCH(resultados_ene[[#This Row],[Apuesta MiniPorra]],apuestas_ene24[Apuesta Miniporra],0))</f>
        <v>0.1943319838056681</v>
      </c>
      <c r="P11" s="4">
        <v>5</v>
      </c>
      <c r="Q11" s="28">
        <v>68.62</v>
      </c>
    </row>
    <row r="12" spans="1:20" x14ac:dyDescent="0.2">
      <c r="A12" t="s">
        <v>99</v>
      </c>
      <c r="B12" t="s">
        <v>219</v>
      </c>
      <c r="C12">
        <v>88.08</v>
      </c>
      <c r="D12" t="s">
        <v>141</v>
      </c>
      <c r="E12" t="s">
        <v>142</v>
      </c>
      <c r="F12" s="21">
        <f ca="1">apuestas_ene24[[#This Row],[Apuesta Miniporra]]-$B$3</f>
        <v>13.980000000000004</v>
      </c>
      <c r="G12" s="22">
        <f ca="1">ABS(apuestas_ene24[[#This Row],[desvio]])/$B$3</f>
        <v>0.18866396761133611</v>
      </c>
      <c r="H12">
        <f ca="1">_xlfn.RANK.EQ(apuestas_ene24[[#This Row],[desvio %]],apuestas_ene24[desvio %],1)</f>
        <v>29</v>
      </c>
      <c r="J12" t="s">
        <v>99</v>
      </c>
      <c r="K12" s="16">
        <f ca="1">INDEX(apuestas_ene24[orden],MATCH(resultados_ene[Apuesta MiniPorra],apuestas_ene24[Apuesta Miniporra],0))</f>
        <v>29</v>
      </c>
      <c r="L12" s="6" t="str">
        <f>INDEX(apuestas_ene24[Nombre],MATCH(resultados_ene[[#This Row],[Apuesta MiniPorra]],apuestas_ene24[Apuesta Miniporra],0))</f>
        <v>Jaime Larrañaga Juez</v>
      </c>
      <c r="M12" s="14">
        <f>apuestas_ene24[[#This Row],[Apuesta Miniporra]]</f>
        <v>88.08</v>
      </c>
      <c r="N12" s="17">
        <f ca="1">INDEX(apuestas_ene24[desvio],MATCH(resultados_ene[[#This Row],[Apuesta MiniPorra]],apuestas_ene24[Apuesta Miniporra],0))</f>
        <v>13.980000000000004</v>
      </c>
      <c r="O12" s="18">
        <f ca="1">INDEX(apuestas_ene24[desvio %],MATCH(resultados_ene[[#This Row],[Apuesta MiniPorra]],apuestas_ene24[Apuesta Miniporra],0))</f>
        <v>0.18866396761133611</v>
      </c>
      <c r="P12" s="4">
        <v>6</v>
      </c>
      <c r="Q12" s="28">
        <v>43.97</v>
      </c>
    </row>
    <row r="13" spans="1:20" x14ac:dyDescent="0.2">
      <c r="A13" t="s">
        <v>99</v>
      </c>
      <c r="B13" s="46" t="s">
        <v>227</v>
      </c>
      <c r="C13">
        <v>87.45</v>
      </c>
      <c r="D13" t="s">
        <v>210</v>
      </c>
      <c r="E13" t="s">
        <v>207</v>
      </c>
      <c r="F13" s="21">
        <f ca="1">apuestas_ene24[[#This Row],[Apuesta Miniporra]]-$B$3</f>
        <v>13.350000000000009</v>
      </c>
      <c r="G13" s="22">
        <f ca="1">ABS(apuestas_ene24[[#This Row],[desvio]])/$B$3</f>
        <v>0.18016194331983817</v>
      </c>
      <c r="H13">
        <f ca="1">_xlfn.RANK.EQ(apuestas_ene24[[#This Row],[desvio %]],apuestas_ene24[desvio %],1)</f>
        <v>27</v>
      </c>
      <c r="J13" t="s">
        <v>99</v>
      </c>
      <c r="K13" s="9">
        <f ca="1">INDEX(apuestas_ene24[orden],MATCH(resultados_ene[Apuesta MiniPorra],apuestas_ene24[Apuesta Miniporra],0))</f>
        <v>27</v>
      </c>
      <c r="L13" s="6" t="str">
        <f>INDEX(apuestas_ene24[Nombre],MATCH(resultados_ene[[#This Row],[Apuesta MiniPorra]],apuestas_ene24[Apuesta Miniporra],0))</f>
        <v>Olivia Infantes</v>
      </c>
      <c r="M13" s="14">
        <f>apuestas_ene24[[#This Row],[Apuesta Miniporra]]</f>
        <v>87.45</v>
      </c>
      <c r="N13" s="14">
        <f ca="1">INDEX(apuestas_ene24[desvio],MATCH(resultados_ene[[#This Row],[Apuesta MiniPorra]],apuestas_ene24[Apuesta Miniporra],0))</f>
        <v>13.350000000000009</v>
      </c>
      <c r="O13" s="13">
        <f ca="1">INDEX(apuestas_ene24[desvio %],MATCH(resultados_ene[[#This Row],[Apuesta MiniPorra]],apuestas_ene24[Apuesta Miniporra],0))</f>
        <v>0.18016194331983817</v>
      </c>
      <c r="P13" s="4">
        <v>7</v>
      </c>
      <c r="Q13" s="28">
        <v>76</v>
      </c>
    </row>
    <row r="14" spans="1:20" x14ac:dyDescent="0.2">
      <c r="A14" t="s">
        <v>99</v>
      </c>
      <c r="B14" t="s">
        <v>401</v>
      </c>
      <c r="C14">
        <v>87.1</v>
      </c>
      <c r="D14" t="s">
        <v>118</v>
      </c>
      <c r="E14" t="s">
        <v>184</v>
      </c>
      <c r="F14" s="21">
        <f ca="1">apuestas_ene24[[#This Row],[Apuesta Miniporra]]-$B$3</f>
        <v>13</v>
      </c>
      <c r="G14" s="22">
        <f ca="1">ABS(apuestas_ene24[[#This Row],[desvio]])/$B$3</f>
        <v>0.17543859649122809</v>
      </c>
      <c r="H14">
        <f ca="1">_xlfn.RANK.EQ(apuestas_ene24[[#This Row],[desvio %]],apuestas_ene24[desvio %],1)</f>
        <v>26</v>
      </c>
      <c r="J14" t="s">
        <v>99</v>
      </c>
      <c r="K14" s="10">
        <f ca="1">INDEX(apuestas_ene24[orden],MATCH(resultados_ene[Apuesta MiniPorra],apuestas_ene24[Apuesta Miniporra],0))</f>
        <v>26</v>
      </c>
      <c r="L14" s="6" t="str">
        <f>INDEX(apuestas_ene24[Nombre],MATCH(resultados_ene[[#This Row],[Apuesta MiniPorra]],apuestas_ene24[Apuesta Miniporra],0))</f>
        <v>Juan Pedro Conejo Sanchez</v>
      </c>
      <c r="M14" s="14">
        <f>apuestas_ene24[[#This Row],[Apuesta Miniporra]]</f>
        <v>87.1</v>
      </c>
      <c r="N14" s="14">
        <f ca="1">INDEX(apuestas_ene24[desvio],MATCH(resultados_ene[[#This Row],[Apuesta MiniPorra]],apuestas_ene24[Apuesta Miniporra],0))</f>
        <v>13</v>
      </c>
      <c r="O14" s="13">
        <f ca="1">INDEX(apuestas_ene24[desvio %],MATCH(resultados_ene[[#This Row],[Apuesta MiniPorra]],apuestas_ene24[Apuesta Miniporra],0))</f>
        <v>0.17543859649122809</v>
      </c>
      <c r="P14" s="4">
        <v>8</v>
      </c>
      <c r="Q14" s="28">
        <v>105.51</v>
      </c>
    </row>
    <row r="15" spans="1:20" x14ac:dyDescent="0.2">
      <c r="A15" t="s">
        <v>99</v>
      </c>
      <c r="B15" t="s">
        <v>218</v>
      </c>
      <c r="C15">
        <v>85.4</v>
      </c>
      <c r="D15" t="s">
        <v>118</v>
      </c>
      <c r="E15" t="s">
        <v>134</v>
      </c>
      <c r="F15" s="21">
        <f ca="1">apuestas_ene24[[#This Row],[Apuesta Miniporra]]-$B$3</f>
        <v>11.300000000000011</v>
      </c>
      <c r="G15" s="22">
        <f ca="1">ABS(apuestas_ene24[[#This Row],[desvio]])/$B$3</f>
        <v>0.15249662618083687</v>
      </c>
      <c r="H15">
        <f ca="1">_xlfn.RANK.EQ(apuestas_ene24[[#This Row],[desvio %]],apuestas_ene24[desvio %],1)</f>
        <v>25</v>
      </c>
      <c r="J15" t="s">
        <v>99</v>
      </c>
      <c r="K15" s="9">
        <f ca="1">INDEX(apuestas_ene24[orden],MATCH(resultados_ene[Apuesta MiniPorra],apuestas_ene24[Apuesta Miniporra],0))</f>
        <v>25</v>
      </c>
      <c r="L15" s="6" t="str">
        <f>INDEX(apuestas_ene24[Nombre],MATCH(resultados_ene[[#This Row],[Apuesta MiniPorra]],apuestas_ene24[Apuesta Miniporra],0))</f>
        <v>Jorge Antonio González Sánchez</v>
      </c>
      <c r="M15" s="14">
        <f>apuestas_ene24[[#This Row],[Apuesta Miniporra]]</f>
        <v>85.4</v>
      </c>
      <c r="N15" s="14">
        <f ca="1">INDEX(apuestas_ene24[desvio],MATCH(resultados_ene[[#This Row],[Apuesta MiniPorra]],apuestas_ene24[Apuesta Miniporra],0))</f>
        <v>11.300000000000011</v>
      </c>
      <c r="O15" s="13">
        <f ca="1">INDEX(apuestas_ene24[desvio %],MATCH(resultados_ene[[#This Row],[Apuesta MiniPorra]],apuestas_ene24[Apuesta Miniporra],0))</f>
        <v>0.15249662618083687</v>
      </c>
      <c r="P15" s="4">
        <v>9</v>
      </c>
      <c r="Q15" s="28">
        <v>113.83</v>
      </c>
    </row>
    <row r="16" spans="1:20" x14ac:dyDescent="0.2">
      <c r="A16" t="s">
        <v>99</v>
      </c>
      <c r="B16" s="46" t="s">
        <v>225</v>
      </c>
      <c r="C16">
        <v>85.32</v>
      </c>
      <c r="D16" t="s">
        <v>198</v>
      </c>
      <c r="E16" t="s">
        <v>199</v>
      </c>
      <c r="F16" s="21">
        <f ca="1">apuestas_ene24[[#This Row],[Apuesta Miniporra]]-$B$3</f>
        <v>11.219999999999999</v>
      </c>
      <c r="G16" s="22">
        <f ca="1">ABS(apuestas_ene24[[#This Row],[desvio]])/$B$3</f>
        <v>0.15141700404858299</v>
      </c>
      <c r="H16">
        <f ca="1">_xlfn.RANK.EQ(apuestas_ene24[[#This Row],[desvio %]],apuestas_ene24[desvio %],1)</f>
        <v>24</v>
      </c>
      <c r="J16" t="s">
        <v>99</v>
      </c>
      <c r="K16" s="10">
        <f ca="1">INDEX(apuestas_ene24[orden],MATCH(resultados_ene[Apuesta MiniPorra],apuestas_ene24[Apuesta Miniporra],0))</f>
        <v>24</v>
      </c>
      <c r="L16" s="6" t="str">
        <f>INDEX(apuestas_ene24[Nombre],MATCH(resultados_ene[[#This Row],[Apuesta MiniPorra]],apuestas_ene24[Apuesta Miniporra],0))</f>
        <v>Elena Muñoz Vioque</v>
      </c>
      <c r="M16" s="14">
        <f>apuestas_ene24[[#This Row],[Apuesta Miniporra]]</f>
        <v>85.32</v>
      </c>
      <c r="N16" s="14">
        <f ca="1">INDEX(apuestas_ene24[desvio],MATCH(resultados_ene[[#This Row],[Apuesta MiniPorra]],apuestas_ene24[Apuesta Miniporra],0))</f>
        <v>11.219999999999999</v>
      </c>
      <c r="O16" s="13">
        <f ca="1">INDEX(apuestas_ene24[desvio %],MATCH(resultados_ene[[#This Row],[Apuesta MiniPorra]],apuestas_ene24[Apuesta Miniporra],0))</f>
        <v>0.15141700404858299</v>
      </c>
      <c r="P16" s="4">
        <v>10</v>
      </c>
      <c r="Q16" s="28">
        <v>100.88</v>
      </c>
    </row>
    <row r="17" spans="1:20" x14ac:dyDescent="0.2">
      <c r="A17" t="s">
        <v>99</v>
      </c>
      <c r="B17" t="s">
        <v>220</v>
      </c>
      <c r="C17">
        <v>85.2</v>
      </c>
      <c r="D17" t="s">
        <v>118</v>
      </c>
      <c r="E17" t="s">
        <v>8</v>
      </c>
      <c r="F17" s="21">
        <f ca="1">apuestas_ene24[[#This Row],[Apuesta Miniporra]]-$B$3</f>
        <v>11.100000000000009</v>
      </c>
      <c r="G17" s="22">
        <f ca="1">ABS(apuestas_ene24[[#This Row],[desvio]])/$B$3</f>
        <v>0.14979757085020257</v>
      </c>
      <c r="H17">
        <f ca="1">_xlfn.RANK.EQ(apuestas_ene24[[#This Row],[desvio %]],apuestas_ene24[desvio %],1)</f>
        <v>23</v>
      </c>
      <c r="J17" t="s">
        <v>99</v>
      </c>
      <c r="K17" s="9">
        <f ca="1">INDEX(apuestas_ene24[orden],MATCH(resultados_ene[Apuesta MiniPorra],apuestas_ene24[Apuesta Miniporra],0))</f>
        <v>23</v>
      </c>
      <c r="L17" s="6" t="str">
        <f>INDEX(apuestas_ene24[Nombre],MATCH(resultados_ene[[#This Row],[Apuesta MiniPorra]],apuestas_ene24[Apuesta Miniporra],0))</f>
        <v>Juan Sanjorge Sanjorge Grandal</v>
      </c>
      <c r="M17" s="14">
        <f>apuestas_ene24[[#This Row],[Apuesta Miniporra]]</f>
        <v>85.2</v>
      </c>
      <c r="N17" s="14">
        <f ca="1">INDEX(apuestas_ene24[desvio],MATCH(resultados_ene[[#This Row],[Apuesta MiniPorra]],apuestas_ene24[Apuesta Miniporra],0))</f>
        <v>11.100000000000009</v>
      </c>
      <c r="O17" s="13">
        <f ca="1">INDEX(apuestas_ene24[desvio %],MATCH(resultados_ene[[#This Row],[Apuesta MiniPorra]],apuestas_ene24[Apuesta Miniporra],0))</f>
        <v>0.14979757085020257</v>
      </c>
      <c r="P17" s="4">
        <v>11</v>
      </c>
      <c r="Q17" s="28">
        <v>96.97</v>
      </c>
    </row>
    <row r="18" spans="1:20" x14ac:dyDescent="0.2">
      <c r="A18" t="s">
        <v>99</v>
      </c>
      <c r="B18" s="46" t="s">
        <v>409</v>
      </c>
      <c r="C18">
        <v>81.69</v>
      </c>
      <c r="D18" t="s">
        <v>118</v>
      </c>
      <c r="E18" t="s">
        <v>130</v>
      </c>
      <c r="F18" s="21">
        <f ca="1">apuestas_ene24[[#This Row],[Apuesta Miniporra]]-$B$3</f>
        <v>7.5900000000000034</v>
      </c>
      <c r="G18" s="22">
        <f ca="1">ABS(apuestas_ene24[[#This Row],[desvio]])/$B$3</f>
        <v>0.10242914979757091</v>
      </c>
      <c r="H18">
        <f ca="1">_xlfn.RANK.EQ(apuestas_ene24[[#This Row],[desvio %]],apuestas_ene24[desvio %],1)</f>
        <v>21</v>
      </c>
      <c r="J18" t="s">
        <v>99</v>
      </c>
      <c r="K18" s="10">
        <f ca="1">INDEX(apuestas_ene24[orden],MATCH(resultados_ene[Apuesta MiniPorra],apuestas_ene24[Apuesta Miniporra],0))</f>
        <v>21</v>
      </c>
      <c r="L18" s="6" t="str">
        <f>INDEX(apuestas_ene24[Nombre],MATCH(resultados_ene[[#This Row],[Apuesta MiniPorra]],apuestas_ene24[Apuesta Miniporra],0))</f>
        <v>Gladys Rocha Blanco</v>
      </c>
      <c r="M18" s="14">
        <f>apuestas_ene24[[#This Row],[Apuesta Miniporra]]</f>
        <v>81.69</v>
      </c>
      <c r="N18" s="14">
        <f ca="1">INDEX(apuestas_ene24[desvio],MATCH(resultados_ene[[#This Row],[Apuesta MiniPorra]],apuestas_ene24[Apuesta Miniporra],0))</f>
        <v>7.5900000000000034</v>
      </c>
      <c r="O18" s="13">
        <f ca="1">INDEX(apuestas_ene24[desvio %],MATCH(resultados_ene[[#This Row],[Apuesta MiniPorra]],apuestas_ene24[Apuesta Miniporra],0))</f>
        <v>0.10242914979757091</v>
      </c>
      <c r="P18" s="4">
        <v>12</v>
      </c>
      <c r="Q18" s="28">
        <v>97.56</v>
      </c>
    </row>
    <row r="19" spans="1:20" x14ac:dyDescent="0.2">
      <c r="A19" t="s">
        <v>99</v>
      </c>
      <c r="B19" t="s">
        <v>412</v>
      </c>
      <c r="C19">
        <v>81.08</v>
      </c>
      <c r="D19" t="s">
        <v>101</v>
      </c>
      <c r="E19" t="s">
        <v>102</v>
      </c>
      <c r="F19" s="21">
        <f ca="1">apuestas_ene24[[#This Row],[Apuesta Miniporra]]-$B$3</f>
        <v>6.980000000000004</v>
      </c>
      <c r="G19" s="22">
        <f ca="1">ABS(apuestas_ene24[[#This Row],[desvio]])/$B$3</f>
        <v>9.4197031039136361E-2</v>
      </c>
      <c r="H19">
        <f ca="1">_xlfn.RANK.EQ(apuestas_ene24[[#This Row],[desvio %]],apuestas_ene24[desvio %],1)</f>
        <v>19</v>
      </c>
      <c r="J19" t="s">
        <v>99</v>
      </c>
      <c r="K19" s="9">
        <f ca="1">INDEX(apuestas_ene24[orden],MATCH(resultados_ene[Apuesta MiniPorra],apuestas_ene24[Apuesta Miniporra],0))</f>
        <v>19</v>
      </c>
      <c r="L19" s="6" t="str">
        <f>INDEX(apuestas_ene24[Nombre],MATCH(resultados_ene[[#This Row],[Apuesta MiniPorra]],apuestas_ene24[Apuesta Miniporra],0))</f>
        <v>Jose Manuel Otero López</v>
      </c>
      <c r="M19" s="14">
        <f>apuestas_ene24[[#This Row],[Apuesta Miniporra]]</f>
        <v>81.08</v>
      </c>
      <c r="N19" s="14">
        <f ca="1">INDEX(apuestas_ene24[desvio],MATCH(resultados_ene[[#This Row],[Apuesta MiniPorra]],apuestas_ene24[Apuesta Miniporra],0))</f>
        <v>6.980000000000004</v>
      </c>
      <c r="O19" s="13">
        <f ca="1">INDEX(apuestas_ene24[desvio %],MATCH(resultados_ene[[#This Row],[Apuesta MiniPorra]],apuestas_ene24[Apuesta Miniporra],0))</f>
        <v>9.4197031039136361E-2</v>
      </c>
      <c r="P19" s="4">
        <v>13</v>
      </c>
      <c r="Q19" s="28">
        <v>87.35</v>
      </c>
    </row>
    <row r="20" spans="1:20" x14ac:dyDescent="0.2">
      <c r="A20" t="s">
        <v>99</v>
      </c>
      <c r="B20" t="s">
        <v>9</v>
      </c>
      <c r="C20">
        <v>80</v>
      </c>
      <c r="D20" t="s">
        <v>127</v>
      </c>
      <c r="E20" t="s">
        <v>128</v>
      </c>
      <c r="F20" s="21">
        <f ca="1">apuestas_ene24[[#This Row],[Apuesta Miniporra]]-$B$3</f>
        <v>5.9000000000000057</v>
      </c>
      <c r="G20" s="22">
        <f ca="1">ABS(apuestas_ene24[[#This Row],[desvio]])/$B$3</f>
        <v>7.9622132253711286E-2</v>
      </c>
      <c r="H20">
        <f ca="1">_xlfn.RANK.EQ(apuestas_ene24[[#This Row],[desvio %]],apuestas_ene24[desvio %],1)</f>
        <v>18</v>
      </c>
      <c r="J20" t="s">
        <v>99</v>
      </c>
      <c r="K20" s="10">
        <f ca="1">INDEX(apuestas_ene24[orden],MATCH(resultados_ene[Apuesta MiniPorra],apuestas_ene24[Apuesta Miniporra],0))</f>
        <v>18</v>
      </c>
      <c r="L20" s="6" t="str">
        <f>INDEX(apuestas_ene24[Nombre],MATCH(resultados_ene[[#This Row],[Apuesta MiniPorra]],apuestas_ene24[Apuesta Miniporra],0))</f>
        <v>Alfonso Zárate Conde</v>
      </c>
      <c r="M20" s="14">
        <f>apuestas_ene24[[#This Row],[Apuesta Miniporra]]</f>
        <v>80</v>
      </c>
      <c r="N20" s="14">
        <f ca="1">INDEX(apuestas_ene24[desvio],MATCH(resultados_ene[[#This Row],[Apuesta MiniPorra]],apuestas_ene24[Apuesta Miniporra],0))</f>
        <v>5.9000000000000057</v>
      </c>
      <c r="O20" s="13">
        <f ca="1">INDEX(apuestas_ene24[desvio %],MATCH(resultados_ene[[#This Row],[Apuesta MiniPorra]],apuestas_ene24[Apuesta Miniporra],0))</f>
        <v>7.9622132253711286E-2</v>
      </c>
      <c r="P20" s="4">
        <v>14</v>
      </c>
      <c r="Q20" s="28">
        <v>75.13</v>
      </c>
      <c r="R20" s="97"/>
      <c r="S20" s="97"/>
      <c r="T20" s="97"/>
    </row>
    <row r="21" spans="1:20" x14ac:dyDescent="0.2">
      <c r="A21" t="s">
        <v>99</v>
      </c>
      <c r="B21" t="s">
        <v>335</v>
      </c>
      <c r="C21">
        <v>79.3</v>
      </c>
      <c r="D21" t="s">
        <v>162</v>
      </c>
      <c r="E21" t="s">
        <v>163</v>
      </c>
      <c r="F21" s="21">
        <f ca="1">apuestas_ene24[[#This Row],[Apuesta Miniporra]]-$B$3</f>
        <v>5.2000000000000028</v>
      </c>
      <c r="G21" s="22">
        <f ca="1">ABS(apuestas_ene24[[#This Row],[desvio]])/$B$3</f>
        <v>7.0175438596491266E-2</v>
      </c>
      <c r="H21">
        <f ca="1">_xlfn.RANK.EQ(apuestas_ene24[[#This Row],[desvio %]],apuestas_ene24[desvio %],1)</f>
        <v>17</v>
      </c>
      <c r="J21" t="s">
        <v>99</v>
      </c>
      <c r="K21" s="9">
        <f ca="1">INDEX(apuestas_ene24[orden],MATCH(resultados_ene[Apuesta MiniPorra],apuestas_ene24[Apuesta Miniporra],0))</f>
        <v>17</v>
      </c>
      <c r="L21" s="6" t="str">
        <f>INDEX(apuestas_ene24[Nombre],MATCH(resultados_ene[[#This Row],[Apuesta MiniPorra]],apuestas_ene24[Apuesta Miniporra],0))</f>
        <v>Carlos Callejón</v>
      </c>
      <c r="M21" s="14">
        <f>apuestas_ene24[[#This Row],[Apuesta Miniporra]]</f>
        <v>79.3</v>
      </c>
      <c r="N21" s="14">
        <f ca="1">INDEX(apuestas_ene24[desvio],MATCH(resultados_ene[[#This Row],[Apuesta MiniPorra]],apuestas_ene24[Apuesta Miniporra],0))</f>
        <v>5.2000000000000028</v>
      </c>
      <c r="O21" s="13">
        <f ca="1">INDEX(apuestas_ene24[desvio %],MATCH(resultados_ene[[#This Row],[Apuesta MiniPorra]],apuestas_ene24[Apuesta Miniporra],0))</f>
        <v>7.0175438596491266E-2</v>
      </c>
      <c r="P21" s="4">
        <v>15</v>
      </c>
      <c r="Q21" s="28">
        <v>87.56</v>
      </c>
      <c r="R21" s="97"/>
      <c r="S21" s="97"/>
      <c r="T21" s="97"/>
    </row>
    <row r="22" spans="1:20" x14ac:dyDescent="0.2">
      <c r="A22" t="s">
        <v>99</v>
      </c>
      <c r="B22" t="s">
        <v>221</v>
      </c>
      <c r="C22">
        <v>78.28</v>
      </c>
      <c r="D22" t="s">
        <v>118</v>
      </c>
      <c r="E22" t="s">
        <v>168</v>
      </c>
      <c r="F22" s="21">
        <f ca="1">apuestas_ene24[[#This Row],[Apuesta Miniporra]]-$B$3</f>
        <v>4.1800000000000068</v>
      </c>
      <c r="G22" s="22">
        <f ca="1">ABS(apuestas_ene24[[#This Row],[desvio]])/$B$3</f>
        <v>5.6410256410256508E-2</v>
      </c>
      <c r="H22">
        <f ca="1">_xlfn.RANK.EQ(apuestas_ene24[[#This Row],[desvio %]],apuestas_ene24[desvio %],1)</f>
        <v>16</v>
      </c>
      <c r="J22" t="s">
        <v>99</v>
      </c>
      <c r="K22" s="16">
        <f ca="1">INDEX(apuestas_ene24[orden],MATCH(resultados_ene[Apuesta MiniPorra],apuestas_ene24[Apuesta Miniporra],0))</f>
        <v>16</v>
      </c>
      <c r="L22" s="6" t="str">
        <f>INDEX(apuestas_ene24[Nombre],MATCH(resultados_ene[[#This Row],[Apuesta MiniPorra]],apuestas_ene24[Apuesta Miniporra],0))</f>
        <v>Alfonso Lezcano</v>
      </c>
      <c r="M22" s="14">
        <f>apuestas_ene24[[#This Row],[Apuesta Miniporra]]</f>
        <v>78.28</v>
      </c>
      <c r="N22" s="17">
        <f ca="1">INDEX(apuestas_ene24[desvio],MATCH(resultados_ene[[#This Row],[Apuesta MiniPorra]],apuestas_ene24[Apuesta Miniporra],0))</f>
        <v>4.1800000000000068</v>
      </c>
      <c r="O22" s="18">
        <f ca="1">INDEX(apuestas_ene24[desvio %],MATCH(resultados_ene[[#This Row],[Apuesta MiniPorra]],apuestas_ene24[Apuesta Miniporra],0))</f>
        <v>5.6410256410256508E-2</v>
      </c>
      <c r="P22" s="4">
        <v>16</v>
      </c>
      <c r="Q22" s="28">
        <v>90.12</v>
      </c>
      <c r="R22" s="97"/>
      <c r="S22" s="97"/>
      <c r="T22" s="97"/>
    </row>
    <row r="23" spans="1:20" x14ac:dyDescent="0.2">
      <c r="A23" t="s">
        <v>99</v>
      </c>
      <c r="B23" t="s">
        <v>215</v>
      </c>
      <c r="C23">
        <v>77.7</v>
      </c>
      <c r="D23" t="s">
        <v>118</v>
      </c>
      <c r="E23" t="s">
        <v>106</v>
      </c>
      <c r="F23" s="21">
        <f ca="1">apuestas_ene24[[#This Row],[Apuesta Miniporra]]-$B$3</f>
        <v>3.6000000000000085</v>
      </c>
      <c r="G23" s="22">
        <f ca="1">ABS(apuestas_ene24[[#This Row],[desvio]])/$B$3</f>
        <v>4.8582995951417123E-2</v>
      </c>
      <c r="H23">
        <f ca="1">_xlfn.RANK.EQ(apuestas_ene24[[#This Row],[desvio %]],apuestas_ene24[desvio %],1)</f>
        <v>15</v>
      </c>
      <c r="J23" t="s">
        <v>99</v>
      </c>
      <c r="K23" s="19">
        <f ca="1">INDEX(apuestas_ene24[orden],MATCH(resultados_ene[Apuesta MiniPorra],apuestas_ene24[Apuesta Miniporra],0))</f>
        <v>15</v>
      </c>
      <c r="L23" s="6" t="str">
        <f>INDEX(apuestas_ene24[Nombre],MATCH(resultados_ene[[#This Row],[Apuesta MiniPorra]],apuestas_ene24[Apuesta Miniporra],0))</f>
        <v>Carles Estruch Puig</v>
      </c>
      <c r="M23" s="14">
        <f>apuestas_ene24[[#This Row],[Apuesta Miniporra]]</f>
        <v>77.7</v>
      </c>
      <c r="N23" s="17">
        <f ca="1">INDEX(apuestas_ene24[desvio],MATCH(resultados_ene[[#This Row],[Apuesta MiniPorra]],apuestas_ene24[Apuesta Miniporra],0))</f>
        <v>3.6000000000000085</v>
      </c>
      <c r="O23" s="18">
        <f ca="1">INDEX(apuestas_ene24[desvio %],MATCH(resultados_ene[[#This Row],[Apuesta MiniPorra]],apuestas_ene24[Apuesta Miniporra],0))</f>
        <v>4.8582995951417123E-2</v>
      </c>
      <c r="P23" s="4">
        <v>17</v>
      </c>
      <c r="Q23" s="28">
        <v>26.96</v>
      </c>
    </row>
    <row r="24" spans="1:20" x14ac:dyDescent="0.2">
      <c r="A24" t="s">
        <v>99</v>
      </c>
      <c r="B24" t="s">
        <v>381</v>
      </c>
      <c r="C24">
        <v>76.5</v>
      </c>
      <c r="D24" t="s">
        <v>206</v>
      </c>
      <c r="E24" t="s">
        <v>37</v>
      </c>
      <c r="F24" s="21">
        <f ca="1">apuestas_ene24[[#This Row],[Apuesta Miniporra]]-$B$3</f>
        <v>2.4000000000000057</v>
      </c>
      <c r="G24" s="22">
        <f ca="1">ABS(apuestas_ene24[[#This Row],[desvio]])/$B$3</f>
        <v>3.2388663967611413E-2</v>
      </c>
      <c r="H24">
        <f ca="1">_xlfn.RANK.EQ(apuestas_ene24[[#This Row],[desvio %]],apuestas_ene24[desvio %],1)</f>
        <v>12</v>
      </c>
      <c r="J24" t="s">
        <v>99</v>
      </c>
      <c r="K24" s="16">
        <f ca="1">INDEX(apuestas_ene24[orden],MATCH(resultados_ene[Apuesta MiniPorra],apuestas_ene24[Apuesta Miniporra],0))</f>
        <v>12</v>
      </c>
      <c r="L24" s="6" t="str">
        <f>INDEX(apuestas_ene24[Nombre],MATCH(resultados_ene[[#This Row],[Apuesta MiniPorra]],apuestas_ene24[Apuesta Miniporra],0))</f>
        <v>Roberto Cavero García</v>
      </c>
      <c r="M24" s="14">
        <f>apuestas_ene24[[#This Row],[Apuesta Miniporra]]</f>
        <v>76.5</v>
      </c>
      <c r="N24" s="17">
        <f ca="1">INDEX(apuestas_ene24[desvio],MATCH(resultados_ene[[#This Row],[Apuesta MiniPorra]],apuestas_ene24[Apuesta Miniporra],0))</f>
        <v>2.4000000000000057</v>
      </c>
      <c r="O24" s="18">
        <f ca="1">INDEX(apuestas_ene24[desvio %],MATCH(resultados_ene[[#This Row],[Apuesta MiniPorra]],apuestas_ene24[Apuesta Miniporra],0))</f>
        <v>3.2388663967611413E-2</v>
      </c>
      <c r="P24" s="4">
        <v>18</v>
      </c>
      <c r="Q24" s="28">
        <v>46.84</v>
      </c>
    </row>
    <row r="25" spans="1:20" x14ac:dyDescent="0.2">
      <c r="A25" t="s">
        <v>99</v>
      </c>
      <c r="B25" t="s">
        <v>402</v>
      </c>
      <c r="C25">
        <v>76.040000000000006</v>
      </c>
      <c r="D25" t="s">
        <v>180</v>
      </c>
      <c r="E25" t="s">
        <v>181</v>
      </c>
      <c r="F25" s="21">
        <f ca="1">apuestas_ene24[[#This Row],[Apuesta Miniporra]]-$B$3</f>
        <v>1.9400000000000119</v>
      </c>
      <c r="G25" s="22">
        <f ca="1">ABS(apuestas_ene24[[#This Row],[desvio]])/$B$3</f>
        <v>2.6180836707152658E-2</v>
      </c>
      <c r="H25">
        <f ca="1">_xlfn.RANK.EQ(apuestas_ene24[[#This Row],[desvio %]],apuestas_ene24[desvio %],1)</f>
        <v>10</v>
      </c>
      <c r="J25" t="s">
        <v>99</v>
      </c>
      <c r="K25" s="9">
        <f ca="1">INDEX(apuestas_ene24[orden],MATCH(resultados_ene[Apuesta MiniPorra],apuestas_ene24[Apuesta Miniporra],0))</f>
        <v>10</v>
      </c>
      <c r="L25" s="6" t="str">
        <f>INDEX(apuestas_ene24[Nombre],MATCH(resultados_ene[[#This Row],[Apuesta MiniPorra]],apuestas_ene24[Apuesta Miniporra],0))</f>
        <v>Alfredo Cotrina Martínez</v>
      </c>
      <c r="M25" s="14">
        <f>apuestas_ene24[[#This Row],[Apuesta Miniporra]]</f>
        <v>76.040000000000006</v>
      </c>
      <c r="N25" s="14">
        <f ca="1">INDEX(apuestas_ene24[desvio],MATCH(resultados_ene[[#This Row],[Apuesta MiniPorra]],apuestas_ene24[Apuesta Miniporra],0))</f>
        <v>1.9400000000000119</v>
      </c>
      <c r="O25" s="13">
        <f ca="1">INDEX(apuestas_ene24[desvio %],MATCH(resultados_ene[[#This Row],[Apuesta MiniPorra]],apuestas_ene24[Apuesta Miniporra],0))</f>
        <v>2.6180836707152658E-2</v>
      </c>
      <c r="P25" s="4">
        <v>19</v>
      </c>
      <c r="Q25" s="28">
        <v>70.87</v>
      </c>
    </row>
    <row r="26" spans="1:20" x14ac:dyDescent="0.2">
      <c r="A26" t="s">
        <v>99</v>
      </c>
      <c r="B26" t="s">
        <v>407</v>
      </c>
      <c r="C26">
        <v>75.650000000000006</v>
      </c>
      <c r="D26" t="s">
        <v>150</v>
      </c>
      <c r="E26" t="s">
        <v>151</v>
      </c>
      <c r="F26" s="21">
        <f ca="1">apuestas_ene24[[#This Row],[Apuesta Miniporra]]-$B$3</f>
        <v>1.5500000000000114</v>
      </c>
      <c r="G26" s="22">
        <f ca="1">ABS(apuestas_ene24[[#This Row],[desvio]])/$B$3</f>
        <v>2.091767881241581E-2</v>
      </c>
      <c r="H26">
        <f ca="1">_xlfn.RANK.EQ(apuestas_ene24[[#This Row],[desvio %]],apuestas_ene24[desvio %],1)</f>
        <v>9</v>
      </c>
      <c r="J26" t="s">
        <v>99</v>
      </c>
      <c r="K26" s="10">
        <f ca="1">INDEX(apuestas_ene24[orden],MATCH(resultados_ene[Apuesta MiniPorra],apuestas_ene24[Apuesta Miniporra],0))</f>
        <v>9</v>
      </c>
      <c r="L26" s="6" t="str">
        <f>INDEX(apuestas_ene24[Nombre],MATCH(resultados_ene[[#This Row],[Apuesta MiniPorra]],apuestas_ene24[Apuesta Miniporra],0))</f>
        <v>Vicente Fayos Gavila</v>
      </c>
      <c r="M26" s="14">
        <f>apuestas_ene24[[#This Row],[Apuesta Miniporra]]</f>
        <v>75.650000000000006</v>
      </c>
      <c r="N26" s="14">
        <f ca="1">INDEX(apuestas_ene24[desvio],MATCH(resultados_ene[[#This Row],[Apuesta MiniPorra]],apuestas_ene24[Apuesta Miniporra],0))</f>
        <v>1.5500000000000114</v>
      </c>
      <c r="O26" s="13">
        <f ca="1">INDEX(apuestas_ene24[desvio %],MATCH(resultados_ene[[#This Row],[Apuesta MiniPorra]],apuestas_ene24[Apuesta Miniporra],0))</f>
        <v>2.091767881241581E-2</v>
      </c>
      <c r="P26" s="4">
        <v>20</v>
      </c>
      <c r="Q26" s="28">
        <v>80.53</v>
      </c>
    </row>
    <row r="27" spans="1:20" x14ac:dyDescent="0.2">
      <c r="A27" t="s">
        <v>99</v>
      </c>
      <c r="B27" t="s">
        <v>226</v>
      </c>
      <c r="C27">
        <v>75.349999999999994</v>
      </c>
      <c r="D27" t="s">
        <v>118</v>
      </c>
      <c r="E27" t="s">
        <v>203</v>
      </c>
      <c r="F27" s="21">
        <f ca="1">apuestas_ene24[[#This Row],[Apuesta Miniporra]]-$B$3</f>
        <v>1.25</v>
      </c>
      <c r="G27" s="22">
        <f ca="1">ABS(apuestas_ene24[[#This Row],[desvio]])/$B$3</f>
        <v>1.6869095816464237E-2</v>
      </c>
      <c r="H27">
        <f ca="1">_xlfn.RANK.EQ(apuestas_ene24[[#This Row],[desvio %]],apuestas_ene24[desvio %],1)</f>
        <v>8</v>
      </c>
      <c r="J27" t="s">
        <v>99</v>
      </c>
      <c r="K27" s="9">
        <f ca="1">INDEX(apuestas_ene24[orden],MATCH(resultados_ene[Apuesta MiniPorra],apuestas_ene24[Apuesta Miniporra],0))</f>
        <v>8</v>
      </c>
      <c r="L27" s="6" t="str">
        <f>INDEX(apuestas_ene24[Nombre],MATCH(resultados_ene[[#This Row],[Apuesta MiniPorra]],apuestas_ene24[Apuesta Miniporra],0))</f>
        <v>Alejandro A. Díaz González</v>
      </c>
      <c r="M27" s="14">
        <f>apuestas_ene24[[#This Row],[Apuesta Miniporra]]</f>
        <v>75.349999999999994</v>
      </c>
      <c r="N27" s="14">
        <f ca="1">INDEX(apuestas_ene24[desvio],MATCH(resultados_ene[[#This Row],[Apuesta MiniPorra]],apuestas_ene24[Apuesta Miniporra],0))</f>
        <v>1.25</v>
      </c>
      <c r="O27" s="13">
        <f ca="1">INDEX(apuestas_ene24[desvio %],MATCH(resultados_ene[[#This Row],[Apuesta MiniPorra]],apuestas_ene24[Apuesta Miniporra],0))</f>
        <v>1.6869095816464237E-2</v>
      </c>
      <c r="P27" s="4">
        <v>21</v>
      </c>
      <c r="Q27" s="28">
        <v>64.400000000000006</v>
      </c>
    </row>
    <row r="28" spans="1:20" x14ac:dyDescent="0.2">
      <c r="A28" t="s">
        <v>99</v>
      </c>
      <c r="B28" t="s">
        <v>216</v>
      </c>
      <c r="C28">
        <v>75.150000000000006</v>
      </c>
      <c r="D28" t="s">
        <v>110</v>
      </c>
      <c r="E28" t="s">
        <v>111</v>
      </c>
      <c r="F28" s="21">
        <f ca="1">apuestas_ene24[[#This Row],[Apuesta Miniporra]]-$B$3</f>
        <v>1.0500000000000114</v>
      </c>
      <c r="G28" s="22">
        <f ca="1">ABS(apuestas_ene24[[#This Row],[desvio]])/$B$3</f>
        <v>1.4170040485830114E-2</v>
      </c>
      <c r="H28">
        <f ca="1">_xlfn.RANK.EQ(apuestas_ene24[[#This Row],[desvio %]],apuestas_ene24[desvio %],1)</f>
        <v>7</v>
      </c>
      <c r="J28" t="s">
        <v>99</v>
      </c>
      <c r="K28" s="10">
        <f ca="1">INDEX(apuestas_ene24[orden],MATCH(resultados_ene[Apuesta MiniPorra],apuestas_ene24[Apuesta Miniporra],0))</f>
        <v>7</v>
      </c>
      <c r="L28" s="6" t="str">
        <f>INDEX(apuestas_ene24[Nombre],MATCH(resultados_ene[[#This Row],[Apuesta MiniPorra]],apuestas_ene24[Apuesta Miniporra],0))</f>
        <v>Brais García</v>
      </c>
      <c r="M28" s="14">
        <f>apuestas_ene24[[#This Row],[Apuesta Miniporra]]</f>
        <v>75.150000000000006</v>
      </c>
      <c r="N28" s="14">
        <f ca="1">INDEX(apuestas_ene24[desvio],MATCH(resultados_ene[[#This Row],[Apuesta MiniPorra]],apuestas_ene24[Apuesta Miniporra],0))</f>
        <v>1.0500000000000114</v>
      </c>
      <c r="O28" s="13">
        <f ca="1">INDEX(apuestas_ene24[desvio %],MATCH(resultados_ene[[#This Row],[Apuesta MiniPorra]],apuestas_ene24[Apuesta Miniporra],0))</f>
        <v>1.4170040485830114E-2</v>
      </c>
      <c r="P28" s="4">
        <v>22</v>
      </c>
      <c r="Q28" s="28">
        <v>67.92</v>
      </c>
    </row>
    <row r="29" spans="1:20" x14ac:dyDescent="0.2">
      <c r="A29" t="s">
        <v>99</v>
      </c>
      <c r="B29" t="s">
        <v>406</v>
      </c>
      <c r="C29">
        <v>75</v>
      </c>
      <c r="D29" t="s">
        <v>155</v>
      </c>
      <c r="E29" t="s">
        <v>156</v>
      </c>
      <c r="F29" s="21">
        <f ca="1">apuestas_ene24[[#This Row],[Apuesta Miniporra]]-$B$3</f>
        <v>0.90000000000000568</v>
      </c>
      <c r="G29" s="22">
        <f ca="1">ABS(apuestas_ene24[[#This Row],[desvio]])/$B$3</f>
        <v>1.2145748987854329E-2</v>
      </c>
      <c r="H29">
        <f ca="1">_xlfn.RANK.EQ(apuestas_ene24[[#This Row],[desvio %]],apuestas_ene24[desvio %],1)</f>
        <v>6</v>
      </c>
      <c r="J29" t="s">
        <v>99</v>
      </c>
      <c r="K29" s="9">
        <f ca="1">INDEX(apuestas_ene24[orden],MATCH(resultados_ene[Apuesta MiniPorra],apuestas_ene24[Apuesta Miniporra],0))</f>
        <v>6</v>
      </c>
      <c r="L29" s="6" t="str">
        <f>INDEX(apuestas_ene24[Nombre],MATCH(resultados_ene[[#This Row],[Apuesta MiniPorra]],apuestas_ene24[Apuesta Miniporra],0))</f>
        <v>Javier Pérez Salazar</v>
      </c>
      <c r="M29" s="14">
        <f>apuestas_ene24[[#This Row],[Apuesta Miniporra]]</f>
        <v>75</v>
      </c>
      <c r="N29" s="14">
        <f ca="1">INDEX(apuestas_ene24[desvio],MATCH(resultados_ene[[#This Row],[Apuesta MiniPorra]],apuestas_ene24[Apuesta Miniporra],0))</f>
        <v>0.90000000000000568</v>
      </c>
      <c r="O29" s="13">
        <f ca="1">INDEX(apuestas_ene24[desvio %],MATCH(resultados_ene[[#This Row],[Apuesta MiniPorra]],apuestas_ene24[Apuesta Miniporra],0))</f>
        <v>1.2145748987854329E-2</v>
      </c>
      <c r="P29" s="4">
        <v>23</v>
      </c>
      <c r="Q29" s="28">
        <v>78.02</v>
      </c>
    </row>
    <row r="30" spans="1:20" x14ac:dyDescent="0.2">
      <c r="A30" t="s">
        <v>99</v>
      </c>
      <c r="B30" t="s">
        <v>399</v>
      </c>
      <c r="C30">
        <v>74.56</v>
      </c>
      <c r="D30" t="s">
        <v>118</v>
      </c>
      <c r="E30" t="s">
        <v>238</v>
      </c>
      <c r="F30" s="21">
        <f ca="1">apuestas_ene24[[#This Row],[Apuesta Miniporra]]-$B$3</f>
        <v>0.46000000000000796</v>
      </c>
      <c r="G30" s="22">
        <f ca="1">ABS(apuestas_ene24[[#This Row],[desvio]])/$B$3</f>
        <v>6.2078272604589469E-3</v>
      </c>
      <c r="H30">
        <f ca="1">_xlfn.RANK.EQ(apuestas_ene24[[#This Row],[desvio %]],apuestas_ene24[desvio %],1)</f>
        <v>3</v>
      </c>
      <c r="J30" t="s">
        <v>99</v>
      </c>
      <c r="K30" s="9">
        <f ca="1">INDEX(apuestas_ene24[orden],MATCH(resultados_ene[Apuesta MiniPorra],apuestas_ene24[Apuesta Miniporra],0))</f>
        <v>3</v>
      </c>
      <c r="L30" s="6" t="str">
        <f>INDEX(apuestas_ene24[Nombre],MATCH(resultados_ene[[#This Row],[Apuesta MiniPorra]],apuestas_ene24[Apuesta Miniporra],0))</f>
        <v>Sergio Lopez Oliver</v>
      </c>
      <c r="M30" s="14">
        <f>apuestas_ene24[[#This Row],[Apuesta Miniporra]]</f>
        <v>74.56</v>
      </c>
      <c r="N30" s="14">
        <f ca="1">INDEX(apuestas_ene24[desvio],MATCH(resultados_ene[[#This Row],[Apuesta MiniPorra]],apuestas_ene24[Apuesta Miniporra],0))</f>
        <v>0.46000000000000796</v>
      </c>
      <c r="O30" s="13">
        <f ca="1">INDEX(apuestas_ene24[desvio %],MATCH(resultados_ene[[#This Row],[Apuesta MiniPorra]],apuestas_ene24[Apuesta Miniporra],0))</f>
        <v>6.2078272604589469E-3</v>
      </c>
      <c r="P30" s="4">
        <v>24</v>
      </c>
      <c r="Q30" s="28">
        <v>83.42</v>
      </c>
    </row>
    <row r="31" spans="1:20" x14ac:dyDescent="0.2">
      <c r="A31" t="s">
        <v>99</v>
      </c>
      <c r="B31" s="46" t="s">
        <v>362</v>
      </c>
      <c r="C31">
        <v>74.3</v>
      </c>
      <c r="D31" t="s">
        <v>118</v>
      </c>
      <c r="E31" t="s">
        <v>213</v>
      </c>
      <c r="F31" s="21">
        <f ca="1">apuestas_ene24[[#This Row],[Apuesta Miniporra]]-$B$3</f>
        <v>0.20000000000000284</v>
      </c>
      <c r="G31" s="22">
        <f ca="1">ABS(apuestas_ene24[[#This Row],[desvio]])/$B$3</f>
        <v>2.6990553306343165E-3</v>
      </c>
      <c r="H31">
        <f ca="1">_xlfn.RANK.EQ(apuestas_ene24[[#This Row],[desvio %]],apuestas_ene24[desvio %],1)</f>
        <v>2</v>
      </c>
      <c r="J31" t="s">
        <v>99</v>
      </c>
      <c r="K31" s="9">
        <f ca="1">INDEX(apuestas_ene24[orden],MATCH(resultados_ene[Apuesta MiniPorra],apuestas_ene24[Apuesta Miniporra],0))</f>
        <v>2</v>
      </c>
      <c r="L31" s="6" t="str">
        <f>INDEX(apuestas_ene24[Nombre],MATCH(resultados_ene[[#This Row],[Apuesta MiniPorra]],apuestas_ene24[Apuesta Miniporra],0))</f>
        <v>Inés Monroy</v>
      </c>
      <c r="M31" s="14">
        <f>apuestas_ene24[[#This Row],[Apuesta Miniporra]]</f>
        <v>74.3</v>
      </c>
      <c r="N31" s="14">
        <f ca="1">INDEX(apuestas_ene24[desvio],MATCH(resultados_ene[[#This Row],[Apuesta MiniPorra]],apuestas_ene24[Apuesta Miniporra],0))</f>
        <v>0.20000000000000284</v>
      </c>
      <c r="O31" s="13">
        <f ca="1">INDEX(apuestas_ene24[desvio %],MATCH(resultados_ene[[#This Row],[Apuesta MiniPorra]],apuestas_ene24[Apuesta Miniporra],0))</f>
        <v>2.6990553306343165E-3</v>
      </c>
      <c r="P31" s="4">
        <v>25</v>
      </c>
      <c r="Q31" s="28">
        <v>76.8</v>
      </c>
    </row>
    <row r="32" spans="1:20" x14ac:dyDescent="0.2">
      <c r="A32" t="s">
        <v>99</v>
      </c>
      <c r="B32" t="s">
        <v>404</v>
      </c>
      <c r="C32">
        <v>74.28</v>
      </c>
      <c r="D32" t="s">
        <v>165</v>
      </c>
      <c r="E32" t="s">
        <v>147</v>
      </c>
      <c r="F32" s="21">
        <f ca="1">apuestas_ene24[[#This Row],[Apuesta Miniporra]]-$B$3</f>
        <v>0.18000000000000682</v>
      </c>
      <c r="G32" s="22">
        <f ca="1">ABS(apuestas_ene24[[#This Row],[desvio]])/$B$3</f>
        <v>2.4291497975709423E-3</v>
      </c>
      <c r="H32">
        <f ca="1">_xlfn.RANK.EQ(apuestas_ene24[[#This Row],[desvio %]],apuestas_ene24[desvio %],1)</f>
        <v>1</v>
      </c>
      <c r="J32" t="s">
        <v>99</v>
      </c>
      <c r="K32" s="10">
        <f ca="1">INDEX(apuestas_ene24[orden],MATCH(resultados_ene[Apuesta MiniPorra],apuestas_ene24[Apuesta Miniporra],0))</f>
        <v>1</v>
      </c>
      <c r="L32" s="6" t="str">
        <f>INDEX(apuestas_ene24[Nombre],MATCH(resultados_ene[[#This Row],[Apuesta MiniPorra]],apuestas_ene24[Apuesta Miniporra],0))</f>
        <v>Juan Luis Jarillo Gómez</v>
      </c>
      <c r="M32" s="14">
        <f>apuestas_ene24[[#This Row],[Apuesta Miniporra]]</f>
        <v>74.28</v>
      </c>
      <c r="N32" s="14">
        <f ca="1">INDEX(apuestas_ene24[desvio],MATCH(resultados_ene[[#This Row],[Apuesta MiniPorra]],apuestas_ene24[Apuesta Miniporra],0))</f>
        <v>0.18000000000000682</v>
      </c>
      <c r="O32" s="13">
        <f ca="1">INDEX(apuestas_ene24[desvio %],MATCH(resultados_ene[[#This Row],[Apuesta MiniPorra]],apuestas_ene24[Apuesta Miniporra],0))</f>
        <v>2.4291497975709423E-3</v>
      </c>
      <c r="P32" s="4">
        <v>26</v>
      </c>
      <c r="Q32" s="28">
        <v>72.56</v>
      </c>
    </row>
    <row r="33" spans="1:17" x14ac:dyDescent="0.2">
      <c r="A33" t="s">
        <v>99</v>
      </c>
      <c r="B33" t="s">
        <v>222</v>
      </c>
      <c r="C33">
        <v>73.45</v>
      </c>
      <c r="D33" t="s">
        <v>177</v>
      </c>
      <c r="E33" t="s">
        <v>178</v>
      </c>
      <c r="F33" s="21">
        <f ca="1">apuestas_ene24[[#This Row],[Apuesta Miniporra]]-$B$3</f>
        <v>-0.64999999999999147</v>
      </c>
      <c r="G33" s="22">
        <f ca="1">ABS(apuestas_ene24[[#This Row],[desvio]])/$B$3</f>
        <v>8.7719298245612885E-3</v>
      </c>
      <c r="H33">
        <f ca="1">_xlfn.RANK.EQ(apuestas_ene24[[#This Row],[desvio %]],apuestas_ene24[desvio %],1)</f>
        <v>4</v>
      </c>
      <c r="J33" t="s">
        <v>99</v>
      </c>
      <c r="K33" s="9">
        <f ca="1">INDEX(apuestas_ene24[orden],MATCH(resultados_ene[Apuesta MiniPorra],apuestas_ene24[Apuesta Miniporra],0))</f>
        <v>4</v>
      </c>
      <c r="L33" s="6" t="str">
        <f>INDEX(apuestas_ene24[Nombre],MATCH(resultados_ene[[#This Row],[Apuesta MiniPorra]],apuestas_ene24[Apuesta Miniporra],0))</f>
        <v>Jose F Vidal</v>
      </c>
      <c r="M33" s="14">
        <f>apuestas_ene24[[#This Row],[Apuesta Miniporra]]</f>
        <v>73.45</v>
      </c>
      <c r="N33" s="14">
        <f ca="1">INDEX(apuestas_ene24[desvio],MATCH(resultados_ene[[#This Row],[Apuesta MiniPorra]],apuestas_ene24[Apuesta Miniporra],0))</f>
        <v>-0.64999999999999147</v>
      </c>
      <c r="O33" s="13">
        <f ca="1">INDEX(apuestas_ene24[desvio %],MATCH(resultados_ene[[#This Row],[Apuesta MiniPorra]],apuestas_ene24[Apuesta Miniporra],0))</f>
        <v>8.7719298245612885E-3</v>
      </c>
      <c r="P33" s="4">
        <v>27</v>
      </c>
      <c r="Q33" s="28">
        <v>66.06</v>
      </c>
    </row>
    <row r="34" spans="1:17" x14ac:dyDescent="0.2">
      <c r="A34" t="s">
        <v>99</v>
      </c>
      <c r="B34" t="s">
        <v>223</v>
      </c>
      <c r="C34">
        <v>73.3</v>
      </c>
      <c r="D34" t="s">
        <v>118</v>
      </c>
      <c r="E34" t="s">
        <v>187</v>
      </c>
      <c r="F34" s="21">
        <f ca="1">apuestas_ene24[[#This Row],[Apuesta Miniporra]]-$B$3</f>
        <v>-0.79999999999999716</v>
      </c>
      <c r="G34" s="22">
        <f ca="1">ABS(apuestas_ene24[[#This Row],[desvio]])/$B$3</f>
        <v>1.0796221322537075E-2</v>
      </c>
      <c r="H34">
        <f ca="1">_xlfn.RANK.EQ(apuestas_ene24[[#This Row],[desvio %]],apuestas_ene24[desvio %],1)</f>
        <v>5</v>
      </c>
      <c r="J34" t="s">
        <v>99</v>
      </c>
      <c r="K34" s="10">
        <f ca="1">INDEX(apuestas_ene24[orden],MATCH(resultados_ene[Apuesta MiniPorra],apuestas_ene24[Apuesta Miniporra],0))</f>
        <v>5</v>
      </c>
      <c r="L34" s="6" t="str">
        <f>INDEX(apuestas_ene24[Nombre],MATCH(resultados_ene[[#This Row],[Apuesta MiniPorra]],apuestas_ene24[Apuesta Miniporra],0))</f>
        <v>Javier Cervera</v>
      </c>
      <c r="M34" s="14">
        <f>apuestas_ene24[[#This Row],[Apuesta Miniporra]]</f>
        <v>73.3</v>
      </c>
      <c r="N34" s="14">
        <f ca="1">INDEX(apuestas_ene24[desvio],MATCH(resultados_ene[[#This Row],[Apuesta MiniPorra]],apuestas_ene24[Apuesta Miniporra],0))</f>
        <v>-0.79999999999999716</v>
      </c>
      <c r="O34" s="13">
        <f ca="1">INDEX(apuestas_ene24[desvio %],MATCH(resultados_ene[[#This Row],[Apuesta MiniPorra]],apuestas_ene24[Apuesta Miniporra],0))</f>
        <v>1.0796221322537075E-2</v>
      </c>
      <c r="P34" s="4">
        <v>28</v>
      </c>
      <c r="Q34" s="28">
        <v>52.14</v>
      </c>
    </row>
    <row r="35" spans="1:17" x14ac:dyDescent="0.2">
      <c r="A35" t="s">
        <v>99</v>
      </c>
      <c r="B35" t="s">
        <v>336</v>
      </c>
      <c r="C35">
        <v>71.7</v>
      </c>
      <c r="D35" t="s">
        <v>174</v>
      </c>
      <c r="E35" t="s">
        <v>2</v>
      </c>
      <c r="F35" s="21">
        <f ca="1">apuestas_ene24[[#This Row],[Apuesta Miniporra]]-$B$3</f>
        <v>-2.3999999999999915</v>
      </c>
      <c r="G35" s="22">
        <f ca="1">ABS(apuestas_ene24[[#This Row],[desvio]])/$B$3</f>
        <v>3.2388663967611225E-2</v>
      </c>
      <c r="H35">
        <f ca="1">_xlfn.RANK.EQ(apuestas_ene24[[#This Row],[desvio %]],apuestas_ene24[desvio %],1)</f>
        <v>11</v>
      </c>
      <c r="J35" t="s">
        <v>99</v>
      </c>
      <c r="K35" s="9">
        <f ca="1">INDEX(apuestas_ene24[orden],MATCH(resultados_ene[Apuesta MiniPorra],apuestas_ene24[Apuesta Miniporra],0))</f>
        <v>11</v>
      </c>
      <c r="L35" s="6" t="str">
        <f>INDEX(apuestas_ene24[Nombre],MATCH(resultados_ene[[#This Row],[Apuesta MiniPorra]],apuestas_ene24[Apuesta Miniporra],0))</f>
        <v>Javier Revuelta Alonso</v>
      </c>
      <c r="M35" s="14">
        <f>apuestas_ene24[[#This Row],[Apuesta Miniporra]]</f>
        <v>71.7</v>
      </c>
      <c r="N35" s="14">
        <f ca="1">INDEX(apuestas_ene24[desvio],MATCH(resultados_ene[[#This Row],[Apuesta MiniPorra]],apuestas_ene24[Apuesta Miniporra],0))</f>
        <v>-2.3999999999999915</v>
      </c>
      <c r="O35" s="13">
        <f ca="1">INDEX(apuestas_ene24[desvio %],MATCH(resultados_ene[[#This Row],[Apuesta MiniPorra]],apuestas_ene24[Apuesta Miniporra],0))</f>
        <v>3.2388663967611225E-2</v>
      </c>
      <c r="P35" s="4">
        <v>29</v>
      </c>
      <c r="Q35" s="28">
        <v>77.97</v>
      </c>
    </row>
    <row r="36" spans="1:17" x14ac:dyDescent="0.2">
      <c r="A36" t="s">
        <v>99</v>
      </c>
      <c r="B36" t="s">
        <v>408</v>
      </c>
      <c r="C36">
        <v>71.23</v>
      </c>
      <c r="D36" t="s">
        <v>137</v>
      </c>
      <c r="E36" t="s">
        <v>42</v>
      </c>
      <c r="F36" s="21">
        <f ca="1">apuestas_ene24[[#This Row],[Apuesta Miniporra]]-$B$3</f>
        <v>-2.8699999999999903</v>
      </c>
      <c r="G36" s="22">
        <f ca="1">ABS(apuestas_ene24[[#This Row],[desvio]])/$B$3</f>
        <v>3.8731443994601759E-2</v>
      </c>
      <c r="H36">
        <f ca="1">_xlfn.RANK.EQ(apuestas_ene24[[#This Row],[desvio %]],apuestas_ene24[desvio %],1)</f>
        <v>13</v>
      </c>
      <c r="J36" t="s">
        <v>99</v>
      </c>
      <c r="K36" s="10">
        <f ca="1">INDEX(apuestas_ene24[orden],MATCH(resultados_ene[Apuesta MiniPorra],apuestas_ene24[Apuesta Miniporra],0))</f>
        <v>13</v>
      </c>
      <c r="L36" s="6" t="str">
        <f>INDEX(apuestas_ene24[Nombre],MATCH(resultados_ene[[#This Row],[Apuesta MiniPorra]],apuestas_ene24[Apuesta Miniporra],0))</f>
        <v>Julián Mateo Muñoz</v>
      </c>
      <c r="M36" s="14">
        <f>apuestas_ene24[[#This Row],[Apuesta Miniporra]]</f>
        <v>71.23</v>
      </c>
      <c r="N36" s="14">
        <f ca="1">INDEX(apuestas_ene24[desvio],MATCH(resultados_ene[[#This Row],[Apuesta MiniPorra]],apuestas_ene24[Apuesta Miniporra],0))</f>
        <v>-2.8699999999999903</v>
      </c>
      <c r="O36" s="13">
        <f ca="1">INDEX(apuestas_ene24[desvio %],MATCH(resultados_ene[[#This Row],[Apuesta MiniPorra]],apuestas_ene24[Apuesta Miniporra],0))</f>
        <v>3.8731443994601759E-2</v>
      </c>
      <c r="P36" s="4">
        <v>30</v>
      </c>
      <c r="Q36" s="28">
        <v>81.28</v>
      </c>
    </row>
    <row r="37" spans="1:17" x14ac:dyDescent="0.2">
      <c r="A37" t="s">
        <v>99</v>
      </c>
      <c r="B37" t="s">
        <v>363</v>
      </c>
      <c r="C37">
        <v>70.8</v>
      </c>
      <c r="D37" t="s">
        <v>144</v>
      </c>
      <c r="E37" t="s">
        <v>76</v>
      </c>
      <c r="F37" s="21">
        <f ca="1">apuestas_ene24[[#This Row],[Apuesta Miniporra]]-$B$3</f>
        <v>-3.2999999999999972</v>
      </c>
      <c r="G37" s="22">
        <f ca="1">ABS(apuestas_ene24[[#This Row],[desvio]])/$B$3</f>
        <v>4.4534412955465549E-2</v>
      </c>
      <c r="H37">
        <f ca="1">_xlfn.RANK.EQ(apuestas_ene24[[#This Row],[desvio %]],apuestas_ene24[desvio %],1)</f>
        <v>14</v>
      </c>
      <c r="J37" t="s">
        <v>99</v>
      </c>
      <c r="K37" s="9">
        <f ca="1">INDEX(apuestas_ene24[orden],MATCH(resultados_ene[Apuesta MiniPorra],apuestas_ene24[Apuesta Miniporra],0))</f>
        <v>14</v>
      </c>
      <c r="L37" s="6" t="str">
        <f>INDEX(apuestas_ene24[Nombre],MATCH(resultados_ene[[#This Row],[Apuesta MiniPorra]],apuestas_ene24[Apuesta Miniporra],0))</f>
        <v>Roque Alonso Alonso</v>
      </c>
      <c r="M37" s="14">
        <f>apuestas_ene24[[#This Row],[Apuesta Miniporra]]</f>
        <v>70.8</v>
      </c>
      <c r="N37" s="14">
        <f ca="1">INDEX(apuestas_ene24[desvio],MATCH(resultados_ene[[#This Row],[Apuesta MiniPorra]],apuestas_ene24[Apuesta Miniporra],0))</f>
        <v>-3.2999999999999972</v>
      </c>
      <c r="O37" s="13">
        <f ca="1">INDEX(apuestas_ene24[desvio %],MATCH(resultados_ene[[#This Row],[Apuesta MiniPorra]],apuestas_ene24[Apuesta Miniporra],0))</f>
        <v>4.4534412955465549E-2</v>
      </c>
      <c r="P37" s="4">
        <v>31</v>
      </c>
      <c r="Q37" s="28">
        <v>84.26</v>
      </c>
    </row>
    <row r="38" spans="1:17" x14ac:dyDescent="0.2">
      <c r="A38" t="s">
        <v>99</v>
      </c>
      <c r="B38" t="s">
        <v>224</v>
      </c>
      <c r="C38">
        <v>66.56</v>
      </c>
      <c r="D38" t="s">
        <v>118</v>
      </c>
      <c r="E38" t="s">
        <v>191</v>
      </c>
      <c r="F38" s="21">
        <f ca="1">apuestas_ene24[[#This Row],[Apuesta Miniporra]]-$B$3</f>
        <v>-7.539999999999992</v>
      </c>
      <c r="G38" s="22">
        <f ca="1">ABS(apuestas_ene24[[#This Row],[desvio]])/$B$3</f>
        <v>0.10175438596491218</v>
      </c>
      <c r="H38">
        <f ca="1">_xlfn.RANK.EQ(apuestas_ene24[[#This Row],[desvio %]],apuestas_ene24[desvio %],1)</f>
        <v>20</v>
      </c>
      <c r="J38" t="s">
        <v>99</v>
      </c>
      <c r="K38" s="10">
        <f ca="1">INDEX(apuestas_ene24[orden],MATCH(resultados_ene[Apuesta MiniPorra],apuestas_ene24[Apuesta Miniporra],0))</f>
        <v>20</v>
      </c>
      <c r="L38" s="6" t="str">
        <f>INDEX(apuestas_ene24[Nombre],MATCH(resultados_ene[[#This Row],[Apuesta MiniPorra]],apuestas_ene24[Apuesta Miniporra],0))</f>
        <v>Jesús López</v>
      </c>
      <c r="M38" s="14">
        <f>apuestas_ene24[[#This Row],[Apuesta Miniporra]]</f>
        <v>66.56</v>
      </c>
      <c r="N38" s="14">
        <f ca="1">INDEX(apuestas_ene24[desvio],MATCH(resultados_ene[[#This Row],[Apuesta MiniPorra]],apuestas_ene24[Apuesta Miniporra],0))</f>
        <v>-7.539999999999992</v>
      </c>
      <c r="O38" s="13">
        <f ca="1">INDEX(apuestas_ene24[desvio %],MATCH(resultados_ene[[#This Row],[Apuesta MiniPorra]],apuestas_ene24[Apuesta Miniporra],0))</f>
        <v>0.10175438596491218</v>
      </c>
      <c r="P38" s="4"/>
    </row>
    <row r="39" spans="1:17" x14ac:dyDescent="0.2">
      <c r="A39" t="s">
        <v>99</v>
      </c>
      <c r="B39" s="45" t="s">
        <v>405</v>
      </c>
      <c r="C39">
        <v>65.87</v>
      </c>
      <c r="D39" t="s">
        <v>158</v>
      </c>
      <c r="E39" t="s">
        <v>159</v>
      </c>
      <c r="F39" s="21">
        <f ca="1">apuestas_ene24[[#This Row],[Apuesta Miniporra]]-$B$3</f>
        <v>-8.2299999999999898</v>
      </c>
      <c r="G39" s="22">
        <f ca="1">ABS(apuestas_ene24[[#This Row],[desvio]])/$B$3</f>
        <v>0.11106612685560041</v>
      </c>
      <c r="H39">
        <f ca="1">_xlfn.RANK.EQ(apuestas_ene24[[#This Row],[desvio %]],apuestas_ene24[desvio %],1)</f>
        <v>22</v>
      </c>
      <c r="J39" t="s">
        <v>99</v>
      </c>
      <c r="K39" s="16">
        <f ca="1">INDEX(apuestas_ene24[orden],MATCH(resultados_ene[Apuesta MiniPorra],apuestas_ene24[Apuesta Miniporra],0))</f>
        <v>22</v>
      </c>
      <c r="L39" s="27" t="str">
        <f>INDEX(apuestas_ene24[Nombre],MATCH(resultados_ene[[#This Row],[Apuesta MiniPorra]],apuestas_ene24[Apuesta Miniporra],0))</f>
        <v>Marc Soler Collell</v>
      </c>
      <c r="M39" s="17">
        <f>apuestas_ene24[[#This Row],[Apuesta Miniporra]]</f>
        <v>65.87</v>
      </c>
      <c r="N39" s="17">
        <f ca="1">INDEX(apuestas_ene24[desvio],MATCH(resultados_ene[[#This Row],[Apuesta MiniPorra]],apuestas_ene24[Apuesta Miniporra],0))</f>
        <v>-8.2299999999999898</v>
      </c>
      <c r="O39" s="18">
        <f ca="1">INDEX(apuestas_ene24[desvio %],MATCH(resultados_ene[[#This Row],[Apuesta MiniPorra]],apuestas_ene24[Apuesta Miniporra],0))</f>
        <v>0.11106612685560041</v>
      </c>
      <c r="P39" s="4"/>
    </row>
    <row r="40" spans="1:17" x14ac:dyDescent="0.2">
      <c r="A40" t="s">
        <v>99</v>
      </c>
      <c r="B40" s="45" t="s">
        <v>242</v>
      </c>
      <c r="C40">
        <v>60.5</v>
      </c>
      <c r="D40" t="s">
        <v>241</v>
      </c>
      <c r="E40" t="s">
        <v>242</v>
      </c>
      <c r="F40" s="21">
        <f ca="1">apuestas_ene24[[#This Row],[Apuesta Miniporra]]-$B$3</f>
        <v>-13.599999999999994</v>
      </c>
      <c r="G40" s="22">
        <f ca="1">ABS(apuestas_ene24[[#This Row],[desvio]])/$B$3</f>
        <v>0.18353576248313083</v>
      </c>
      <c r="H40">
        <f ca="1">_xlfn.RANK.EQ(apuestas_ene24[[#This Row],[desvio %]],apuestas_ene24[desvio %],1)</f>
        <v>28</v>
      </c>
      <c r="J40" t="s">
        <v>99</v>
      </c>
      <c r="K40" s="16">
        <f ca="1">INDEX(apuestas_ene24[orden],MATCH(resultados_ene[Apuesta MiniPorra],apuestas_ene24[Apuesta Miniporra],0))</f>
        <v>28</v>
      </c>
      <c r="L40" s="27" t="str">
        <f>INDEX(apuestas_ene24[Nombre],MATCH(resultados_ene[[#This Row],[Apuesta MiniPorra]],apuestas_ene24[Apuesta Miniporra],0))</f>
        <v>Javier Espelta</v>
      </c>
      <c r="M40" s="17">
        <f>apuestas_ene24[[#This Row],[Apuesta Miniporra]]</f>
        <v>60.5</v>
      </c>
      <c r="N40" s="17">
        <f ca="1">INDEX(apuestas_ene24[desvio],MATCH(resultados_ene[[#This Row],[Apuesta MiniPorra]],apuestas_ene24[Apuesta Miniporra],0))</f>
        <v>-13.599999999999994</v>
      </c>
      <c r="O40" s="18">
        <f ca="1">INDEX(apuestas_ene24[desvio %],MATCH(resultados_ene[[#This Row],[Apuesta MiniPorra]],apuestas_ene24[Apuesta Miniporra],0))</f>
        <v>0.18353576248313083</v>
      </c>
      <c r="P40" s="4"/>
    </row>
    <row r="41" spans="1:17" x14ac:dyDescent="0.2">
      <c r="A41" t="s">
        <v>99</v>
      </c>
      <c r="B41" t="s">
        <v>217</v>
      </c>
      <c r="C41">
        <v>59.5</v>
      </c>
      <c r="D41" t="s">
        <v>118</v>
      </c>
      <c r="E41" t="s">
        <v>123</v>
      </c>
      <c r="F41" s="21">
        <f ca="1">apuestas_ene24[[#This Row],[Apuesta Miniporra]]-$B$3</f>
        <v>-14.599999999999994</v>
      </c>
      <c r="G41" s="22">
        <f ca="1">ABS(apuestas_ene24[[#This Row],[desvio]])/$B$3</f>
        <v>0.19703103913630224</v>
      </c>
      <c r="H41">
        <f ca="1">_xlfn.RANK.EQ(apuestas_ene24[[#This Row],[desvio %]],apuestas_ene24[desvio %],1)</f>
        <v>31</v>
      </c>
      <c r="J41" t="s">
        <v>99</v>
      </c>
      <c r="K41" s="10">
        <f ca="1">INDEX(apuestas_ene24[orden],MATCH(resultados_ene[Apuesta MiniPorra],apuestas_ene24[Apuesta Miniporra],0))</f>
        <v>31</v>
      </c>
      <c r="L41" s="6" t="str">
        <f>INDEX(apuestas_ene24[Nombre],MATCH(resultados_ene[[#This Row],[Apuesta MiniPorra]],apuestas_ene24[Apuesta Miniporra],0))</f>
        <v>Fernando Sánchez-Rey Maeso</v>
      </c>
      <c r="M41" s="14">
        <f>apuestas_ene24[[#This Row],[Apuesta Miniporra]]</f>
        <v>59.5</v>
      </c>
      <c r="N41" s="14">
        <f ca="1">INDEX(apuestas_ene24[desvio],MATCH(resultados_ene[[#This Row],[Apuesta MiniPorra]],apuestas_ene24[Apuesta Miniporra],0))</f>
        <v>-14.599999999999994</v>
      </c>
      <c r="O41" s="13">
        <f ca="1">INDEX(apuestas_ene24[desvio %],MATCH(resultados_ene[[#This Row],[Apuesta MiniPorra]],apuestas_ene24[Apuesta Miniporra],0))</f>
        <v>0.19703103913630224</v>
      </c>
      <c r="P41" s="4"/>
    </row>
    <row r="42" spans="1:17" x14ac:dyDescent="0.2">
      <c r="A42" s="31" t="s">
        <v>99</v>
      </c>
      <c r="B42" s="31" t="s">
        <v>268</v>
      </c>
      <c r="C42" s="31">
        <v>0.14000000000000001</v>
      </c>
      <c r="D42" s="31" t="s">
        <v>262</v>
      </c>
      <c r="E42" s="31" t="s">
        <v>263</v>
      </c>
      <c r="F42" s="32">
        <f ca="1">apuestas_ene24[[#This Row],[Apuesta Miniporra]]-$B$3</f>
        <v>-73.959999999999994</v>
      </c>
      <c r="G42" s="33">
        <f ca="1">ABS(apuestas_ene24[[#This Row],[desvio]])/$B$3</f>
        <v>0.99811066126855597</v>
      </c>
      <c r="H42" s="31">
        <f ca="1">_xlfn.RANK.EQ(apuestas_ene24[[#This Row],[desvio %]],apuestas_ene24[desvio %],1)</f>
        <v>36</v>
      </c>
    </row>
  </sheetData>
  <mergeCells count="11">
    <mergeCell ref="G3:H3"/>
    <mergeCell ref="T1:T5"/>
    <mergeCell ref="R20:T22"/>
    <mergeCell ref="Q1:S5"/>
    <mergeCell ref="J1:K5"/>
    <mergeCell ref="L1:L2"/>
    <mergeCell ref="L3:L5"/>
    <mergeCell ref="O3:P5"/>
    <mergeCell ref="O1:P2"/>
    <mergeCell ref="M1:N2"/>
    <mergeCell ref="M3:N5"/>
  </mergeCells>
  <phoneticPr fontId="9" type="noConversion"/>
  <conditionalFormatting sqref="K7:O41">
    <cfRule type="expression" dxfId="39" priority="14">
      <formula>$K7=3</formula>
    </cfRule>
    <cfRule type="expression" dxfId="38" priority="15">
      <formula>$K7=2</formula>
    </cfRule>
    <cfRule type="expression" dxfId="37" priority="16">
      <formula>$K7=1</formula>
    </cfRule>
  </conditionalFormatting>
  <conditionalFormatting sqref="O7:O41">
    <cfRule type="dataBar" priority="4">
      <dataBar>
        <cfvo type="min"/>
        <cfvo type="max"/>
        <color rgb="FFFF555A"/>
      </dataBar>
      <extLst>
        <ext xmlns:x14="http://schemas.microsoft.com/office/spreadsheetml/2009/9/main" uri="{B025F937-C7B1-47D3-B67F-A62EFF666E3E}">
          <x14:id>{AE610E02-61CC-46BD-B8EE-59DEE86226DC}</x14:id>
        </ext>
      </extLst>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actualizar_tabla">
                <anchor moveWithCells="1" sizeWithCells="1">
                  <from>
                    <xdr:col>3</xdr:col>
                    <xdr:colOff>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7171" r:id="rId4" name="Spinner 3">
              <controlPr defaultSize="0" autoPict="0">
                <anchor moveWithCells="1" sizeWithCells="1">
                  <from>
                    <xdr:col>4</xdr:col>
                    <xdr:colOff>809625</xdr:colOff>
                    <xdr:row>0</xdr:row>
                    <xdr:rowOff>9525</xdr:rowOff>
                  </from>
                  <to>
                    <xdr:col>5</xdr:col>
                    <xdr:colOff>561975</xdr:colOff>
                    <xdr:row>3</xdr:row>
                    <xdr:rowOff>0</xdr:rowOff>
                  </to>
                </anchor>
              </controlPr>
            </control>
          </mc:Choice>
        </mc:AlternateContent>
      </controls>
    </mc:Choice>
  </mc:AlternateContent>
  <tableParts count="3">
    <tablePart r:id="rId5"/>
    <tablePart r:id="rId6"/>
    <tablePart r:id="rId7"/>
  </tableParts>
  <extLst>
    <ext xmlns:x14="http://schemas.microsoft.com/office/spreadsheetml/2009/9/main" uri="{78C0D931-6437-407d-A8EE-F0AAD7539E65}">
      <x14:conditionalFormattings>
        <x14:conditionalFormatting xmlns:xm="http://schemas.microsoft.com/office/excel/2006/main">
          <x14:cfRule type="dataBar" id="{AE610E02-61CC-46BD-B8EE-59DEE86226DC}">
            <x14:dataBar minLength="0" maxLength="100" border="1" negativeBarBorderColorSameAsPositive="0">
              <x14:cfvo type="autoMin"/>
              <x14:cfvo type="autoMax"/>
              <x14:borderColor rgb="FFFF555A"/>
              <x14:negativeFillColor rgb="FFFF0000"/>
              <x14:negativeBorderColor rgb="FFFF0000"/>
              <x14:axisColor rgb="FF000000"/>
            </x14:dataBar>
          </x14:cfRule>
          <xm:sqref>O7:O41</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1D81F-23E9-4EED-8D92-18D1CD530B9B}">
  <sheetPr codeName="Hoja5">
    <tabColor rgb="FFC00000"/>
  </sheetPr>
  <dimension ref="A1:T47"/>
  <sheetViews>
    <sheetView showGridLines="0" zoomScale="145" zoomScaleNormal="145" workbookViewId="0">
      <selection activeCell="B1" sqref="B1"/>
    </sheetView>
  </sheetViews>
  <sheetFormatPr baseColWidth="10" defaultRowHeight="12" x14ac:dyDescent="0.2"/>
  <cols>
    <col min="1" max="1" width="11.5703125" customWidth="1"/>
    <col min="2" max="2" width="16.7109375" customWidth="1"/>
    <col min="3" max="3" width="11.140625" customWidth="1"/>
    <col min="4" max="4" width="24.85546875" customWidth="1"/>
    <col min="5" max="5" width="12.140625" customWidth="1"/>
    <col min="6" max="6" width="8.42578125" bestFit="1" customWidth="1"/>
    <col min="7" max="7" width="10.140625" bestFit="1" customWidth="1"/>
    <col min="8" max="8" width="9.85546875" bestFit="1" customWidth="1"/>
    <col min="9" max="9" width="1.7109375" customWidth="1"/>
    <col min="10" max="10" width="10.28515625" customWidth="1"/>
    <col min="11" max="11" width="11.7109375" customWidth="1"/>
    <col min="12" max="12" width="24" customWidth="1"/>
    <col min="15" max="15" width="9.85546875" style="4" bestFit="1" customWidth="1"/>
    <col min="16" max="16" width="8.5703125" customWidth="1"/>
    <col min="19" max="19" width="12" customWidth="1"/>
    <col min="20" max="20" width="33.5703125" customWidth="1"/>
  </cols>
  <sheetData>
    <row r="1" spans="1:20" ht="12" customHeight="1" x14ac:dyDescent="0.2">
      <c r="A1" t="s">
        <v>228</v>
      </c>
      <c r="B1" s="23">
        <f>COUNTA(apuestas_feb24[Nombre])</f>
        <v>35</v>
      </c>
      <c r="G1" s="15" t="s">
        <v>236</v>
      </c>
      <c r="H1" s="23">
        <v>29</v>
      </c>
      <c r="I1" s="4"/>
      <c r="J1" s="103" t="s">
        <v>246</v>
      </c>
      <c r="K1" s="104"/>
      <c r="L1" s="107" t="s">
        <v>3</v>
      </c>
      <c r="M1" s="113" t="s">
        <v>365</v>
      </c>
      <c r="N1" s="114"/>
      <c r="O1" s="111" t="s">
        <v>4</v>
      </c>
      <c r="P1" s="112"/>
      <c r="Q1" s="99" t="s">
        <v>246</v>
      </c>
      <c r="R1" s="99"/>
      <c r="S1" s="100"/>
      <c r="T1" s="98"/>
    </row>
    <row r="2" spans="1:20" ht="12" customHeight="1" x14ac:dyDescent="0.2">
      <c r="A2" t="s">
        <v>3</v>
      </c>
      <c r="B2" s="23" t="str">
        <f>A7</f>
        <v>Feb 2024</v>
      </c>
      <c r="C2" t="s">
        <v>243</v>
      </c>
      <c r="G2" s="15" t="s">
        <v>253</v>
      </c>
      <c r="H2" s="24">
        <f ca="1">TODAY()</f>
        <v>45453</v>
      </c>
      <c r="I2" s="24"/>
      <c r="J2" s="105"/>
      <c r="K2" s="100"/>
      <c r="L2" s="108"/>
      <c r="M2" s="115"/>
      <c r="N2" s="116"/>
      <c r="O2" s="111"/>
      <c r="P2" s="112"/>
      <c r="Q2" s="99"/>
      <c r="R2" s="99"/>
      <c r="S2" s="100"/>
      <c r="T2" s="98"/>
    </row>
    <row r="3" spans="1:20" ht="12" customHeight="1" x14ac:dyDescent="0.2">
      <c r="A3" t="s">
        <v>229</v>
      </c>
      <c r="B3" s="23">
        <f ca="1">IF(C3="",ROUND(AVERAGE(omie!H5:OFFSET(omie!H5,MATCH(B4,omie_febrero[fecha],0)-1,0)),2),C3)</f>
        <v>40</v>
      </c>
      <c r="C3" s="26"/>
      <c r="G3" t="s">
        <v>248</v>
      </c>
      <c r="J3" s="105"/>
      <c r="K3" s="100"/>
      <c r="L3" s="109" t="s">
        <v>13</v>
      </c>
      <c r="M3" s="117">
        <f>H1</f>
        <v>29</v>
      </c>
      <c r="N3" s="117"/>
      <c r="O3" s="110">
        <f ca="1">B3</f>
        <v>40</v>
      </c>
      <c r="P3" s="110"/>
      <c r="Q3" s="99"/>
      <c r="R3" s="99"/>
      <c r="S3" s="100"/>
      <c r="T3" s="98"/>
    </row>
    <row r="4" spans="1:20" ht="12" customHeight="1" x14ac:dyDescent="0.2">
      <c r="A4" t="s">
        <v>6</v>
      </c>
      <c r="B4" s="3">
        <f>DATE(2024,2,H1)</f>
        <v>45351</v>
      </c>
      <c r="G4" t="s">
        <v>247</v>
      </c>
      <c r="H4" s="30">
        <f>[1]omie_dinamic_dia!$G$2</f>
        <v>10</v>
      </c>
      <c r="I4" s="42"/>
      <c r="J4" s="105"/>
      <c r="K4" s="100"/>
      <c r="L4" s="109"/>
      <c r="M4" s="117"/>
      <c r="N4" s="117"/>
      <c r="O4" s="110"/>
      <c r="P4" s="110"/>
      <c r="Q4" s="99"/>
      <c r="R4" s="99"/>
      <c r="S4" s="100"/>
      <c r="T4" s="98"/>
    </row>
    <row r="5" spans="1:20" ht="12" customHeight="1" x14ac:dyDescent="0.2">
      <c r="A5" t="s">
        <v>15</v>
      </c>
      <c r="B5" s="3">
        <f>MAX(omie_febrero[fecha])</f>
        <v>45351</v>
      </c>
      <c r="J5" s="106"/>
      <c r="K5" s="102"/>
      <c r="L5" s="109"/>
      <c r="M5" s="117"/>
      <c r="N5" s="117"/>
      <c r="O5" s="110"/>
      <c r="P5" s="110"/>
      <c r="Q5" s="101"/>
      <c r="R5" s="101"/>
      <c r="S5" s="102"/>
      <c r="T5" s="98"/>
    </row>
    <row r="6" spans="1:20" s="1" customFormat="1" ht="36.75" thickBot="1" x14ac:dyDescent="0.25">
      <c r="A6" s="1" t="s">
        <v>18</v>
      </c>
      <c r="B6" s="1" t="s">
        <v>233</v>
      </c>
      <c r="C6" s="1" t="s">
        <v>234</v>
      </c>
      <c r="D6" s="1" t="s">
        <v>20</v>
      </c>
      <c r="E6" s="1" t="s">
        <v>214</v>
      </c>
      <c r="F6" s="34" t="s">
        <v>230</v>
      </c>
      <c r="G6" s="34" t="s">
        <v>231</v>
      </c>
      <c r="H6" s="34" t="s">
        <v>232</v>
      </c>
      <c r="J6" s="52" t="s">
        <v>3</v>
      </c>
      <c r="K6" s="11" t="s">
        <v>12</v>
      </c>
      <c r="L6" s="12" t="s">
        <v>0</v>
      </c>
      <c r="M6" s="7" t="s">
        <v>1</v>
      </c>
      <c r="N6" s="8" t="s">
        <v>5</v>
      </c>
      <c r="O6" s="8" t="s">
        <v>7</v>
      </c>
      <c r="P6" s="2" t="s">
        <v>244</v>
      </c>
      <c r="Q6" s="2" t="s">
        <v>245</v>
      </c>
    </row>
    <row r="7" spans="1:20" ht="12.75" thickTop="1" x14ac:dyDescent="0.2">
      <c r="A7" t="s">
        <v>266</v>
      </c>
      <c r="B7" t="s">
        <v>338</v>
      </c>
      <c r="C7">
        <v>89.24</v>
      </c>
      <c r="D7" t="s">
        <v>304</v>
      </c>
      <c r="E7" t="s">
        <v>301</v>
      </c>
      <c r="F7" s="21">
        <f ca="1">apuestas_feb24[[#This Row],[Apuesta Miniporra]]-$B$3</f>
        <v>49.239999999999995</v>
      </c>
      <c r="G7" s="22">
        <f ca="1">ABS(apuestas_feb24[[#This Row],[desvio]])/$B$3</f>
        <v>1.2309999999999999</v>
      </c>
      <c r="H7">
        <f ca="1">_xlfn.RANK.EQ(apuestas_feb24[[#This Row],[desvio %]],apuestas_feb24[desvio %],1)</f>
        <v>35</v>
      </c>
      <c r="J7" s="53" t="s">
        <v>266</v>
      </c>
      <c r="K7" s="10">
        <f ca="1">INDEX(apuestas_feb24[orden],MATCH(resultados_feb[Apuesta MiniPorra],apuestas_feb24[Apuesta Miniporra],0))</f>
        <v>35</v>
      </c>
      <c r="L7" s="6" t="str">
        <f>INDEX(apuestas_feb24[Nombre],MATCH(resultados_feb[[#This Row],[Apuesta MiniPorra]],apuestas_feb24[Apuesta Miniporra],0))</f>
        <v>Alejandro Ld</v>
      </c>
      <c r="M7" s="14">
        <f>apuestas_feb24[[#This Row],[Apuesta Miniporra]]</f>
        <v>89.24</v>
      </c>
      <c r="N7" s="14">
        <f ca="1">INDEX(apuestas_feb24[desvio],MATCH(resultados_feb[[#This Row],[Apuesta MiniPorra]],apuestas_feb24[Apuesta Miniporra],0))</f>
        <v>49.239999999999995</v>
      </c>
      <c r="O7" s="13">
        <f ca="1">INDEX(apuestas_feb24[desvio %],MATCH(resultados_feb[[#This Row],[Apuesta MiniPorra]],apuestas_feb24[Apuesta Miniporra],0))</f>
        <v>1.2309999999999999</v>
      </c>
      <c r="P7" s="4">
        <v>1</v>
      </c>
      <c r="Q7" s="28">
        <v>70.95</v>
      </c>
    </row>
    <row r="8" spans="1:20" x14ac:dyDescent="0.2">
      <c r="A8" t="s">
        <v>266</v>
      </c>
      <c r="B8" t="s">
        <v>416</v>
      </c>
      <c r="C8">
        <v>87.55</v>
      </c>
      <c r="D8" t="s">
        <v>288</v>
      </c>
      <c r="E8" t="s">
        <v>289</v>
      </c>
      <c r="F8" s="21">
        <f ca="1">apuestas_feb24[[#This Row],[Apuesta Miniporra]]-$B$3</f>
        <v>47.55</v>
      </c>
      <c r="G8" s="22">
        <f ca="1">ABS(apuestas_feb24[[#This Row],[desvio]])/$B$3</f>
        <v>1.18875</v>
      </c>
      <c r="H8">
        <f ca="1">_xlfn.RANK.EQ(apuestas_feb24[[#This Row],[desvio %]],apuestas_feb24[desvio %],1)</f>
        <v>34</v>
      </c>
      <c r="J8" s="53" t="s">
        <v>266</v>
      </c>
      <c r="K8" s="10">
        <f ca="1">INDEX(apuestas_feb24[orden],MATCH(resultados_feb[Apuesta MiniPorra],apuestas_feb24[Apuesta Miniporra],0))</f>
        <v>34</v>
      </c>
      <c r="L8" s="6" t="str">
        <f>INDEX(apuestas_feb24[Nombre],MATCH(resultados_feb[[#This Row],[Apuesta MiniPorra]],apuestas_feb24[Apuesta Miniporra],0))</f>
        <v>Roberto De Dios García</v>
      </c>
      <c r="M8" s="14">
        <f>apuestas_feb24[[#This Row],[Apuesta Miniporra]]</f>
        <v>87.55</v>
      </c>
      <c r="N8" s="14">
        <f ca="1">INDEX(apuestas_feb24[desvio],MATCH(resultados_feb[[#This Row],[Apuesta MiniPorra]],apuestas_feb24[Apuesta Miniporra],0))</f>
        <v>47.55</v>
      </c>
      <c r="O8" s="13">
        <f ca="1">INDEX(apuestas_feb24[desvio %],MATCH(resultados_feb[[#This Row],[Apuesta MiniPorra]],apuestas_feb24[Apuesta Miniporra],0))</f>
        <v>1.18875</v>
      </c>
      <c r="P8" s="4">
        <v>2</v>
      </c>
      <c r="Q8" s="28">
        <v>65.319999999999993</v>
      </c>
    </row>
    <row r="9" spans="1:20" x14ac:dyDescent="0.2">
      <c r="A9" t="s">
        <v>266</v>
      </c>
      <c r="B9" t="s">
        <v>339</v>
      </c>
      <c r="C9">
        <v>86.2</v>
      </c>
      <c r="D9" t="s">
        <v>277</v>
      </c>
      <c r="E9" t="s">
        <v>278</v>
      </c>
      <c r="F9" s="21">
        <f ca="1">apuestas_feb24[[#This Row],[Apuesta Miniporra]]-$B$3</f>
        <v>46.2</v>
      </c>
      <c r="G9" s="22">
        <f ca="1">ABS(apuestas_feb24[[#This Row],[desvio]])/$B$3</f>
        <v>1.155</v>
      </c>
      <c r="H9">
        <f ca="1">_xlfn.RANK.EQ(apuestas_feb24[[#This Row],[desvio %]],apuestas_feb24[desvio %],1)</f>
        <v>33</v>
      </c>
      <c r="J9" s="53" t="s">
        <v>266</v>
      </c>
      <c r="K9" s="19">
        <f ca="1">INDEX(apuestas_feb24[orden],MATCH(resultados_feb[Apuesta MiniPorra],apuestas_feb24[Apuesta Miniporra],0))</f>
        <v>33</v>
      </c>
      <c r="L9" s="27" t="str">
        <f>INDEX(apuestas_feb24[Nombre],MATCH(resultados_feb[[#This Row],[Apuesta MiniPorra]],apuestas_feb24[Apuesta Miniporra],0))</f>
        <v>Sergio Ortega Celares</v>
      </c>
      <c r="M9" s="17">
        <f>apuestas_feb24[[#This Row],[Apuesta Miniporra]]</f>
        <v>86.2</v>
      </c>
      <c r="N9" s="17">
        <f ca="1">INDEX(apuestas_feb24[desvio],MATCH(resultados_feb[[#This Row],[Apuesta MiniPorra]],apuestas_feb24[Apuesta Miniporra],0))</f>
        <v>46.2</v>
      </c>
      <c r="O9" s="18">
        <f ca="1">INDEX(apuestas_feb24[desvio %],MATCH(resultados_feb[[#This Row],[Apuesta MiniPorra]],apuestas_feb24[Apuesta Miniporra],0))</f>
        <v>1.155</v>
      </c>
      <c r="P9" s="4">
        <v>3</v>
      </c>
      <c r="Q9" s="28">
        <v>60.32</v>
      </c>
    </row>
    <row r="10" spans="1:20" x14ac:dyDescent="0.2">
      <c r="A10" t="s">
        <v>266</v>
      </c>
      <c r="B10" s="47" t="s">
        <v>412</v>
      </c>
      <c r="C10">
        <v>79.8</v>
      </c>
      <c r="D10" t="s">
        <v>314</v>
      </c>
      <c r="E10" t="s">
        <v>90</v>
      </c>
      <c r="F10" s="21">
        <f ca="1">apuestas_feb24[[#This Row],[Apuesta Miniporra]]-$B$3</f>
        <v>39.799999999999997</v>
      </c>
      <c r="G10" s="22">
        <f ca="1">ABS(apuestas_feb24[[#This Row],[desvio]])/$B$3</f>
        <v>0.99499999999999988</v>
      </c>
      <c r="H10">
        <f ca="1">_xlfn.RANK.EQ(apuestas_feb24[[#This Row],[desvio %]],apuestas_feb24[desvio %],1)</f>
        <v>32</v>
      </c>
      <c r="J10" s="53" t="s">
        <v>266</v>
      </c>
      <c r="K10" s="10">
        <f ca="1">INDEX(apuestas_feb24[orden],MATCH(resultados_feb[Apuesta MiniPorra],apuestas_feb24[Apuesta Miniporra],0))</f>
        <v>32</v>
      </c>
      <c r="L10" s="6" t="str">
        <f>INDEX(apuestas_feb24[Nombre],MATCH(resultados_feb[[#This Row],[Apuesta MiniPorra]],apuestas_feb24[Apuesta Miniporra],0))</f>
        <v>Jose Manuel Otero López</v>
      </c>
      <c r="M10" s="14">
        <f>apuestas_feb24[[#This Row],[Apuesta Miniporra]]</f>
        <v>79.8</v>
      </c>
      <c r="N10" s="14">
        <f ca="1">INDEX(apuestas_feb24[desvio],MATCH(resultados_feb[[#This Row],[Apuesta MiniPorra]],apuestas_feb24[Apuesta Miniporra],0))</f>
        <v>39.799999999999997</v>
      </c>
      <c r="O10" s="13">
        <f ca="1">INDEX(apuestas_feb24[desvio %],MATCH(resultados_feb[[#This Row],[Apuesta MiniPorra]],apuestas_feb24[Apuesta Miniporra],0))</f>
        <v>0.99499999999999988</v>
      </c>
      <c r="P10" s="4">
        <v>4</v>
      </c>
      <c r="Q10" s="28">
        <v>63.1</v>
      </c>
    </row>
    <row r="11" spans="1:20" x14ac:dyDescent="0.2">
      <c r="A11" t="s">
        <v>266</v>
      </c>
      <c r="B11" s="47" t="s">
        <v>408</v>
      </c>
      <c r="C11">
        <v>75.73</v>
      </c>
      <c r="D11" t="s">
        <v>273</v>
      </c>
      <c r="E11" t="s">
        <v>42</v>
      </c>
      <c r="F11" s="21">
        <f ca="1">apuestas_feb24[[#This Row],[Apuesta Miniporra]]-$B$3</f>
        <v>35.730000000000004</v>
      </c>
      <c r="G11" s="22">
        <f ca="1">ABS(apuestas_feb24[[#This Row],[desvio]])/$B$3</f>
        <v>0.8932500000000001</v>
      </c>
      <c r="H11">
        <f ca="1">_xlfn.RANK.EQ(apuestas_feb24[[#This Row],[desvio %]],apuestas_feb24[desvio %],1)</f>
        <v>31</v>
      </c>
      <c r="J11" s="53" t="s">
        <v>266</v>
      </c>
      <c r="K11" s="9">
        <f ca="1">INDEX(apuestas_feb24[orden],MATCH(resultados_feb[Apuesta MiniPorra],apuestas_feb24[Apuesta Miniporra],0))</f>
        <v>31</v>
      </c>
      <c r="L11" s="6" t="str">
        <f>INDEX(apuestas_feb24[Nombre],MATCH(resultados_feb[[#This Row],[Apuesta MiniPorra]],apuestas_feb24[Apuesta Miniporra],0))</f>
        <v>Julián Mateo Muñoz</v>
      </c>
      <c r="M11" s="14">
        <f>apuestas_feb24[[#This Row],[Apuesta Miniporra]]</f>
        <v>75.73</v>
      </c>
      <c r="N11" s="14">
        <f ca="1">INDEX(apuestas_feb24[desvio],MATCH(resultados_feb[[#This Row],[Apuesta MiniPorra]],apuestas_feb24[Apuesta Miniporra],0))</f>
        <v>35.730000000000004</v>
      </c>
      <c r="O11" s="13">
        <f ca="1">INDEX(apuestas_feb24[desvio %],MATCH(resultados_feb[[#This Row],[Apuesta MiniPorra]],apuestas_feb24[Apuesta Miniporra],0))</f>
        <v>0.8932500000000001</v>
      </c>
      <c r="P11" s="4">
        <v>5</v>
      </c>
      <c r="Q11" s="28">
        <v>80.92</v>
      </c>
    </row>
    <row r="12" spans="1:20" x14ac:dyDescent="0.2">
      <c r="A12" t="s">
        <v>266</v>
      </c>
      <c r="B12" s="47" t="s">
        <v>401</v>
      </c>
      <c r="C12">
        <v>75</v>
      </c>
      <c r="D12" t="s">
        <v>118</v>
      </c>
      <c r="E12" t="s">
        <v>331</v>
      </c>
      <c r="F12" s="21">
        <f ca="1">apuestas_feb24[[#This Row],[Apuesta Miniporra]]-$B$3</f>
        <v>35</v>
      </c>
      <c r="G12" s="22">
        <f ca="1">ABS(apuestas_feb24[[#This Row],[desvio]])/$B$3</f>
        <v>0.875</v>
      </c>
      <c r="H12">
        <f ca="1">_xlfn.RANK.EQ(apuestas_feb24[[#This Row],[desvio %]],apuestas_feb24[desvio %],1)</f>
        <v>30</v>
      </c>
      <c r="J12" s="53" t="s">
        <v>266</v>
      </c>
      <c r="K12" s="16">
        <f ca="1">INDEX(apuestas_feb24[orden],MATCH(resultados_feb[Apuesta MiniPorra],apuestas_feb24[Apuesta Miniporra],0))</f>
        <v>30</v>
      </c>
      <c r="L12" s="6" t="str">
        <f>INDEX(apuestas_feb24[Nombre],MATCH(resultados_feb[[#This Row],[Apuesta MiniPorra]],apuestas_feb24[Apuesta Miniporra],0))</f>
        <v>Juan Pedro Conejo Sanchez</v>
      </c>
      <c r="M12" s="14">
        <f>apuestas_feb24[[#This Row],[Apuesta Miniporra]]</f>
        <v>75</v>
      </c>
      <c r="N12" s="17">
        <f ca="1">INDEX(apuestas_feb24[desvio],MATCH(resultados_feb[[#This Row],[Apuesta MiniPorra]],apuestas_feb24[Apuesta Miniporra],0))</f>
        <v>35</v>
      </c>
      <c r="O12" s="18">
        <f ca="1">INDEX(apuestas_feb24[desvio %],MATCH(resultados_feb[[#This Row],[Apuesta MiniPorra]],apuestas_feb24[Apuesta Miniporra],0))</f>
        <v>0.875</v>
      </c>
      <c r="P12" s="4">
        <v>6</v>
      </c>
      <c r="Q12" s="28">
        <v>74.03</v>
      </c>
    </row>
    <row r="13" spans="1:20" x14ac:dyDescent="0.2">
      <c r="A13" t="s">
        <v>266</v>
      </c>
      <c r="B13" s="47" t="s">
        <v>222</v>
      </c>
      <c r="C13">
        <v>73.88</v>
      </c>
      <c r="D13" t="s">
        <v>330</v>
      </c>
      <c r="E13" t="s">
        <v>178</v>
      </c>
      <c r="F13" s="21">
        <f ca="1">apuestas_feb24[[#This Row],[Apuesta Miniporra]]-$B$3</f>
        <v>33.879999999999995</v>
      </c>
      <c r="G13" s="22">
        <f ca="1">ABS(apuestas_feb24[[#This Row],[desvio]])/$B$3</f>
        <v>0.84699999999999986</v>
      </c>
      <c r="H13">
        <f ca="1">_xlfn.RANK.EQ(apuestas_feb24[[#This Row],[desvio %]],apuestas_feb24[desvio %],1)</f>
        <v>29</v>
      </c>
      <c r="J13" s="53" t="s">
        <v>266</v>
      </c>
      <c r="K13" s="9">
        <f ca="1">INDEX(apuestas_feb24[orden],MATCH(resultados_feb[Apuesta MiniPorra],apuestas_feb24[Apuesta Miniporra],0))</f>
        <v>29</v>
      </c>
      <c r="L13" s="6" t="str">
        <f>INDEX(apuestas_feb24[Nombre],MATCH(resultados_feb[[#This Row],[Apuesta MiniPorra]],apuestas_feb24[Apuesta Miniporra],0))</f>
        <v>Jose F Vidal</v>
      </c>
      <c r="M13" s="14">
        <f>apuestas_feb24[[#This Row],[Apuesta Miniporra]]</f>
        <v>73.88</v>
      </c>
      <c r="N13" s="14">
        <f ca="1">INDEX(apuestas_feb24[desvio],MATCH(resultados_feb[[#This Row],[Apuesta MiniPorra]],apuestas_feb24[Apuesta Miniporra],0))</f>
        <v>33.879999999999995</v>
      </c>
      <c r="O13" s="13">
        <f ca="1">INDEX(apuestas_feb24[desvio %],MATCH(resultados_feb[[#This Row],[Apuesta MiniPorra]],apuestas_feb24[Apuesta Miniporra],0))</f>
        <v>0.84699999999999986</v>
      </c>
      <c r="P13" s="4">
        <v>7</v>
      </c>
      <c r="Q13" s="28">
        <v>50.11</v>
      </c>
    </row>
    <row r="14" spans="1:20" x14ac:dyDescent="0.2">
      <c r="A14" t="s">
        <v>266</v>
      </c>
      <c r="B14" s="47" t="s">
        <v>224</v>
      </c>
      <c r="C14">
        <v>72.36</v>
      </c>
      <c r="D14" t="s">
        <v>346</v>
      </c>
      <c r="E14" t="s">
        <v>188</v>
      </c>
      <c r="F14" s="21">
        <f ca="1">apuestas_feb24[[#This Row],[Apuesta Miniporra]]-$B$3</f>
        <v>32.36</v>
      </c>
      <c r="G14" s="22">
        <f ca="1">ABS(apuestas_feb24[[#This Row],[desvio]])/$B$3</f>
        <v>0.80899999999999994</v>
      </c>
      <c r="H14">
        <f ca="1">_xlfn.RANK.EQ(apuestas_feb24[[#This Row],[desvio %]],apuestas_feb24[desvio %],1)</f>
        <v>28</v>
      </c>
      <c r="J14" s="53" t="s">
        <v>266</v>
      </c>
      <c r="K14" s="10">
        <f ca="1">INDEX(apuestas_feb24[orden],MATCH(resultados_feb[Apuesta MiniPorra],apuestas_feb24[Apuesta Miniporra],0))</f>
        <v>28</v>
      </c>
      <c r="L14" s="6" t="str">
        <f>INDEX(apuestas_feb24[Nombre],MATCH(resultados_feb[[#This Row],[Apuesta MiniPorra]],apuestas_feb24[Apuesta Miniporra],0))</f>
        <v>Jesús López</v>
      </c>
      <c r="M14" s="14">
        <f>apuestas_feb24[[#This Row],[Apuesta Miniporra]]</f>
        <v>72.36</v>
      </c>
      <c r="N14" s="14">
        <f ca="1">INDEX(apuestas_feb24[desvio],MATCH(resultados_feb[[#This Row],[Apuesta MiniPorra]],apuestas_feb24[Apuesta Miniporra],0))</f>
        <v>32.36</v>
      </c>
      <c r="O14" s="13">
        <f ca="1">INDEX(apuestas_feb24[desvio %],MATCH(resultados_feb[[#This Row],[Apuesta MiniPorra]],apuestas_feb24[Apuesta Miniporra],0))</f>
        <v>0.80899999999999994</v>
      </c>
      <c r="P14" s="4">
        <v>8</v>
      </c>
      <c r="Q14" s="28">
        <v>38.67</v>
      </c>
    </row>
    <row r="15" spans="1:20" x14ac:dyDescent="0.2">
      <c r="A15" t="s">
        <v>266</v>
      </c>
      <c r="B15" s="47" t="s">
        <v>225</v>
      </c>
      <c r="C15">
        <v>72.25</v>
      </c>
      <c r="D15" t="s">
        <v>322</v>
      </c>
      <c r="E15" t="s">
        <v>199</v>
      </c>
      <c r="F15" s="21">
        <f ca="1">apuestas_feb24[[#This Row],[Apuesta Miniporra]]-$B$3</f>
        <v>32.25</v>
      </c>
      <c r="G15" s="22">
        <f ca="1">ABS(apuestas_feb24[[#This Row],[desvio]])/$B$3</f>
        <v>0.80625000000000002</v>
      </c>
      <c r="H15">
        <f ca="1">_xlfn.RANK.EQ(apuestas_feb24[[#This Row],[desvio %]],apuestas_feb24[desvio %],1)</f>
        <v>27</v>
      </c>
      <c r="J15" s="53" t="s">
        <v>266</v>
      </c>
      <c r="K15" s="9">
        <f ca="1">INDEX(apuestas_feb24[orden],MATCH(resultados_feb[Apuesta MiniPorra],apuestas_feb24[Apuesta Miniporra],0))</f>
        <v>27</v>
      </c>
      <c r="L15" s="6" t="str">
        <f>INDEX(apuestas_feb24[Nombre],MATCH(resultados_feb[[#This Row],[Apuesta MiniPorra]],apuestas_feb24[Apuesta Miniporra],0))</f>
        <v>Elena Muñoz Vioque</v>
      </c>
      <c r="M15" s="14">
        <f>apuestas_feb24[[#This Row],[Apuesta Miniporra]]</f>
        <v>72.25</v>
      </c>
      <c r="N15" s="14">
        <f ca="1">INDEX(apuestas_feb24[desvio],MATCH(resultados_feb[[#This Row],[Apuesta MiniPorra]],apuestas_feb24[Apuesta Miniporra],0))</f>
        <v>32.25</v>
      </c>
      <c r="O15" s="13">
        <f ca="1">INDEX(apuestas_feb24[desvio %],MATCH(resultados_feb[[#This Row],[Apuesta MiniPorra]],apuestas_feb24[Apuesta Miniporra],0))</f>
        <v>0.80625000000000002</v>
      </c>
      <c r="P15" s="4">
        <v>9</v>
      </c>
      <c r="Q15" s="28">
        <v>40.18</v>
      </c>
    </row>
    <row r="16" spans="1:20" x14ac:dyDescent="0.2">
      <c r="A16" t="s">
        <v>266</v>
      </c>
      <c r="B16" s="47" t="s">
        <v>413</v>
      </c>
      <c r="C16">
        <v>72.2</v>
      </c>
      <c r="D16" t="s">
        <v>118</v>
      </c>
      <c r="E16" t="s">
        <v>317</v>
      </c>
      <c r="F16" s="21">
        <f ca="1">apuestas_feb24[[#This Row],[Apuesta Miniporra]]-$B$3</f>
        <v>32.200000000000003</v>
      </c>
      <c r="G16" s="22">
        <f ca="1">ABS(apuestas_feb24[[#This Row],[desvio]])/$B$3</f>
        <v>0.80500000000000005</v>
      </c>
      <c r="H16">
        <f ca="1">_xlfn.RANK.EQ(apuestas_feb24[[#This Row],[desvio %]],apuestas_feb24[desvio %],1)</f>
        <v>26</v>
      </c>
      <c r="J16" s="53" t="s">
        <v>266</v>
      </c>
      <c r="K16" s="10">
        <f ca="1">INDEX(apuestas_feb24[orden],MATCH(resultados_feb[Apuesta MiniPorra],apuestas_feb24[Apuesta Miniporra],0))</f>
        <v>26</v>
      </c>
      <c r="L16" s="6" t="str">
        <f>INDEX(apuestas_feb24[Nombre],MATCH(resultados_feb[[#This Row],[Apuesta MiniPorra]],apuestas_feb24[Apuesta Miniporra],0))</f>
        <v>Beatriz Muñoz Rioboo</v>
      </c>
      <c r="M16" s="14">
        <f>apuestas_feb24[[#This Row],[Apuesta Miniporra]]</f>
        <v>72.2</v>
      </c>
      <c r="N16" s="14">
        <f ca="1">INDEX(apuestas_feb24[desvio],MATCH(resultados_feb[[#This Row],[Apuesta MiniPorra]],apuestas_feb24[Apuesta Miniporra],0))</f>
        <v>32.200000000000003</v>
      </c>
      <c r="O16" s="13">
        <f ca="1">INDEX(apuestas_feb24[desvio %],MATCH(resultados_feb[[#This Row],[Apuesta MiniPorra]],apuestas_feb24[Apuesta Miniporra],0))</f>
        <v>0.80500000000000005</v>
      </c>
      <c r="P16" s="4">
        <v>10</v>
      </c>
      <c r="Q16" s="28">
        <v>9.4700000000000006</v>
      </c>
    </row>
    <row r="17" spans="1:20" x14ac:dyDescent="0.2">
      <c r="A17" t="s">
        <v>266</v>
      </c>
      <c r="B17" t="s">
        <v>364</v>
      </c>
      <c r="C17">
        <v>71.010000000000005</v>
      </c>
      <c r="D17" t="s">
        <v>360</v>
      </c>
      <c r="E17" t="s">
        <v>361</v>
      </c>
      <c r="F17" s="21">
        <f ca="1">apuestas_feb24[[#This Row],[Apuesta Miniporra]]-$B$3</f>
        <v>31.010000000000005</v>
      </c>
      <c r="G17" s="22">
        <f ca="1">ABS(apuestas_feb24[[#This Row],[desvio]])/$B$3</f>
        <v>0.77525000000000011</v>
      </c>
      <c r="H17">
        <f ca="1">_xlfn.RANK.EQ(apuestas_feb24[[#This Row],[desvio %]],apuestas_feb24[desvio %],1)</f>
        <v>25</v>
      </c>
      <c r="J17" s="53" t="s">
        <v>266</v>
      </c>
      <c r="K17" s="9">
        <f ca="1">INDEX(apuestas_feb24[orden],MATCH(resultados_feb[Apuesta MiniPorra],apuestas_feb24[Apuesta Miniporra],0))</f>
        <v>25</v>
      </c>
      <c r="L17" s="6" t="str">
        <f>INDEX(apuestas_feb24[Nombre],MATCH(resultados_feb[[#This Row],[Apuesta MiniPorra]],apuestas_feb24[Apuesta Miniporra],0))</f>
        <v>Marcos Fortea Escolano</v>
      </c>
      <c r="M17" s="14">
        <f>apuestas_feb24[[#This Row],[Apuesta Miniporra]]</f>
        <v>71.010000000000005</v>
      </c>
      <c r="N17" s="14">
        <f ca="1">INDEX(apuestas_feb24[desvio],MATCH(resultados_feb[[#This Row],[Apuesta MiniPorra]],apuestas_feb24[Apuesta Miniporra],0))</f>
        <v>31.010000000000005</v>
      </c>
      <c r="O17" s="13">
        <f ca="1">INDEX(apuestas_feb24[desvio %],MATCH(resultados_feb[[#This Row],[Apuesta MiniPorra]],apuestas_feb24[Apuesta Miniporra],0))</f>
        <v>0.77525000000000011</v>
      </c>
      <c r="P17" s="4">
        <v>11</v>
      </c>
      <c r="Q17" s="28">
        <v>44.83</v>
      </c>
    </row>
    <row r="18" spans="1:20" x14ac:dyDescent="0.2">
      <c r="A18" t="s">
        <v>266</v>
      </c>
      <c r="B18" t="s">
        <v>407</v>
      </c>
      <c r="C18">
        <v>70.22</v>
      </c>
      <c r="D18" t="s">
        <v>118</v>
      </c>
      <c r="E18" t="s">
        <v>280</v>
      </c>
      <c r="F18" s="21">
        <f ca="1">apuestas_feb24[[#This Row],[Apuesta Miniporra]]-$B$3</f>
        <v>30.22</v>
      </c>
      <c r="G18" s="22">
        <f ca="1">ABS(apuestas_feb24[[#This Row],[desvio]])/$B$3</f>
        <v>0.75549999999999995</v>
      </c>
      <c r="H18">
        <f ca="1">_xlfn.RANK.EQ(apuestas_feb24[[#This Row],[desvio %]],apuestas_feb24[desvio %],1)</f>
        <v>24</v>
      </c>
      <c r="J18" s="53" t="s">
        <v>266</v>
      </c>
      <c r="K18" s="10">
        <f ca="1">INDEX(apuestas_feb24[orden],MATCH(resultados_feb[Apuesta MiniPorra],apuestas_feb24[Apuesta Miniporra],0))</f>
        <v>24</v>
      </c>
      <c r="L18" s="6" t="str">
        <f>INDEX(apuestas_feb24[Nombre],MATCH(resultados_feb[[#This Row],[Apuesta MiniPorra]],apuestas_feb24[Apuesta Miniporra],0))</f>
        <v>Vicente Fayos Gavila</v>
      </c>
      <c r="M18" s="14">
        <f>apuestas_feb24[[#This Row],[Apuesta Miniporra]]</f>
        <v>70.22</v>
      </c>
      <c r="N18" s="14">
        <f ca="1">INDEX(apuestas_feb24[desvio],MATCH(resultados_feb[[#This Row],[Apuesta MiniPorra]],apuestas_feb24[Apuesta Miniporra],0))</f>
        <v>30.22</v>
      </c>
      <c r="O18" s="13">
        <f ca="1">INDEX(apuestas_feb24[desvio %],MATCH(resultados_feb[[#This Row],[Apuesta MiniPorra]],apuestas_feb24[Apuesta Miniporra],0))</f>
        <v>0.75549999999999995</v>
      </c>
      <c r="P18" s="4">
        <v>12</v>
      </c>
      <c r="Q18" s="28">
        <v>45.85</v>
      </c>
    </row>
    <row r="19" spans="1:20" x14ac:dyDescent="0.2">
      <c r="A19" t="s">
        <v>266</v>
      </c>
      <c r="B19" s="47" t="s">
        <v>415</v>
      </c>
      <c r="C19">
        <v>70.099999999999994</v>
      </c>
      <c r="D19" t="s">
        <v>118</v>
      </c>
      <c r="E19" t="s">
        <v>290</v>
      </c>
      <c r="F19" s="21">
        <f ca="1">apuestas_feb24[[#This Row],[Apuesta Miniporra]]-$B$3</f>
        <v>30.099999999999994</v>
      </c>
      <c r="G19" s="22">
        <f ca="1">ABS(apuestas_feb24[[#This Row],[desvio]])/$B$3</f>
        <v>0.75249999999999984</v>
      </c>
      <c r="H19">
        <f ca="1">_xlfn.RANK.EQ(apuestas_feb24[[#This Row],[desvio %]],apuestas_feb24[desvio %],1)</f>
        <v>23</v>
      </c>
      <c r="J19" s="53" t="s">
        <v>266</v>
      </c>
      <c r="K19" s="9">
        <f ca="1">INDEX(apuestas_feb24[orden],MATCH(resultados_feb[Apuesta MiniPorra],apuestas_feb24[Apuesta Miniporra],0))</f>
        <v>23</v>
      </c>
      <c r="L19" s="6" t="str">
        <f>INDEX(apuestas_feb24[Nombre],MATCH(resultados_feb[[#This Row],[Apuesta MiniPorra]],apuestas_feb24[Apuesta Miniporra],0))</f>
        <v>Antonio López Gómez-Millán</v>
      </c>
      <c r="M19" s="14">
        <f>apuestas_feb24[[#This Row],[Apuesta Miniporra]]</f>
        <v>70.099999999999994</v>
      </c>
      <c r="N19" s="14">
        <f ca="1">INDEX(apuestas_feb24[desvio],MATCH(resultados_feb[[#This Row],[Apuesta MiniPorra]],apuestas_feb24[Apuesta Miniporra],0))</f>
        <v>30.099999999999994</v>
      </c>
      <c r="O19" s="13">
        <f ca="1">INDEX(apuestas_feb24[desvio %],MATCH(resultados_feb[[#This Row],[Apuesta MiniPorra]],apuestas_feb24[Apuesta Miniporra],0))</f>
        <v>0.75249999999999984</v>
      </c>
      <c r="P19" s="4">
        <v>13</v>
      </c>
      <c r="Q19" s="28">
        <v>62.72</v>
      </c>
    </row>
    <row r="20" spans="1:20" x14ac:dyDescent="0.2">
      <c r="A20" t="s">
        <v>266</v>
      </c>
      <c r="B20" s="47" t="s">
        <v>217</v>
      </c>
      <c r="C20">
        <v>69.959999999999994</v>
      </c>
      <c r="D20" t="s">
        <v>118</v>
      </c>
      <c r="E20" t="s">
        <v>123</v>
      </c>
      <c r="F20" s="21">
        <f ca="1">apuestas_feb24[[#This Row],[Apuesta Miniporra]]-$B$3</f>
        <v>29.959999999999994</v>
      </c>
      <c r="G20" s="22">
        <f ca="1">ABS(apuestas_feb24[[#This Row],[desvio]])/$B$3</f>
        <v>0.74899999999999989</v>
      </c>
      <c r="H20">
        <f ca="1">_xlfn.RANK.EQ(apuestas_feb24[[#This Row],[desvio %]],apuestas_feb24[desvio %],1)</f>
        <v>22</v>
      </c>
      <c r="J20" s="53" t="s">
        <v>266</v>
      </c>
      <c r="K20" s="10">
        <f ca="1">INDEX(apuestas_feb24[orden],MATCH(resultados_feb[Apuesta MiniPorra],apuestas_feb24[Apuesta Miniporra],0))</f>
        <v>22</v>
      </c>
      <c r="L20" s="6" t="str">
        <f>INDEX(apuestas_feb24[Nombre],MATCH(resultados_feb[[#This Row],[Apuesta MiniPorra]],apuestas_feb24[Apuesta Miniporra],0))</f>
        <v>Fernando Sánchez-Rey Maeso</v>
      </c>
      <c r="M20" s="14">
        <f>apuestas_feb24[[#This Row],[Apuesta Miniporra]]</f>
        <v>69.959999999999994</v>
      </c>
      <c r="N20" s="14">
        <f ca="1">INDEX(apuestas_feb24[desvio],MATCH(resultados_feb[[#This Row],[Apuesta MiniPorra]],apuestas_feb24[Apuesta Miniporra],0))</f>
        <v>29.959999999999994</v>
      </c>
      <c r="O20" s="13">
        <f ca="1">INDEX(apuestas_feb24[desvio %],MATCH(resultados_feb[[#This Row],[Apuesta MiniPorra]],apuestas_feb24[Apuesta Miniporra],0))</f>
        <v>0.74899999999999989</v>
      </c>
      <c r="P20" s="4">
        <v>14</v>
      </c>
      <c r="Q20" s="28">
        <v>59.57</v>
      </c>
      <c r="R20" s="97"/>
      <c r="S20" s="97"/>
      <c r="T20" s="97"/>
    </row>
    <row r="21" spans="1:20" x14ac:dyDescent="0.2">
      <c r="A21" t="s">
        <v>266</v>
      </c>
      <c r="B21" s="47" t="s">
        <v>362</v>
      </c>
      <c r="C21">
        <v>69.849999999999994</v>
      </c>
      <c r="D21" t="s">
        <v>118</v>
      </c>
      <c r="E21" t="s">
        <v>344</v>
      </c>
      <c r="F21" s="21">
        <f ca="1">apuestas_feb24[[#This Row],[Apuesta Miniporra]]-$B$3</f>
        <v>29.849999999999994</v>
      </c>
      <c r="G21" s="22">
        <f ca="1">ABS(apuestas_feb24[[#This Row],[desvio]])/$B$3</f>
        <v>0.74624999999999986</v>
      </c>
      <c r="H21">
        <f ca="1">_xlfn.RANK.EQ(apuestas_feb24[[#This Row],[desvio %]],apuestas_feb24[desvio %],1)</f>
        <v>21</v>
      </c>
      <c r="J21" s="53" t="s">
        <v>266</v>
      </c>
      <c r="K21" s="9">
        <f ca="1">INDEX(apuestas_feb24[orden],MATCH(resultados_feb[Apuesta MiniPorra],apuestas_feb24[Apuesta Miniporra],0))</f>
        <v>21</v>
      </c>
      <c r="L21" s="6" t="str">
        <f>INDEX(apuestas_feb24[Nombre],MATCH(resultados_feb[[#This Row],[Apuesta MiniPorra]],apuestas_feb24[Apuesta Miniporra],0))</f>
        <v>Inés Monroy</v>
      </c>
      <c r="M21" s="14">
        <f>apuestas_feb24[[#This Row],[Apuesta Miniporra]]</f>
        <v>69.849999999999994</v>
      </c>
      <c r="N21" s="14">
        <f ca="1">INDEX(apuestas_feb24[desvio],MATCH(resultados_feb[[#This Row],[Apuesta MiniPorra]],apuestas_feb24[Apuesta Miniporra],0))</f>
        <v>29.849999999999994</v>
      </c>
      <c r="O21" s="13">
        <f ca="1">INDEX(apuestas_feb24[desvio %],MATCH(resultados_feb[[#This Row],[Apuesta MiniPorra]],apuestas_feb24[Apuesta Miniporra],0))</f>
        <v>0.74624999999999986</v>
      </c>
      <c r="P21" s="4">
        <v>15</v>
      </c>
      <c r="Q21" s="28">
        <v>51.22</v>
      </c>
      <c r="R21" s="97"/>
      <c r="S21" s="97"/>
      <c r="T21" s="97"/>
    </row>
    <row r="22" spans="1:20" x14ac:dyDescent="0.2">
      <c r="A22" t="s">
        <v>266</v>
      </c>
      <c r="B22" s="47" t="s">
        <v>219</v>
      </c>
      <c r="C22">
        <v>69.69</v>
      </c>
      <c r="D22" t="s">
        <v>118</v>
      </c>
      <c r="E22" t="s">
        <v>275</v>
      </c>
      <c r="F22" s="21">
        <f ca="1">apuestas_feb24[[#This Row],[Apuesta Miniporra]]-$B$3</f>
        <v>29.689999999999998</v>
      </c>
      <c r="G22" s="22">
        <f ca="1">ABS(apuestas_feb24[[#This Row],[desvio]])/$B$3</f>
        <v>0.74224999999999997</v>
      </c>
      <c r="H22">
        <f ca="1">_xlfn.RANK.EQ(apuestas_feb24[[#This Row],[desvio %]],apuestas_feb24[desvio %],1)</f>
        <v>20</v>
      </c>
      <c r="J22" s="53" t="s">
        <v>266</v>
      </c>
      <c r="K22" s="16">
        <f ca="1">INDEX(apuestas_feb24[orden],MATCH(resultados_feb[Apuesta MiniPorra],apuestas_feb24[Apuesta Miniporra],0))</f>
        <v>20</v>
      </c>
      <c r="L22" s="6" t="str">
        <f>INDEX(apuestas_feb24[Nombre],MATCH(resultados_feb[[#This Row],[Apuesta MiniPorra]],apuestas_feb24[Apuesta Miniporra],0))</f>
        <v>Jaime Larrañaga Juez</v>
      </c>
      <c r="M22" s="14">
        <f>apuestas_feb24[[#This Row],[Apuesta Miniporra]]</f>
        <v>69.69</v>
      </c>
      <c r="N22" s="17">
        <f ca="1">INDEX(apuestas_feb24[desvio],MATCH(resultados_feb[[#This Row],[Apuesta MiniPorra]],apuestas_feb24[Apuesta Miniporra],0))</f>
        <v>29.689999999999998</v>
      </c>
      <c r="O22" s="18">
        <f ca="1">INDEX(apuestas_feb24[desvio %],MATCH(resultados_feb[[#This Row],[Apuesta MiniPorra]],apuestas_feb24[Apuesta Miniporra],0))</f>
        <v>0.74224999999999997</v>
      </c>
      <c r="P22" s="4">
        <v>16</v>
      </c>
      <c r="Q22" s="28">
        <v>54.24</v>
      </c>
      <c r="R22" s="97"/>
      <c r="S22" s="97"/>
      <c r="T22" s="97"/>
    </row>
    <row r="23" spans="1:20" x14ac:dyDescent="0.2">
      <c r="A23" t="s">
        <v>266</v>
      </c>
      <c r="B23" s="47" t="s">
        <v>409</v>
      </c>
      <c r="C23">
        <v>69.62</v>
      </c>
      <c r="D23" t="s">
        <v>118</v>
      </c>
      <c r="E23" t="s">
        <v>130</v>
      </c>
      <c r="F23" s="21">
        <f ca="1">apuestas_feb24[[#This Row],[Apuesta Miniporra]]-$B$3</f>
        <v>29.620000000000005</v>
      </c>
      <c r="G23" s="22">
        <f ca="1">ABS(apuestas_feb24[[#This Row],[desvio]])/$B$3</f>
        <v>0.74050000000000016</v>
      </c>
      <c r="H23">
        <f ca="1">_xlfn.RANK.EQ(apuestas_feb24[[#This Row],[desvio %]],apuestas_feb24[desvio %],1)</f>
        <v>19</v>
      </c>
      <c r="J23" s="53" t="s">
        <v>266</v>
      </c>
      <c r="K23" s="19">
        <f ca="1">INDEX(apuestas_feb24[orden],MATCH(resultados_feb[Apuesta MiniPorra],apuestas_feb24[Apuesta Miniporra],0))</f>
        <v>19</v>
      </c>
      <c r="L23" s="6" t="str">
        <f>INDEX(apuestas_feb24[Nombre],MATCH(resultados_feb[[#This Row],[Apuesta MiniPorra]],apuestas_feb24[Apuesta Miniporra],0))</f>
        <v>Gladys Rocha Blanco</v>
      </c>
      <c r="M23" s="14">
        <f>apuestas_feb24[[#This Row],[Apuesta Miniporra]]</f>
        <v>69.62</v>
      </c>
      <c r="N23" s="17">
        <f ca="1">INDEX(apuestas_feb24[desvio],MATCH(resultados_feb[[#This Row],[Apuesta MiniPorra]],apuestas_feb24[Apuesta Miniporra],0))</f>
        <v>29.620000000000005</v>
      </c>
      <c r="O23" s="18">
        <f ca="1">INDEX(apuestas_feb24[desvio %],MATCH(resultados_feb[[#This Row],[Apuesta MiniPorra]],apuestas_feb24[Apuesta Miniporra],0))</f>
        <v>0.74050000000000016</v>
      </c>
      <c r="P23" s="4">
        <v>17</v>
      </c>
      <c r="Q23" s="28">
        <v>48.69</v>
      </c>
    </row>
    <row r="24" spans="1:20" x14ac:dyDescent="0.2">
      <c r="A24" t="s">
        <v>266</v>
      </c>
      <c r="B24" s="47" t="s">
        <v>336</v>
      </c>
      <c r="C24">
        <v>69.2</v>
      </c>
      <c r="D24" t="s">
        <v>325</v>
      </c>
      <c r="E24" t="s">
        <v>2</v>
      </c>
      <c r="F24" s="21">
        <f ca="1">apuestas_feb24[[#This Row],[Apuesta Miniporra]]-$B$3</f>
        <v>29.200000000000003</v>
      </c>
      <c r="G24" s="22">
        <f ca="1">ABS(apuestas_feb24[[#This Row],[desvio]])/$B$3</f>
        <v>0.73000000000000009</v>
      </c>
      <c r="H24">
        <f ca="1">_xlfn.RANK.EQ(apuestas_feb24[[#This Row],[desvio %]],apuestas_feb24[desvio %],1)</f>
        <v>18</v>
      </c>
      <c r="J24" s="53" t="s">
        <v>266</v>
      </c>
      <c r="K24" s="16">
        <f ca="1">INDEX(apuestas_feb24[orden],MATCH(resultados_feb[Apuesta MiniPorra],apuestas_feb24[Apuesta Miniporra],0))</f>
        <v>18</v>
      </c>
      <c r="L24" s="6" t="str">
        <f>INDEX(apuestas_feb24[Nombre],MATCH(resultados_feb[[#This Row],[Apuesta MiniPorra]],apuestas_feb24[Apuesta Miniporra],0))</f>
        <v>Javier Revuelta Alonso</v>
      </c>
      <c r="M24" s="14">
        <f>apuestas_feb24[[#This Row],[Apuesta Miniporra]]</f>
        <v>69.2</v>
      </c>
      <c r="N24" s="17">
        <f ca="1">INDEX(apuestas_feb24[desvio],MATCH(resultados_feb[[#This Row],[Apuesta MiniPorra]],apuestas_feb24[Apuesta Miniporra],0))</f>
        <v>29.200000000000003</v>
      </c>
      <c r="O24" s="18">
        <f ca="1">INDEX(apuestas_feb24[desvio %],MATCH(resultados_feb[[#This Row],[Apuesta MiniPorra]],apuestas_feb24[Apuesta Miniporra],0))</f>
        <v>0.73000000000000009</v>
      </c>
      <c r="P24" s="4">
        <v>18</v>
      </c>
      <c r="Q24" s="28">
        <v>47.04</v>
      </c>
    </row>
    <row r="25" spans="1:20" x14ac:dyDescent="0.2">
      <c r="A25" t="s">
        <v>266</v>
      </c>
      <c r="B25" s="47" t="s">
        <v>215</v>
      </c>
      <c r="C25">
        <v>68.95</v>
      </c>
      <c r="D25" t="s">
        <v>118</v>
      </c>
      <c r="E25" t="s">
        <v>103</v>
      </c>
      <c r="F25" s="21">
        <f ca="1">apuestas_feb24[[#This Row],[Apuesta Miniporra]]-$B$3</f>
        <v>28.950000000000003</v>
      </c>
      <c r="G25" s="22">
        <f ca="1">ABS(apuestas_feb24[[#This Row],[desvio]])/$B$3</f>
        <v>0.72375000000000012</v>
      </c>
      <c r="H25">
        <f ca="1">_xlfn.RANK.EQ(apuestas_feb24[[#This Row],[desvio %]],apuestas_feb24[desvio %],1)</f>
        <v>17</v>
      </c>
      <c r="J25" s="53" t="s">
        <v>266</v>
      </c>
      <c r="K25" s="9">
        <f ca="1">INDEX(apuestas_feb24[orden],MATCH(resultados_feb[Apuesta MiniPorra],apuestas_feb24[Apuesta Miniporra],0))</f>
        <v>17</v>
      </c>
      <c r="L25" s="6" t="str">
        <f>INDEX(apuestas_feb24[Nombre],MATCH(resultados_feb[[#This Row],[Apuesta MiniPorra]],apuestas_feb24[Apuesta Miniporra],0))</f>
        <v>Carles Estruch Puig</v>
      </c>
      <c r="M25" s="14">
        <f>apuestas_feb24[[#This Row],[Apuesta Miniporra]]</f>
        <v>68.95</v>
      </c>
      <c r="N25" s="14">
        <f ca="1">INDEX(apuestas_feb24[desvio],MATCH(resultados_feb[[#This Row],[Apuesta MiniPorra]],apuestas_feb24[Apuesta Miniporra],0))</f>
        <v>28.950000000000003</v>
      </c>
      <c r="O25" s="13">
        <f ca="1">INDEX(apuestas_feb24[desvio %],MATCH(resultados_feb[[#This Row],[Apuesta MiniPorra]],apuestas_feb24[Apuesta Miniporra],0))</f>
        <v>0.72375000000000012</v>
      </c>
      <c r="P25" s="4">
        <v>19</v>
      </c>
      <c r="Q25" s="28">
        <v>45.55</v>
      </c>
    </row>
    <row r="26" spans="1:20" x14ac:dyDescent="0.2">
      <c r="A26" t="s">
        <v>266</v>
      </c>
      <c r="B26" s="47" t="s">
        <v>335</v>
      </c>
      <c r="C26">
        <v>68.099999999999994</v>
      </c>
      <c r="D26" t="s">
        <v>334</v>
      </c>
      <c r="E26" t="s">
        <v>335</v>
      </c>
      <c r="F26" s="21">
        <f ca="1">apuestas_feb24[[#This Row],[Apuesta Miniporra]]-$B$3</f>
        <v>28.099999999999994</v>
      </c>
      <c r="G26" s="22">
        <f ca="1">ABS(apuestas_feb24[[#This Row],[desvio]])/$B$3</f>
        <v>0.7024999999999999</v>
      </c>
      <c r="H26">
        <f ca="1">_xlfn.RANK.EQ(apuestas_feb24[[#This Row],[desvio %]],apuestas_feb24[desvio %],1)</f>
        <v>16</v>
      </c>
      <c r="J26" s="53" t="s">
        <v>266</v>
      </c>
      <c r="K26" s="10">
        <f ca="1">INDEX(apuestas_feb24[orden],MATCH(resultados_feb[Apuesta MiniPorra],apuestas_feb24[Apuesta Miniporra],0))</f>
        <v>16</v>
      </c>
      <c r="L26" s="6" t="str">
        <f>INDEX(apuestas_feb24[Nombre],MATCH(resultados_feb[[#This Row],[Apuesta MiniPorra]],apuestas_feb24[Apuesta Miniporra],0))</f>
        <v>Carlos Callejón</v>
      </c>
      <c r="M26" s="14">
        <f>apuestas_feb24[[#This Row],[Apuesta Miniporra]]</f>
        <v>68.099999999999994</v>
      </c>
      <c r="N26" s="14">
        <f ca="1">INDEX(apuestas_feb24[desvio],MATCH(resultados_feb[[#This Row],[Apuesta MiniPorra]],apuestas_feb24[Apuesta Miniporra],0))</f>
        <v>28.099999999999994</v>
      </c>
      <c r="O26" s="13">
        <f ca="1">INDEX(apuestas_feb24[desvio %],MATCH(resultados_feb[[#This Row],[Apuesta MiniPorra]],apuestas_feb24[Apuesta Miniporra],0))</f>
        <v>0.7024999999999999</v>
      </c>
      <c r="P26" s="4">
        <v>20</v>
      </c>
      <c r="Q26" s="28">
        <v>52.86</v>
      </c>
    </row>
    <row r="27" spans="1:20" x14ac:dyDescent="0.2">
      <c r="A27" t="s">
        <v>266</v>
      </c>
      <c r="B27" t="s">
        <v>9</v>
      </c>
      <c r="C27">
        <v>68</v>
      </c>
      <c r="D27" t="s">
        <v>285</v>
      </c>
      <c r="E27" t="s">
        <v>128</v>
      </c>
      <c r="F27" s="21">
        <f ca="1">apuestas_feb24[[#This Row],[Apuesta Miniporra]]-$B$3</f>
        <v>28</v>
      </c>
      <c r="G27" s="22">
        <f ca="1">ABS(apuestas_feb24[[#This Row],[desvio]])/$B$3</f>
        <v>0.7</v>
      </c>
      <c r="H27">
        <f ca="1">_xlfn.RANK.EQ(apuestas_feb24[[#This Row],[desvio %]],apuestas_feb24[desvio %],1)</f>
        <v>15</v>
      </c>
      <c r="J27" s="53" t="s">
        <v>266</v>
      </c>
      <c r="K27" s="9">
        <f ca="1">INDEX(apuestas_feb24[orden],MATCH(resultados_feb[Apuesta MiniPorra],apuestas_feb24[Apuesta Miniporra],0))</f>
        <v>15</v>
      </c>
      <c r="L27" s="6" t="str">
        <f>INDEX(apuestas_feb24[Nombre],MATCH(resultados_feb[[#This Row],[Apuesta MiniPorra]],apuestas_feb24[Apuesta Miniporra],0))</f>
        <v>Alfonso Zárate Conde</v>
      </c>
      <c r="M27" s="14">
        <f>apuestas_feb24[[#This Row],[Apuesta Miniporra]]</f>
        <v>68</v>
      </c>
      <c r="N27" s="14">
        <f ca="1">INDEX(apuestas_feb24[desvio],MATCH(resultados_feb[[#This Row],[Apuesta MiniPorra]],apuestas_feb24[Apuesta Miniporra],0))</f>
        <v>28</v>
      </c>
      <c r="O27" s="13">
        <f ca="1">INDEX(apuestas_feb24[desvio %],MATCH(resultados_feb[[#This Row],[Apuesta MiniPorra]],apuestas_feb24[Apuesta Miniporra],0))</f>
        <v>0.7</v>
      </c>
      <c r="P27" s="4">
        <v>21</v>
      </c>
      <c r="Q27" s="28">
        <v>45.3</v>
      </c>
    </row>
    <row r="28" spans="1:20" x14ac:dyDescent="0.2">
      <c r="A28" t="s">
        <v>266</v>
      </c>
      <c r="B28" t="s">
        <v>543</v>
      </c>
      <c r="C28">
        <v>67.2</v>
      </c>
      <c r="D28" t="s">
        <v>350</v>
      </c>
      <c r="E28" t="s">
        <v>351</v>
      </c>
      <c r="F28" s="21">
        <f ca="1">apuestas_feb24[[#This Row],[Apuesta Miniporra]]-$B$3</f>
        <v>27.200000000000003</v>
      </c>
      <c r="G28" s="22">
        <f ca="1">ABS(apuestas_feb24[[#This Row],[desvio]])/$B$3</f>
        <v>0.68</v>
      </c>
      <c r="H28">
        <f ca="1">_xlfn.RANK.EQ(apuestas_feb24[[#This Row],[desvio %]],apuestas_feb24[desvio %],1)</f>
        <v>14</v>
      </c>
      <c r="J28" s="53" t="s">
        <v>266</v>
      </c>
      <c r="K28" s="10">
        <f ca="1">INDEX(apuestas_feb24[orden],MATCH(resultados_feb[Apuesta MiniPorra],apuestas_feb24[Apuesta Miniporra],0))</f>
        <v>14</v>
      </c>
      <c r="L28" s="6" t="str">
        <f>INDEX(apuestas_feb24[Nombre],MATCH(resultados_feb[[#This Row],[Apuesta MiniPorra]],apuestas_feb24[Apuesta Miniporra],0))</f>
        <v>Roberto Parro Cortés</v>
      </c>
      <c r="M28" s="14">
        <f>apuestas_feb24[[#This Row],[Apuesta Miniporra]]</f>
        <v>67.2</v>
      </c>
      <c r="N28" s="14">
        <f ca="1">INDEX(apuestas_feb24[desvio],MATCH(resultados_feb[[#This Row],[Apuesta MiniPorra]],apuestas_feb24[Apuesta Miniporra],0))</f>
        <v>27.200000000000003</v>
      </c>
      <c r="O28" s="13">
        <f ca="1">INDEX(apuestas_feb24[desvio %],MATCH(resultados_feb[[#This Row],[Apuesta MiniPorra]],apuestas_feb24[Apuesta Miniporra],0))</f>
        <v>0.68</v>
      </c>
      <c r="P28" s="4">
        <v>22</v>
      </c>
      <c r="Q28" s="28">
        <v>10.71</v>
      </c>
    </row>
    <row r="29" spans="1:20" x14ac:dyDescent="0.2">
      <c r="A29" t="s">
        <v>266</v>
      </c>
      <c r="B29" t="s">
        <v>399</v>
      </c>
      <c r="C29">
        <v>65.86</v>
      </c>
      <c r="D29" t="s">
        <v>118</v>
      </c>
      <c r="E29" t="s">
        <v>353</v>
      </c>
      <c r="F29" s="21">
        <f ca="1">apuestas_feb24[[#This Row],[Apuesta Miniporra]]-$B$3</f>
        <v>25.86</v>
      </c>
      <c r="G29" s="22">
        <f ca="1">ABS(apuestas_feb24[[#This Row],[desvio]])/$B$3</f>
        <v>0.64649999999999996</v>
      </c>
      <c r="H29">
        <f ca="1">_xlfn.RANK.EQ(apuestas_feb24[[#This Row],[desvio %]],apuestas_feb24[desvio %],1)</f>
        <v>13</v>
      </c>
      <c r="J29" s="53" t="s">
        <v>266</v>
      </c>
      <c r="K29" s="9">
        <f ca="1">INDEX(apuestas_feb24[orden],MATCH(resultados_feb[Apuesta MiniPorra],apuestas_feb24[Apuesta Miniporra],0))</f>
        <v>13</v>
      </c>
      <c r="L29" s="6" t="str">
        <f>INDEX(apuestas_feb24[Nombre],MATCH(resultados_feb[[#This Row],[Apuesta MiniPorra]],apuestas_feb24[Apuesta Miniporra],0))</f>
        <v>Sergio Lopez Oliver</v>
      </c>
      <c r="M29" s="14">
        <f>apuestas_feb24[[#This Row],[Apuesta Miniporra]]</f>
        <v>65.86</v>
      </c>
      <c r="N29" s="14">
        <f ca="1">INDEX(apuestas_feb24[desvio],MATCH(resultados_feb[[#This Row],[Apuesta MiniPorra]],apuestas_feb24[Apuesta Miniporra],0))</f>
        <v>25.86</v>
      </c>
      <c r="O29" s="13">
        <f ca="1">INDEX(apuestas_feb24[desvio %],MATCH(resultados_feb[[#This Row],[Apuesta MiniPorra]],apuestas_feb24[Apuesta Miniporra],0))</f>
        <v>0.64649999999999996</v>
      </c>
      <c r="P29" s="4">
        <v>23</v>
      </c>
      <c r="Q29" s="28">
        <v>6.72</v>
      </c>
    </row>
    <row r="30" spans="1:20" x14ac:dyDescent="0.2">
      <c r="A30" t="s">
        <v>266</v>
      </c>
      <c r="B30" t="s">
        <v>363</v>
      </c>
      <c r="C30">
        <v>65.400000000000006</v>
      </c>
      <c r="D30" t="s">
        <v>356</v>
      </c>
      <c r="E30" t="s">
        <v>76</v>
      </c>
      <c r="F30" s="21">
        <f ca="1">apuestas_feb24[[#This Row],[Apuesta Miniporra]]-$B$3</f>
        <v>25.400000000000006</v>
      </c>
      <c r="G30" s="22">
        <f ca="1">ABS(apuestas_feb24[[#This Row],[desvio]])/$B$3</f>
        <v>0.63500000000000012</v>
      </c>
      <c r="H30">
        <f ca="1">_xlfn.RANK.EQ(apuestas_feb24[[#This Row],[desvio %]],apuestas_feb24[desvio %],1)</f>
        <v>12</v>
      </c>
      <c r="J30" s="53" t="s">
        <v>266</v>
      </c>
      <c r="K30" s="9">
        <f ca="1">INDEX(apuestas_feb24[orden],MATCH(resultados_feb[Apuesta MiniPorra],apuestas_feb24[Apuesta Miniporra],0))</f>
        <v>12</v>
      </c>
      <c r="L30" s="6" t="str">
        <f>INDEX(apuestas_feb24[Nombre],MATCH(resultados_feb[[#This Row],[Apuesta MiniPorra]],apuestas_feb24[Apuesta Miniporra],0))</f>
        <v>Roque Alonso Alonso</v>
      </c>
      <c r="M30" s="14">
        <f>apuestas_feb24[[#This Row],[Apuesta Miniporra]]</f>
        <v>65.400000000000006</v>
      </c>
      <c r="N30" s="14">
        <f ca="1">INDEX(apuestas_feb24[desvio],MATCH(resultados_feb[[#This Row],[Apuesta MiniPorra]],apuestas_feb24[Apuesta Miniporra],0))</f>
        <v>25.400000000000006</v>
      </c>
      <c r="O30" s="13">
        <f ca="1">INDEX(apuestas_feb24[desvio %],MATCH(resultados_feb[[#This Row],[Apuesta MiniPorra]],apuestas_feb24[Apuesta Miniporra],0))</f>
        <v>0.63500000000000012</v>
      </c>
      <c r="P30" s="4">
        <v>24</v>
      </c>
      <c r="Q30" s="28">
        <v>6.94</v>
      </c>
    </row>
    <row r="31" spans="1:20" x14ac:dyDescent="0.2">
      <c r="A31" t="s">
        <v>266</v>
      </c>
      <c r="B31" t="s">
        <v>328</v>
      </c>
      <c r="C31">
        <v>65.2</v>
      </c>
      <c r="D31" t="s">
        <v>118</v>
      </c>
      <c r="E31" t="s">
        <v>328</v>
      </c>
      <c r="F31" s="21">
        <f ca="1">apuestas_feb24[[#This Row],[Apuesta Miniporra]]-$B$3</f>
        <v>25.200000000000003</v>
      </c>
      <c r="G31" s="22">
        <f ca="1">ABS(apuestas_feb24[[#This Row],[desvio]])/$B$3</f>
        <v>0.63000000000000012</v>
      </c>
      <c r="H31">
        <f ca="1">_xlfn.RANK.EQ(apuestas_feb24[[#This Row],[desvio %]],apuestas_feb24[desvio %],1)</f>
        <v>11</v>
      </c>
      <c r="J31" s="53" t="s">
        <v>266</v>
      </c>
      <c r="K31" s="9">
        <f ca="1">INDEX(apuestas_feb24[orden],MATCH(resultados_feb[Apuesta MiniPorra],apuestas_feb24[Apuesta Miniporra],0))</f>
        <v>11</v>
      </c>
      <c r="L31" s="6" t="str">
        <f>INDEX(apuestas_feb24[Nombre],MATCH(resultados_feb[[#This Row],[Apuesta MiniPorra]],apuestas_feb24[Apuesta Miniporra],0))</f>
        <v>Aitor Folch</v>
      </c>
      <c r="M31" s="14">
        <f>apuestas_feb24[[#This Row],[Apuesta Miniporra]]</f>
        <v>65.2</v>
      </c>
      <c r="N31" s="14">
        <f ca="1">INDEX(apuestas_feb24[desvio],MATCH(resultados_feb[[#This Row],[Apuesta MiniPorra]],apuestas_feb24[Apuesta Miniporra],0))</f>
        <v>25.200000000000003</v>
      </c>
      <c r="O31" s="13">
        <f ca="1">INDEX(apuestas_feb24[desvio %],MATCH(resultados_feb[[#This Row],[Apuesta MiniPorra]],apuestas_feb24[Apuesta Miniporra],0))</f>
        <v>0.63000000000000012</v>
      </c>
      <c r="P31" s="4">
        <v>25</v>
      </c>
      <c r="Q31" s="28">
        <v>3.06</v>
      </c>
    </row>
    <row r="32" spans="1:20" x14ac:dyDescent="0.2">
      <c r="A32" t="s">
        <v>266</v>
      </c>
      <c r="B32" s="47" t="s">
        <v>406</v>
      </c>
      <c r="C32">
        <v>65</v>
      </c>
      <c r="D32" t="s">
        <v>270</v>
      </c>
      <c r="E32" t="s">
        <v>271</v>
      </c>
      <c r="F32" s="21">
        <f ca="1">apuestas_feb24[[#This Row],[Apuesta Miniporra]]-$B$3</f>
        <v>25</v>
      </c>
      <c r="G32" s="22">
        <f ca="1">ABS(apuestas_feb24[[#This Row],[desvio]])/$B$3</f>
        <v>0.625</v>
      </c>
      <c r="H32">
        <f ca="1">_xlfn.RANK.EQ(apuestas_feb24[[#This Row],[desvio %]],apuestas_feb24[desvio %],1)</f>
        <v>10</v>
      </c>
      <c r="J32" s="53" t="s">
        <v>266</v>
      </c>
      <c r="K32" s="10">
        <f ca="1">INDEX(apuestas_feb24[orden],MATCH(resultados_feb[Apuesta MiniPorra],apuestas_feb24[Apuesta Miniporra],0))</f>
        <v>10</v>
      </c>
      <c r="L32" s="6" t="str">
        <f>INDEX(apuestas_feb24[Nombre],MATCH(resultados_feb[[#This Row],[Apuesta MiniPorra]],apuestas_feb24[Apuesta Miniporra],0))</f>
        <v>Javier Pérez Salazar</v>
      </c>
      <c r="M32" s="14">
        <f>apuestas_feb24[[#This Row],[Apuesta Miniporra]]</f>
        <v>65</v>
      </c>
      <c r="N32" s="14">
        <f ca="1">INDEX(apuestas_feb24[desvio],MATCH(resultados_feb[[#This Row],[Apuesta MiniPorra]],apuestas_feb24[Apuesta Miniporra],0))</f>
        <v>25</v>
      </c>
      <c r="O32" s="13">
        <f ca="1">INDEX(apuestas_feb24[desvio %],MATCH(resultados_feb[[#This Row],[Apuesta MiniPorra]],apuestas_feb24[Apuesta Miniporra],0))</f>
        <v>0.625</v>
      </c>
      <c r="P32" s="4">
        <v>26</v>
      </c>
      <c r="Q32" s="28">
        <v>3.82</v>
      </c>
    </row>
    <row r="33" spans="1:17" x14ac:dyDescent="0.2">
      <c r="A33" t="s">
        <v>266</v>
      </c>
      <c r="B33" s="47" t="s">
        <v>218</v>
      </c>
      <c r="C33">
        <v>64.459999999999994</v>
      </c>
      <c r="D33" t="s">
        <v>118</v>
      </c>
      <c r="E33" t="s">
        <v>282</v>
      </c>
      <c r="F33" s="21">
        <f ca="1">apuestas_feb24[[#This Row],[Apuesta Miniporra]]-$B$3</f>
        <v>24.459999999999994</v>
      </c>
      <c r="G33" s="22">
        <f ca="1">ABS(apuestas_feb24[[#This Row],[desvio]])/$B$3</f>
        <v>0.61149999999999982</v>
      </c>
      <c r="H33">
        <f ca="1">_xlfn.RANK.EQ(apuestas_feb24[[#This Row],[desvio %]],apuestas_feb24[desvio %],1)</f>
        <v>9</v>
      </c>
      <c r="J33" s="53" t="s">
        <v>266</v>
      </c>
      <c r="K33" s="9">
        <f ca="1">INDEX(apuestas_feb24[orden],MATCH(resultados_feb[Apuesta MiniPorra],apuestas_feb24[Apuesta Miniporra],0))</f>
        <v>9</v>
      </c>
      <c r="L33" s="6" t="str">
        <f>INDEX(apuestas_feb24[Nombre],MATCH(resultados_feb[[#This Row],[Apuesta MiniPorra]],apuestas_feb24[Apuesta Miniporra],0))</f>
        <v>Jorge Antonio González Sánchez</v>
      </c>
      <c r="M33" s="14">
        <f>apuestas_feb24[[#This Row],[Apuesta Miniporra]]</f>
        <v>64.459999999999994</v>
      </c>
      <c r="N33" s="14">
        <f ca="1">INDEX(apuestas_feb24[desvio],MATCH(resultados_feb[[#This Row],[Apuesta MiniPorra]],apuestas_feb24[Apuesta Miniporra],0))</f>
        <v>24.459999999999994</v>
      </c>
      <c r="O33" s="13">
        <f ca="1">INDEX(apuestas_feb24[desvio %],MATCH(resultados_feb[[#This Row],[Apuesta MiniPorra]],apuestas_feb24[Apuesta Miniporra],0))</f>
        <v>0.61149999999999982</v>
      </c>
      <c r="P33" s="4">
        <v>27</v>
      </c>
      <c r="Q33" s="28">
        <v>3.66</v>
      </c>
    </row>
    <row r="34" spans="1:17" x14ac:dyDescent="0.2">
      <c r="A34" t="s">
        <v>266</v>
      </c>
      <c r="B34" t="s">
        <v>414</v>
      </c>
      <c r="C34">
        <v>64.349999999999994</v>
      </c>
      <c r="D34" t="s">
        <v>118</v>
      </c>
      <c r="E34" t="s">
        <v>300</v>
      </c>
      <c r="F34" s="21">
        <f ca="1">apuestas_feb24[[#This Row],[Apuesta Miniporra]]-$B$3</f>
        <v>24.349999999999994</v>
      </c>
      <c r="G34" s="22">
        <f ca="1">ABS(apuestas_feb24[[#This Row],[desvio]])/$B$3</f>
        <v>0.6087499999999999</v>
      </c>
      <c r="H34">
        <f ca="1">_xlfn.RANK.EQ(apuestas_feb24[[#This Row],[desvio %]],apuestas_feb24[desvio %],1)</f>
        <v>8</v>
      </c>
      <c r="J34" s="53" t="s">
        <v>266</v>
      </c>
      <c r="K34" s="10">
        <f ca="1">INDEX(apuestas_feb24[orden],MATCH(resultados_feb[Apuesta MiniPorra],apuestas_feb24[Apuesta Miniporra],0))</f>
        <v>8</v>
      </c>
      <c r="L34" s="6" t="str">
        <f>INDEX(apuestas_feb24[Nombre],MATCH(resultados_feb[[#This Row],[Apuesta MiniPorra]],apuestas_feb24[Apuesta Miniporra],0))</f>
        <v>Laura Gómez López</v>
      </c>
      <c r="M34" s="14">
        <f>apuestas_feb24[[#This Row],[Apuesta Miniporra]]</f>
        <v>64.349999999999994</v>
      </c>
      <c r="N34" s="14">
        <f ca="1">INDEX(apuestas_feb24[desvio],MATCH(resultados_feb[[#This Row],[Apuesta MiniPorra]],apuestas_feb24[Apuesta Miniporra],0))</f>
        <v>24.349999999999994</v>
      </c>
      <c r="O34" s="13">
        <f ca="1">INDEX(apuestas_feb24[desvio %],MATCH(resultados_feb[[#This Row],[Apuesta MiniPorra]],apuestas_feb24[Apuesta Miniporra],0))</f>
        <v>0.6087499999999999</v>
      </c>
      <c r="P34" s="4">
        <v>28</v>
      </c>
      <c r="Q34" s="28">
        <v>9.35</v>
      </c>
    </row>
    <row r="35" spans="1:17" x14ac:dyDescent="0.2">
      <c r="A35" t="s">
        <v>266</v>
      </c>
      <c r="B35" t="s">
        <v>226</v>
      </c>
      <c r="C35">
        <v>62.5</v>
      </c>
      <c r="D35" t="s">
        <v>348</v>
      </c>
      <c r="E35" t="s">
        <v>203</v>
      </c>
      <c r="F35" s="21">
        <f ca="1">apuestas_feb24[[#This Row],[Apuesta Miniporra]]-$B$3</f>
        <v>22.5</v>
      </c>
      <c r="G35" s="22">
        <f ca="1">ABS(apuestas_feb24[[#This Row],[desvio]])/$B$3</f>
        <v>0.5625</v>
      </c>
      <c r="H35">
        <f ca="1">_xlfn.RANK.EQ(apuestas_feb24[[#This Row],[desvio %]],apuestas_feb24[desvio %],1)</f>
        <v>7</v>
      </c>
      <c r="J35" s="53" t="s">
        <v>266</v>
      </c>
      <c r="K35" s="9">
        <f ca="1">INDEX(apuestas_feb24[orden],MATCH(resultados_feb[Apuesta MiniPorra],apuestas_feb24[Apuesta Miniporra],0))</f>
        <v>7</v>
      </c>
      <c r="L35" s="6" t="str">
        <f>INDEX(apuestas_feb24[Nombre],MATCH(resultados_feb[[#This Row],[Apuesta MiniPorra]],apuestas_feb24[Apuesta Miniporra],0))</f>
        <v>Alejandro A. Díaz González</v>
      </c>
      <c r="M35" s="14">
        <f>apuestas_feb24[[#This Row],[Apuesta Miniporra]]</f>
        <v>62.5</v>
      </c>
      <c r="N35" s="14">
        <f ca="1">INDEX(apuestas_feb24[desvio],MATCH(resultados_feb[[#This Row],[Apuesta MiniPorra]],apuestas_feb24[Apuesta Miniporra],0))</f>
        <v>22.5</v>
      </c>
      <c r="O35" s="13">
        <f ca="1">INDEX(apuestas_feb24[desvio %],MATCH(resultados_feb[[#This Row],[Apuesta MiniPorra]],apuestas_feb24[Apuesta Miniporra],0))</f>
        <v>0.5625</v>
      </c>
      <c r="P35" s="4">
        <v>29</v>
      </c>
      <c r="Q35" s="28">
        <v>4.8</v>
      </c>
    </row>
    <row r="36" spans="1:17" x14ac:dyDescent="0.2">
      <c r="A36" t="s">
        <v>266</v>
      </c>
      <c r="B36" s="47" t="s">
        <v>340</v>
      </c>
      <c r="C36">
        <v>61.53</v>
      </c>
      <c r="D36" t="s">
        <v>118</v>
      </c>
      <c r="E36" t="s">
        <v>264</v>
      </c>
      <c r="F36" s="21">
        <f ca="1">apuestas_feb24[[#This Row],[Apuesta Miniporra]]-$B$3</f>
        <v>21.53</v>
      </c>
      <c r="G36" s="22">
        <f ca="1">ABS(apuestas_feb24[[#This Row],[desvio]])/$B$3</f>
        <v>0.53825000000000001</v>
      </c>
      <c r="H36">
        <f ca="1">_xlfn.RANK.EQ(apuestas_feb24[[#This Row],[desvio %]],apuestas_feb24[desvio %],1)</f>
        <v>6</v>
      </c>
      <c r="J36" s="53" t="s">
        <v>266</v>
      </c>
      <c r="K36" s="10">
        <f ca="1">INDEX(apuestas_feb24[orden],MATCH(resultados_feb[Apuesta MiniPorra],apuestas_feb24[Apuesta Miniporra],0))</f>
        <v>6</v>
      </c>
      <c r="L36" s="6" t="str">
        <f>INDEX(apuestas_feb24[Nombre],MATCH(resultados_feb[[#This Row],[Apuesta MiniPorra]],apuestas_feb24[Apuesta Miniporra],0))</f>
        <v>Cristian Trapero</v>
      </c>
      <c r="M36" s="14">
        <f>apuestas_feb24[[#This Row],[Apuesta Miniporra]]</f>
        <v>61.53</v>
      </c>
      <c r="N36" s="14">
        <f ca="1">INDEX(apuestas_feb24[desvio],MATCH(resultados_feb[[#This Row],[Apuesta MiniPorra]],apuestas_feb24[Apuesta Miniporra],0))</f>
        <v>21.53</v>
      </c>
      <c r="O36" s="13">
        <f ca="1">INDEX(apuestas_feb24[desvio %],MATCH(resultados_feb[[#This Row],[Apuesta MiniPorra]],apuestas_feb24[Apuesta Miniporra],0))</f>
        <v>0.53825000000000001</v>
      </c>
      <c r="P36" s="35"/>
      <c r="Q36" s="36"/>
    </row>
    <row r="37" spans="1:17" x14ac:dyDescent="0.2">
      <c r="A37" t="s">
        <v>266</v>
      </c>
      <c r="B37" t="s">
        <v>292</v>
      </c>
      <c r="C37">
        <v>60.1</v>
      </c>
      <c r="D37" t="s">
        <v>118</v>
      </c>
      <c r="E37" t="s">
        <v>295</v>
      </c>
      <c r="F37" s="21">
        <f ca="1">apuestas_feb24[[#This Row],[Apuesta Miniporra]]-$B$3</f>
        <v>20.100000000000001</v>
      </c>
      <c r="G37" s="22">
        <f ca="1">ABS(apuestas_feb24[[#This Row],[desvio]])/$B$3</f>
        <v>0.50250000000000006</v>
      </c>
      <c r="H37">
        <f ca="1">_xlfn.RANK.EQ(apuestas_feb24[[#This Row],[desvio %]],apuestas_feb24[desvio %],1)</f>
        <v>5</v>
      </c>
      <c r="J37" s="53" t="s">
        <v>266</v>
      </c>
      <c r="K37" s="9">
        <f ca="1">INDEX(apuestas_feb24[orden],MATCH(resultados_feb[Apuesta MiniPorra],apuestas_feb24[Apuesta Miniporra],0))</f>
        <v>5</v>
      </c>
      <c r="L37" s="6" t="str">
        <f>INDEX(apuestas_feb24[Nombre],MATCH(resultados_feb[[#This Row],[Apuesta MiniPorra]],apuestas_feb24[Apuesta Miniporra],0))</f>
        <v>Oscar Mulas Crespo</v>
      </c>
      <c r="M37" s="14">
        <f>apuestas_feb24[[#This Row],[Apuesta Miniporra]]</f>
        <v>60.1</v>
      </c>
      <c r="N37" s="14">
        <f ca="1">INDEX(apuestas_feb24[desvio],MATCH(resultados_feb[[#This Row],[Apuesta MiniPorra]],apuestas_feb24[Apuesta Miniporra],0))</f>
        <v>20.100000000000001</v>
      </c>
      <c r="O37" s="13">
        <f ca="1">INDEX(apuestas_feb24[desvio %],MATCH(resultados_feb[[#This Row],[Apuesta MiniPorra]],apuestas_feb24[Apuesta Miniporra],0))</f>
        <v>0.50250000000000006</v>
      </c>
      <c r="P37" s="35"/>
      <c r="Q37" s="36"/>
    </row>
    <row r="38" spans="1:17" x14ac:dyDescent="0.2">
      <c r="A38" t="s">
        <v>266</v>
      </c>
      <c r="B38" s="47" t="s">
        <v>337</v>
      </c>
      <c r="C38">
        <v>60.06</v>
      </c>
      <c r="D38" t="s">
        <v>308</v>
      </c>
      <c r="E38" t="s">
        <v>309</v>
      </c>
      <c r="F38" s="21">
        <f ca="1">apuestas_feb24[[#This Row],[Apuesta Miniporra]]-$B$3</f>
        <v>20.060000000000002</v>
      </c>
      <c r="G38" s="22">
        <f ca="1">ABS(apuestas_feb24[[#This Row],[desvio]])/$B$3</f>
        <v>0.50150000000000006</v>
      </c>
      <c r="H38">
        <f ca="1">_xlfn.RANK.EQ(apuestas_feb24[[#This Row],[desvio %]],apuestas_feb24[desvio %],1)</f>
        <v>4</v>
      </c>
      <c r="J38" s="53" t="s">
        <v>266</v>
      </c>
      <c r="K38" s="10">
        <f ca="1">INDEX(apuestas_feb24[orden],MATCH(resultados_feb[Apuesta MiniPorra],apuestas_feb24[Apuesta Miniporra],0))</f>
        <v>4</v>
      </c>
      <c r="L38" s="6" t="str">
        <f>INDEX(apuestas_feb24[Nombre],MATCH(resultados_feb[[#This Row],[Apuesta MiniPorra]],apuestas_feb24[Apuesta Miniporra],0))</f>
        <v>Francisco Valverde Sánchez</v>
      </c>
      <c r="M38" s="14">
        <f>apuestas_feb24[[#This Row],[Apuesta Miniporra]]</f>
        <v>60.06</v>
      </c>
      <c r="N38" s="14">
        <f ca="1">INDEX(apuestas_feb24[desvio],MATCH(resultados_feb[[#This Row],[Apuesta MiniPorra]],apuestas_feb24[Apuesta Miniporra],0))</f>
        <v>20.060000000000002</v>
      </c>
      <c r="O38" s="13">
        <f ca="1">INDEX(apuestas_feb24[desvio %],MATCH(resultados_feb[[#This Row],[Apuesta MiniPorra]],apuestas_feb24[Apuesta Miniporra],0))</f>
        <v>0.50150000000000006</v>
      </c>
      <c r="P38" s="35"/>
      <c r="Q38" s="36"/>
    </row>
    <row r="39" spans="1:17" x14ac:dyDescent="0.2">
      <c r="A39" t="s">
        <v>266</v>
      </c>
      <c r="B39" s="47" t="s">
        <v>381</v>
      </c>
      <c r="C39">
        <v>60.02</v>
      </c>
      <c r="D39" t="s">
        <v>367</v>
      </c>
      <c r="E39" t="s">
        <v>37</v>
      </c>
      <c r="F39" s="21">
        <f ca="1">apuestas_feb24[[#This Row],[Apuesta Miniporra]]-$B$3</f>
        <v>20.020000000000003</v>
      </c>
      <c r="G39" s="22">
        <f ca="1">ABS(apuestas_feb24[[#This Row],[desvio]])/$B$3</f>
        <v>0.50050000000000006</v>
      </c>
      <c r="H39">
        <f ca="1">_xlfn.RANK.EQ(apuestas_feb24[[#This Row],[desvio %]],apuestas_feb24[desvio %],1)</f>
        <v>3</v>
      </c>
      <c r="J39" s="53" t="s">
        <v>266</v>
      </c>
      <c r="K39" s="16">
        <f ca="1">INDEX(apuestas_feb24[orden],MATCH(resultados_feb[Apuesta MiniPorra],apuestas_feb24[Apuesta Miniporra],0))</f>
        <v>3</v>
      </c>
      <c r="L39" s="27" t="str">
        <f>INDEX(apuestas_feb24[Nombre],MATCH(resultados_feb[[#This Row],[Apuesta MiniPorra]],apuestas_feb24[Apuesta Miniporra],0))</f>
        <v>Roberto Cavero García</v>
      </c>
      <c r="M39" s="17">
        <f>apuestas_feb24[[#This Row],[Apuesta Miniporra]]</f>
        <v>60.02</v>
      </c>
      <c r="N39" s="17">
        <f ca="1">INDEX(apuestas_feb24[desvio],MATCH(resultados_feb[[#This Row],[Apuesta MiniPorra]],apuestas_feb24[Apuesta Miniporra],0))</f>
        <v>20.020000000000003</v>
      </c>
      <c r="O39" s="18">
        <f ca="1">INDEX(apuestas_feb24[desvio %],MATCH(resultados_feb[[#This Row],[Apuesta MiniPorra]],apuestas_feb24[Apuesta Miniporra],0))</f>
        <v>0.50050000000000006</v>
      </c>
      <c r="P39" s="35"/>
      <c r="Q39" s="36"/>
    </row>
    <row r="40" spans="1:17" x14ac:dyDescent="0.2">
      <c r="A40" t="s">
        <v>266</v>
      </c>
      <c r="B40" s="47" t="s">
        <v>221</v>
      </c>
      <c r="C40">
        <v>59.3</v>
      </c>
      <c r="D40" t="s">
        <v>118</v>
      </c>
      <c r="E40" t="s">
        <v>124</v>
      </c>
      <c r="F40" s="21">
        <f ca="1">apuestas_feb24[[#This Row],[Apuesta Miniporra]]-$B$3</f>
        <v>19.299999999999997</v>
      </c>
      <c r="G40" s="22">
        <f ca="1">ABS(apuestas_feb24[[#This Row],[desvio]])/$B$3</f>
        <v>0.48249999999999993</v>
      </c>
      <c r="H40">
        <f ca="1">_xlfn.RANK.EQ(apuestas_feb24[[#This Row],[desvio %]],apuestas_feb24[desvio %],1)</f>
        <v>2</v>
      </c>
      <c r="J40" s="53" t="s">
        <v>266</v>
      </c>
      <c r="K40" s="16">
        <f ca="1">INDEX(apuestas_feb24[orden],MATCH(resultados_feb[Apuesta MiniPorra],apuestas_feb24[Apuesta Miniporra],0))</f>
        <v>2</v>
      </c>
      <c r="L40" s="27" t="str">
        <f>INDEX(apuestas_feb24[Nombre],MATCH(resultados_feb[[#This Row],[Apuesta MiniPorra]],apuestas_feb24[Apuesta Miniporra],0))</f>
        <v>Alfonso Lezcano</v>
      </c>
      <c r="M40" s="17">
        <f>apuestas_feb24[[#This Row],[Apuesta Miniporra]]</f>
        <v>59.3</v>
      </c>
      <c r="N40" s="17">
        <f ca="1">INDEX(apuestas_feb24[desvio],MATCH(resultados_feb[[#This Row],[Apuesta MiniPorra]],apuestas_feb24[Apuesta Miniporra],0))</f>
        <v>19.299999999999997</v>
      </c>
      <c r="O40" s="18">
        <f ca="1">INDEX(apuestas_feb24[desvio %],MATCH(resultados_feb[[#This Row],[Apuesta MiniPorra]],apuestas_feb24[Apuesta Miniporra],0))</f>
        <v>0.48249999999999993</v>
      </c>
      <c r="P40" s="35"/>
      <c r="Q40" s="36"/>
    </row>
    <row r="41" spans="1:17" x14ac:dyDescent="0.2">
      <c r="A41" t="s">
        <v>266</v>
      </c>
      <c r="B41" t="s">
        <v>404</v>
      </c>
      <c r="C41">
        <v>53.54</v>
      </c>
      <c r="D41" t="s">
        <v>319</v>
      </c>
      <c r="E41" t="s">
        <v>320</v>
      </c>
      <c r="F41" s="21">
        <f ca="1">apuestas_feb24[[#This Row],[Apuesta Miniporra]]-$B$3</f>
        <v>13.54</v>
      </c>
      <c r="G41" s="22">
        <f ca="1">ABS(apuestas_feb24[[#This Row],[desvio]])/$B$3</f>
        <v>0.33849999999999997</v>
      </c>
      <c r="H41">
        <f ca="1">_xlfn.RANK.EQ(apuestas_feb24[[#This Row],[desvio %]],apuestas_feb24[desvio %],1)</f>
        <v>1</v>
      </c>
      <c r="J41" s="53" t="s">
        <v>266</v>
      </c>
      <c r="K41" s="37">
        <f ca="1">INDEX(apuestas_feb24[orden],MATCH(resultados_feb[Apuesta MiniPorra],apuestas_feb24[Apuesta Miniporra],0))</f>
        <v>1</v>
      </c>
      <c r="L41" s="38" t="str">
        <f>INDEX(apuestas_feb24[Nombre],MATCH(resultados_feb[[#This Row],[Apuesta MiniPorra]],apuestas_feb24[Apuesta Miniporra],0))</f>
        <v>Juan Luis Jarillo Gómez</v>
      </c>
      <c r="M41" s="40">
        <f>apuestas_feb24[[#This Row],[Apuesta Miniporra]]</f>
        <v>53.54</v>
      </c>
      <c r="N41" s="41">
        <f ca="1">INDEX(apuestas_feb24[desvio],MATCH(resultados_feb[[#This Row],[Apuesta MiniPorra]],apuestas_feb24[Apuesta Miniporra],0))</f>
        <v>13.54</v>
      </c>
      <c r="O41" s="39">
        <f ca="1">INDEX(apuestas_feb24[desvio %],MATCH(resultados_feb[[#This Row],[Apuesta MiniPorra]],apuestas_feb24[Apuesta Miniporra],0))</f>
        <v>0.33849999999999997</v>
      </c>
      <c r="P41" s="35"/>
      <c r="Q41" s="36"/>
    </row>
    <row r="42" spans="1:17" x14ac:dyDescent="0.2">
      <c r="O42" s="35"/>
      <c r="P42" s="36"/>
    </row>
    <row r="43" spans="1:17" x14ac:dyDescent="0.2">
      <c r="O43" s="35"/>
      <c r="P43" s="36"/>
    </row>
    <row r="44" spans="1:17" x14ac:dyDescent="0.2">
      <c r="O44" s="35"/>
      <c r="P44" s="36"/>
    </row>
    <row r="45" spans="1:17" x14ac:dyDescent="0.2">
      <c r="O45" s="35"/>
      <c r="P45" s="36"/>
    </row>
    <row r="46" spans="1:17" x14ac:dyDescent="0.2">
      <c r="O46" s="35"/>
      <c r="P46" s="36"/>
    </row>
    <row r="47" spans="1:17" x14ac:dyDescent="0.2">
      <c r="O47" s="35"/>
      <c r="P47" s="36"/>
    </row>
  </sheetData>
  <mergeCells count="10">
    <mergeCell ref="J1:K5"/>
    <mergeCell ref="L1:L2"/>
    <mergeCell ref="M1:N2"/>
    <mergeCell ref="O1:P2"/>
    <mergeCell ref="Q1:S5"/>
    <mergeCell ref="T1:T5"/>
    <mergeCell ref="L3:L5"/>
    <mergeCell ref="M3:N5"/>
    <mergeCell ref="O3:P5"/>
    <mergeCell ref="R20:T22"/>
  </mergeCells>
  <conditionalFormatting sqref="J7:O41">
    <cfRule type="expression" dxfId="36" priority="2">
      <formula>$K7=3</formula>
    </cfRule>
    <cfRule type="expression" dxfId="35" priority="3">
      <formula>$K7=2</formula>
    </cfRule>
    <cfRule type="expression" dxfId="34" priority="4">
      <formula>$K7=1</formula>
    </cfRule>
  </conditionalFormatting>
  <conditionalFormatting sqref="O7:O41">
    <cfRule type="dataBar" priority="1">
      <dataBar>
        <cfvo type="min"/>
        <cfvo type="max"/>
        <color rgb="FFFF555A"/>
      </dataBar>
      <extLst>
        <ext xmlns:x14="http://schemas.microsoft.com/office/spreadsheetml/2009/9/main" uri="{B025F937-C7B1-47D3-B67F-A62EFF666E3E}">
          <x14:id>{7563A7F4-52B8-453B-AFEA-D2CBE678AB5A}</x14:id>
        </ext>
      </extLst>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actualizar_febrero">
                <anchor moveWithCells="1" sizeWithCells="1">
                  <from>
                    <xdr:col>3</xdr:col>
                    <xdr:colOff>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13314" r:id="rId4" name="Spinner 2">
              <controlPr defaultSize="0" autoPict="0">
                <anchor moveWithCells="1" sizeWithCells="1">
                  <from>
                    <xdr:col>4</xdr:col>
                    <xdr:colOff>809625</xdr:colOff>
                    <xdr:row>0</xdr:row>
                    <xdr:rowOff>9525</xdr:rowOff>
                  </from>
                  <to>
                    <xdr:col>5</xdr:col>
                    <xdr:colOff>561975</xdr:colOff>
                    <xdr:row>3</xdr:row>
                    <xdr:rowOff>0</xdr:rowOff>
                  </to>
                </anchor>
              </controlPr>
            </control>
          </mc:Choice>
        </mc:AlternateContent>
      </controls>
    </mc:Choice>
  </mc:AlternateContent>
  <tableParts count="3">
    <tablePart r:id="rId5"/>
    <tablePart r:id="rId6"/>
    <tablePart r:id="rId7"/>
  </tableParts>
  <extLst>
    <ext xmlns:x14="http://schemas.microsoft.com/office/spreadsheetml/2009/9/main" uri="{78C0D931-6437-407d-A8EE-F0AAD7539E65}">
      <x14:conditionalFormattings>
        <x14:conditionalFormatting xmlns:xm="http://schemas.microsoft.com/office/excel/2006/main">
          <x14:cfRule type="dataBar" id="{7563A7F4-52B8-453B-AFEA-D2CBE678AB5A}">
            <x14:dataBar minLength="0" maxLength="100" border="1" negativeBarBorderColorSameAsPositive="0">
              <x14:cfvo type="autoMin"/>
              <x14:cfvo type="autoMax"/>
              <x14:borderColor rgb="FFFF555A"/>
              <x14:negativeFillColor rgb="FFFF0000"/>
              <x14:negativeBorderColor rgb="FFFF0000"/>
              <x14:axisColor rgb="FF000000"/>
            </x14:dataBar>
          </x14:cfRule>
          <xm:sqref>O7:O41</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499CD9-2B40-4CB9-B0BB-A407366791BE}">
  <sheetPr codeName="Hoja9">
    <tabColor rgb="FFC00000"/>
  </sheetPr>
  <dimension ref="A1:T69"/>
  <sheetViews>
    <sheetView showGridLines="0" zoomScale="145" zoomScaleNormal="145" workbookViewId="0">
      <selection activeCell="C2" sqref="C2"/>
    </sheetView>
  </sheetViews>
  <sheetFormatPr baseColWidth="10" defaultRowHeight="12" x14ac:dyDescent="0.2"/>
  <cols>
    <col min="1" max="1" width="16" bestFit="1" customWidth="1"/>
    <col min="2" max="2" width="26.85546875" bestFit="1" customWidth="1"/>
    <col min="3" max="3" width="18" bestFit="1" customWidth="1"/>
    <col min="4" max="4" width="81.140625" bestFit="1" customWidth="1"/>
    <col min="5" max="5" width="20.5703125" bestFit="1" customWidth="1"/>
    <col min="6" max="6" width="10.5703125" bestFit="1" customWidth="1"/>
    <col min="7" max="7" width="12.28515625" bestFit="1" customWidth="1"/>
    <col min="8" max="8" width="10" bestFit="1" customWidth="1"/>
    <col min="9" max="9" width="2.28515625" customWidth="1"/>
    <col min="10" max="10" width="8.42578125" bestFit="1" customWidth="1"/>
    <col min="11" max="11" width="11.85546875" customWidth="1"/>
    <col min="15" max="15" width="8.7109375" style="4" customWidth="1"/>
    <col min="16" max="16" width="8.5703125" customWidth="1"/>
    <col min="19" max="19" width="12" customWidth="1"/>
    <col min="20" max="20" width="33.5703125" customWidth="1"/>
  </cols>
  <sheetData>
    <row r="1" spans="1:20" ht="12" customHeight="1" x14ac:dyDescent="0.2">
      <c r="A1" t="s">
        <v>228</v>
      </c>
      <c r="B1" s="23">
        <f>COUNTA(apuestas_mar24[Nombre])</f>
        <v>25</v>
      </c>
      <c r="G1" s="15" t="s">
        <v>236</v>
      </c>
      <c r="H1" s="23">
        <v>31</v>
      </c>
      <c r="I1" s="4"/>
      <c r="J1" s="103" t="s">
        <v>246</v>
      </c>
      <c r="K1" s="104"/>
      <c r="L1" s="107" t="s">
        <v>3</v>
      </c>
      <c r="M1" s="113" t="s">
        <v>478</v>
      </c>
      <c r="N1" s="114"/>
      <c r="O1" s="111" t="s">
        <v>4</v>
      </c>
      <c r="P1" s="112"/>
      <c r="Q1" s="99" t="s">
        <v>246</v>
      </c>
      <c r="R1" s="99"/>
      <c r="S1" s="100"/>
      <c r="T1" s="98"/>
    </row>
    <row r="2" spans="1:20" ht="12" customHeight="1" x14ac:dyDescent="0.2">
      <c r="A2" t="s">
        <v>3</v>
      </c>
      <c r="B2" s="23" t="str">
        <f>A7</f>
        <v>Mar 2024</v>
      </c>
      <c r="C2" t="s">
        <v>243</v>
      </c>
      <c r="G2" s="15" t="s">
        <v>253</v>
      </c>
      <c r="H2" s="24">
        <f ca="1">TODAY()</f>
        <v>45453</v>
      </c>
      <c r="I2" s="24"/>
      <c r="J2" s="105"/>
      <c r="K2" s="100"/>
      <c r="L2" s="108"/>
      <c r="M2" s="115"/>
      <c r="N2" s="116"/>
      <c r="O2" s="111"/>
      <c r="P2" s="112"/>
      <c r="Q2" s="99"/>
      <c r="R2" s="99"/>
      <c r="S2" s="100"/>
      <c r="T2" s="98"/>
    </row>
    <row r="3" spans="1:20" ht="12" customHeight="1" x14ac:dyDescent="0.2">
      <c r="A3" t="s">
        <v>229</v>
      </c>
      <c r="B3" s="44">
        <f ca="1">IF(C3="",ROUND(AVERAGE(omie!K5:OFFSET(omie!K5,MATCH(B4,omie_marzo[fecha],0)-1,0)),2),C3)</f>
        <v>20.28</v>
      </c>
      <c r="C3" s="26"/>
      <c r="G3" s="97" t="s">
        <v>248</v>
      </c>
      <c r="H3" s="97"/>
      <c r="I3" s="4"/>
      <c r="J3" s="105"/>
      <c r="K3" s="100"/>
      <c r="L3" s="109" t="s">
        <v>13</v>
      </c>
      <c r="M3" s="117">
        <f>H1</f>
        <v>31</v>
      </c>
      <c r="N3" s="117"/>
      <c r="O3" s="110">
        <f ca="1">B3</f>
        <v>20.28</v>
      </c>
      <c r="P3" s="110"/>
      <c r="Q3" s="99"/>
      <c r="R3" s="99"/>
      <c r="S3" s="100"/>
      <c r="T3" s="98"/>
    </row>
    <row r="4" spans="1:20" ht="12" customHeight="1" x14ac:dyDescent="0.2">
      <c r="A4" t="s">
        <v>6</v>
      </c>
      <c r="B4" s="3">
        <f>DATE(2024,3,H1)</f>
        <v>45382</v>
      </c>
      <c r="G4" t="s">
        <v>247</v>
      </c>
      <c r="H4" s="30">
        <f>[1]omie_dinamic_dia!$G$2</f>
        <v>10</v>
      </c>
      <c r="I4" s="42"/>
      <c r="J4" s="105"/>
      <c r="K4" s="100"/>
      <c r="L4" s="109"/>
      <c r="M4" s="117"/>
      <c r="N4" s="117"/>
      <c r="O4" s="110"/>
      <c r="P4" s="110"/>
      <c r="Q4" s="99"/>
      <c r="R4" s="99"/>
      <c r="S4" s="100"/>
      <c r="T4" s="98"/>
    </row>
    <row r="5" spans="1:20" ht="12" customHeight="1" x14ac:dyDescent="0.2">
      <c r="A5" t="s">
        <v>15</v>
      </c>
      <c r="B5" s="3">
        <f>MAX(omie_marzo[fecha])</f>
        <v>45382</v>
      </c>
      <c r="J5" s="106"/>
      <c r="K5" s="102"/>
      <c r="L5" s="109"/>
      <c r="M5" s="117"/>
      <c r="N5" s="117"/>
      <c r="O5" s="110"/>
      <c r="P5" s="110"/>
      <c r="Q5" s="101"/>
      <c r="R5" s="101"/>
      <c r="S5" s="102"/>
      <c r="T5" s="98"/>
    </row>
    <row r="6" spans="1:20" s="1" customFormat="1" ht="24.75" thickBot="1" x14ac:dyDescent="0.25">
      <c r="A6" t="s">
        <v>18</v>
      </c>
      <c r="B6" t="s">
        <v>233</v>
      </c>
      <c r="C6" t="s">
        <v>234</v>
      </c>
      <c r="D6" t="s">
        <v>20</v>
      </c>
      <c r="E6" t="s">
        <v>214</v>
      </c>
      <c r="F6" s="34" t="s">
        <v>230</v>
      </c>
      <c r="G6" s="34" t="s">
        <v>231</v>
      </c>
      <c r="H6" s="34" t="s">
        <v>232</v>
      </c>
      <c r="J6" s="1" t="s">
        <v>3</v>
      </c>
      <c r="K6" s="11" t="s">
        <v>12</v>
      </c>
      <c r="L6" s="12" t="s">
        <v>0</v>
      </c>
      <c r="M6" s="7" t="s">
        <v>1</v>
      </c>
      <c r="N6" s="8" t="s">
        <v>5</v>
      </c>
      <c r="O6" s="8" t="s">
        <v>7</v>
      </c>
      <c r="P6" s="2" t="s">
        <v>244</v>
      </c>
      <c r="Q6" s="2" t="s">
        <v>245</v>
      </c>
    </row>
    <row r="7" spans="1:20" ht="12.75" thickTop="1" x14ac:dyDescent="0.2">
      <c r="A7" t="s">
        <v>417</v>
      </c>
      <c r="B7" t="s">
        <v>473</v>
      </c>
      <c r="C7">
        <v>65.3</v>
      </c>
      <c r="D7" t="s">
        <v>438</v>
      </c>
      <c r="E7" t="s">
        <v>435</v>
      </c>
      <c r="F7" s="21">
        <f ca="1">apuestas_mar24[[#This Row],[Apuesta Miniporra]]-$B$3</f>
        <v>45.019999999999996</v>
      </c>
      <c r="G7" s="22">
        <f ca="1">ABS(apuestas_mar24[[#This Row],[desvio]]/$B$3)</f>
        <v>2.2199211045364886</v>
      </c>
      <c r="H7">
        <f ca="1">_xlfn.RANK.EQ(apuestas_mar24[[#This Row],[desvio %]],apuestas_mar24[desvio %],1)</f>
        <v>25</v>
      </c>
      <c r="J7" t="s">
        <v>417</v>
      </c>
      <c r="K7" s="10">
        <f ca="1">INDEX(apuestas_mar24[orden],MATCH(resultados_mar[Apuesta MiniPorra],apuestas_mar24[Apuesta Miniporra],0))</f>
        <v>25</v>
      </c>
      <c r="L7" s="6" t="str">
        <f>apuestas_mar24[[#This Row],[Nombre]]</f>
        <v>Pablo Baigorria Kobylinski</v>
      </c>
      <c r="M7" s="14">
        <f>apuestas_mar24[[#This Row],[Apuesta Miniporra]]</f>
        <v>65.3</v>
      </c>
      <c r="N7" s="14">
        <f ca="1">INDEX(apuestas_mar24[desvio],MATCH(resultados_mar[[#This Row],[Apuesta MiniPorra]],apuestas_mar24[Apuesta Miniporra],0))</f>
        <v>45.019999999999996</v>
      </c>
      <c r="O7" s="13">
        <f ca="1">INDEX(apuestas_mar24[desvio %],MATCH(resultados_mar[[#This Row],[Apuesta MiniPorra]],apuestas_mar24[Apuesta Miniporra],0))</f>
        <v>2.2199211045364886</v>
      </c>
      <c r="P7" s="42">
        <v>1</v>
      </c>
      <c r="Q7" s="28">
        <v>2.14</v>
      </c>
    </row>
    <row r="8" spans="1:20" x14ac:dyDescent="0.2">
      <c r="A8" t="s">
        <v>417</v>
      </c>
      <c r="B8" t="s">
        <v>412</v>
      </c>
      <c r="C8">
        <v>61.68</v>
      </c>
      <c r="D8" t="s">
        <v>469</v>
      </c>
      <c r="E8" t="s">
        <v>102</v>
      </c>
      <c r="F8" s="21">
        <f ca="1">apuestas_mar24[[#This Row],[Apuesta Miniporra]]-$B$3</f>
        <v>41.4</v>
      </c>
      <c r="G8" s="22">
        <f ca="1">ABS(apuestas_mar24[[#This Row],[desvio]]/$B$3)</f>
        <v>2.0414201183431953</v>
      </c>
      <c r="H8">
        <f ca="1">_xlfn.RANK.EQ(apuestas_mar24[[#This Row],[desvio %]],apuestas_mar24[desvio %],1)</f>
        <v>24</v>
      </c>
      <c r="J8" t="s">
        <v>417</v>
      </c>
      <c r="K8" s="10">
        <f ca="1">INDEX(apuestas_mar24[orden],MATCH(resultados_mar[Apuesta MiniPorra],apuestas_mar24[Apuesta Miniporra],0))</f>
        <v>24</v>
      </c>
      <c r="L8" s="6" t="str">
        <f>apuestas_mar24[[#This Row],[Nombre]]</f>
        <v>Jose Manuel Otero López</v>
      </c>
      <c r="M8" s="14">
        <f>apuestas_mar24[[#This Row],[Apuesta Miniporra]]</f>
        <v>61.68</v>
      </c>
      <c r="N8" s="14">
        <f ca="1">INDEX(apuestas_mar24[desvio],MATCH(resultados_mar[[#This Row],[Apuesta MiniPorra]],apuestas_mar24[Apuesta Miniporra],0))</f>
        <v>41.4</v>
      </c>
      <c r="O8" s="13">
        <f ca="1">INDEX(apuestas_mar24[desvio %],MATCH(resultados_mar[[#This Row],[Apuesta MiniPorra]],apuestas_mar24[Apuesta Miniporra],0))</f>
        <v>2.0414201183431953</v>
      </c>
      <c r="P8" s="42">
        <v>2</v>
      </c>
      <c r="Q8" s="28">
        <v>4.16</v>
      </c>
    </row>
    <row r="9" spans="1:20" x14ac:dyDescent="0.2">
      <c r="A9" t="s">
        <v>417</v>
      </c>
      <c r="B9" t="s">
        <v>409</v>
      </c>
      <c r="C9">
        <v>55.69</v>
      </c>
      <c r="D9" t="s">
        <v>461</v>
      </c>
      <c r="E9" t="s">
        <v>462</v>
      </c>
      <c r="F9" s="21">
        <f ca="1">apuestas_mar24[[#This Row],[Apuesta Miniporra]]-$B$3</f>
        <v>35.409999999999997</v>
      </c>
      <c r="G9" s="22">
        <f ca="1">ABS(apuestas_mar24[[#This Row],[desvio]]/$B$3)</f>
        <v>1.7460552268244574</v>
      </c>
      <c r="H9">
        <f ca="1">_xlfn.RANK.EQ(apuestas_mar24[[#This Row],[desvio %]],apuestas_mar24[desvio %],1)</f>
        <v>23</v>
      </c>
      <c r="J9" t="s">
        <v>417</v>
      </c>
      <c r="K9" s="10">
        <f ca="1">INDEX(apuestas_mar24[orden],MATCH(resultados_mar[Apuesta MiniPorra],apuestas_mar24[Apuesta Miniporra],0))</f>
        <v>23</v>
      </c>
      <c r="L9" s="6" t="str">
        <f>apuestas_mar24[[#This Row],[Nombre]]</f>
        <v>Gladys Rocha Blanco</v>
      </c>
      <c r="M9" s="14">
        <f>apuestas_mar24[[#This Row],[Apuesta Miniporra]]</f>
        <v>55.69</v>
      </c>
      <c r="N9" s="14">
        <f ca="1">INDEX(apuestas_mar24[desvio],MATCH(resultados_mar[[#This Row],[Apuesta MiniPorra]],apuestas_mar24[Apuesta Miniporra],0))</f>
        <v>35.409999999999997</v>
      </c>
      <c r="O9" s="13">
        <f ca="1">INDEX(apuestas_mar24[desvio %],MATCH(resultados_mar[[#This Row],[Apuesta MiniPorra]],apuestas_mar24[Apuesta Miniporra],0))</f>
        <v>1.7460552268244574</v>
      </c>
      <c r="P9" s="42">
        <v>3</v>
      </c>
      <c r="Q9" s="28">
        <v>3.79</v>
      </c>
    </row>
    <row r="10" spans="1:20" x14ac:dyDescent="0.2">
      <c r="A10" t="s">
        <v>417</v>
      </c>
      <c r="B10" t="s">
        <v>401</v>
      </c>
      <c r="C10">
        <v>55</v>
      </c>
      <c r="D10" t="s">
        <v>118</v>
      </c>
      <c r="E10" t="s">
        <v>331</v>
      </c>
      <c r="F10" s="21">
        <f ca="1">apuestas_mar24[[#This Row],[Apuesta Miniporra]]-$B$3</f>
        <v>34.72</v>
      </c>
      <c r="G10" s="22">
        <f ca="1">ABS(apuestas_mar24[[#This Row],[desvio]]/$B$3)</f>
        <v>1.7120315581854042</v>
      </c>
      <c r="H10">
        <f ca="1">_xlfn.RANK.EQ(apuestas_mar24[[#This Row],[desvio %]],apuestas_mar24[desvio %],1)</f>
        <v>22</v>
      </c>
      <c r="J10" t="s">
        <v>417</v>
      </c>
      <c r="K10" s="10">
        <f ca="1">INDEX(apuestas_mar24[orden],MATCH(resultados_mar[Apuesta MiniPorra],apuestas_mar24[Apuesta Miniporra],0))</f>
        <v>22</v>
      </c>
      <c r="L10" s="6" t="str">
        <f>apuestas_mar24[[#This Row],[Nombre]]</f>
        <v>Juan Pedro Conejo Sanchez</v>
      </c>
      <c r="M10" s="14">
        <f>apuestas_mar24[[#This Row],[Apuesta Miniporra]]</f>
        <v>55</v>
      </c>
      <c r="N10" s="14">
        <f ca="1">INDEX(apuestas_mar24[desvio],MATCH(resultados_mar[[#This Row],[Apuesta MiniPorra]],apuestas_mar24[Apuesta Miniporra],0))</f>
        <v>34.72</v>
      </c>
      <c r="O10" s="13">
        <f ca="1">INDEX(apuestas_mar24[desvio %],MATCH(resultados_mar[[#This Row],[Apuesta MiniPorra]],apuestas_mar24[Apuesta Miniporra],0))</f>
        <v>1.7120315581854042</v>
      </c>
      <c r="P10" s="42">
        <v>4</v>
      </c>
      <c r="Q10" s="28">
        <v>7.95</v>
      </c>
    </row>
    <row r="11" spans="1:20" x14ac:dyDescent="0.2">
      <c r="A11" t="s">
        <v>417</v>
      </c>
      <c r="B11" t="s">
        <v>407</v>
      </c>
      <c r="C11">
        <v>47.72</v>
      </c>
      <c r="D11" t="s">
        <v>118</v>
      </c>
      <c r="E11" t="s">
        <v>388</v>
      </c>
      <c r="F11" s="21">
        <f ca="1">apuestas_mar24[[#This Row],[Apuesta Miniporra]]-$B$3</f>
        <v>27.439999999999998</v>
      </c>
      <c r="G11" s="22">
        <f ca="1">ABS(apuestas_mar24[[#This Row],[desvio]]/$B$3)</f>
        <v>1.3530571992110452</v>
      </c>
      <c r="H11">
        <f ca="1">_xlfn.RANK.EQ(apuestas_mar24[[#This Row],[desvio %]],apuestas_mar24[desvio %],1)</f>
        <v>21</v>
      </c>
      <c r="J11" t="s">
        <v>417</v>
      </c>
      <c r="K11" s="10">
        <f ca="1">INDEX(apuestas_mar24[orden],MATCH(resultados_mar[Apuesta MiniPorra],apuestas_mar24[Apuesta Miniporra],0))</f>
        <v>21</v>
      </c>
      <c r="L11" s="6" t="str">
        <f>apuestas_mar24[[#This Row],[Nombre]]</f>
        <v>Vicente Fayos Gavila</v>
      </c>
      <c r="M11" s="14">
        <f>apuestas_mar24[[#This Row],[Apuesta Miniporra]]</f>
        <v>47.72</v>
      </c>
      <c r="N11" s="14">
        <f ca="1">INDEX(apuestas_mar24[desvio],MATCH(resultados_mar[[#This Row],[Apuesta MiniPorra]],apuestas_mar24[Apuesta Miniporra],0))</f>
        <v>27.439999999999998</v>
      </c>
      <c r="O11" s="13">
        <f ca="1">INDEX(apuestas_mar24[desvio %],MATCH(resultados_mar[[#This Row],[Apuesta MiniPorra]],apuestas_mar24[Apuesta Miniporra],0))</f>
        <v>1.3530571992110452</v>
      </c>
      <c r="P11" s="42">
        <v>5</v>
      </c>
      <c r="Q11" s="28">
        <v>33.450000000000003</v>
      </c>
    </row>
    <row r="12" spans="1:20" x14ac:dyDescent="0.2">
      <c r="A12" t="s">
        <v>417</v>
      </c>
      <c r="B12" t="s">
        <v>364</v>
      </c>
      <c r="C12">
        <v>47.67</v>
      </c>
      <c r="D12" t="s">
        <v>118</v>
      </c>
      <c r="E12" t="s">
        <v>453</v>
      </c>
      <c r="F12" s="21">
        <f ca="1">apuestas_mar24[[#This Row],[Apuesta Miniporra]]-$B$3</f>
        <v>27.39</v>
      </c>
      <c r="G12" s="22">
        <f ca="1">ABS(apuestas_mar24[[#This Row],[desvio]]/$B$3)</f>
        <v>1.3505917159763312</v>
      </c>
      <c r="H12">
        <f ca="1">_xlfn.RANK.EQ(apuestas_mar24[[#This Row],[desvio %]],apuestas_mar24[desvio %],1)</f>
        <v>20</v>
      </c>
      <c r="J12" t="s">
        <v>417</v>
      </c>
      <c r="K12" s="10">
        <f ca="1">INDEX(apuestas_mar24[orden],MATCH(resultados_mar[Apuesta MiniPorra],apuestas_mar24[Apuesta Miniporra],0))</f>
        <v>20</v>
      </c>
      <c r="L12" s="6" t="str">
        <f>apuestas_mar24[[#This Row],[Nombre]]</f>
        <v>Marcos Fortea Escolano</v>
      </c>
      <c r="M12" s="14">
        <f>apuestas_mar24[[#This Row],[Apuesta Miniporra]]</f>
        <v>47.67</v>
      </c>
      <c r="N12" s="14">
        <f ca="1">INDEX(apuestas_mar24[desvio],MATCH(resultados_mar[[#This Row],[Apuesta MiniPorra]],apuestas_mar24[Apuesta Miniporra],0))</f>
        <v>27.39</v>
      </c>
      <c r="O12" s="13">
        <f ca="1">INDEX(apuestas_mar24[desvio %],MATCH(resultados_mar[[#This Row],[Apuesta MiniPorra]],apuestas_mar24[Apuesta Miniporra],0))</f>
        <v>1.3505917159763312</v>
      </c>
      <c r="P12" s="42">
        <v>6</v>
      </c>
      <c r="Q12" s="28">
        <v>45.97</v>
      </c>
    </row>
    <row r="13" spans="1:20" x14ac:dyDescent="0.2">
      <c r="A13" t="s">
        <v>417</v>
      </c>
      <c r="B13" t="s">
        <v>225</v>
      </c>
      <c r="C13">
        <v>46.23</v>
      </c>
      <c r="D13" t="s">
        <v>432</v>
      </c>
      <c r="E13" t="s">
        <v>199</v>
      </c>
      <c r="F13" s="21">
        <f ca="1">apuestas_mar24[[#This Row],[Apuesta Miniporra]]-$B$3</f>
        <v>25.949999999999996</v>
      </c>
      <c r="G13" s="22">
        <f ca="1">ABS(apuestas_mar24[[#This Row],[desvio]]/$B$3)</f>
        <v>1.2795857988165678</v>
      </c>
      <c r="H13">
        <f ca="1">_xlfn.RANK.EQ(apuestas_mar24[[#This Row],[desvio %]],apuestas_mar24[desvio %],1)</f>
        <v>19</v>
      </c>
      <c r="J13" t="s">
        <v>417</v>
      </c>
      <c r="K13" s="10">
        <f ca="1">INDEX(apuestas_mar24[orden],MATCH(resultados_mar[Apuesta MiniPorra],apuestas_mar24[Apuesta Miniporra],0))</f>
        <v>19</v>
      </c>
      <c r="L13" s="6" t="str">
        <f>apuestas_mar24[[#This Row],[Nombre]]</f>
        <v>Elena Muñoz Vioque</v>
      </c>
      <c r="M13" s="14">
        <f>apuestas_mar24[[#This Row],[Apuesta Miniporra]]</f>
        <v>46.23</v>
      </c>
      <c r="N13" s="14">
        <f ca="1">INDEX(apuestas_mar24[desvio],MATCH(resultados_mar[[#This Row],[Apuesta MiniPorra]],apuestas_mar24[Apuesta Miniporra],0))</f>
        <v>25.949999999999996</v>
      </c>
      <c r="O13" s="13">
        <f ca="1">INDEX(apuestas_mar24[desvio %],MATCH(resultados_mar[[#This Row],[Apuesta MiniPorra]],apuestas_mar24[Apuesta Miniporra],0))</f>
        <v>1.2795857988165678</v>
      </c>
      <c r="P13" s="42">
        <v>7</v>
      </c>
      <c r="Q13" s="28">
        <v>8.52</v>
      </c>
    </row>
    <row r="14" spans="1:20" x14ac:dyDescent="0.2">
      <c r="A14" t="s">
        <v>417</v>
      </c>
      <c r="B14" t="s">
        <v>217</v>
      </c>
      <c r="C14">
        <v>45.01</v>
      </c>
      <c r="D14" t="s">
        <v>118</v>
      </c>
      <c r="E14" t="s">
        <v>458</v>
      </c>
      <c r="F14" s="21">
        <f ca="1">apuestas_mar24[[#This Row],[Apuesta Miniporra]]-$B$3</f>
        <v>24.729999999999997</v>
      </c>
      <c r="G14" s="22">
        <f ca="1">ABS(apuestas_mar24[[#This Row],[desvio]]/$B$3)</f>
        <v>1.2194280078895461</v>
      </c>
      <c r="H14">
        <f ca="1">_xlfn.RANK.EQ(apuestas_mar24[[#This Row],[desvio %]],apuestas_mar24[desvio %],1)</f>
        <v>18</v>
      </c>
      <c r="J14" t="s">
        <v>417</v>
      </c>
      <c r="K14" s="10">
        <f ca="1">INDEX(apuestas_mar24[orden],MATCH(resultados_mar[Apuesta MiniPorra],apuestas_mar24[Apuesta Miniporra],0))</f>
        <v>18</v>
      </c>
      <c r="L14" s="6" t="str">
        <f>apuestas_mar24[[#This Row],[Nombre]]</f>
        <v>Fernando Sánchez-Rey Maeso</v>
      </c>
      <c r="M14" s="14">
        <f>apuestas_mar24[[#This Row],[Apuesta Miniporra]]</f>
        <v>45.01</v>
      </c>
      <c r="N14" s="14">
        <f ca="1">INDEX(apuestas_mar24[desvio],MATCH(resultados_mar[[#This Row],[Apuesta MiniPorra]],apuestas_mar24[Apuesta Miniporra],0))</f>
        <v>24.729999999999997</v>
      </c>
      <c r="O14" s="13">
        <f ca="1">INDEX(apuestas_mar24[desvio %],MATCH(resultados_mar[[#This Row],[Apuesta MiniPorra]],apuestas_mar24[Apuesta Miniporra],0))</f>
        <v>1.2194280078895461</v>
      </c>
      <c r="P14" s="42">
        <v>8</v>
      </c>
      <c r="Q14" s="28">
        <v>1.67</v>
      </c>
    </row>
    <row r="15" spans="1:20" x14ac:dyDescent="0.2">
      <c r="A15" t="s">
        <v>417</v>
      </c>
      <c r="B15" t="s">
        <v>9</v>
      </c>
      <c r="C15">
        <v>45</v>
      </c>
      <c r="D15" t="s">
        <v>434</v>
      </c>
      <c r="E15" t="s">
        <v>124</v>
      </c>
      <c r="F15" s="21">
        <f ca="1">apuestas_mar24[[#This Row],[Apuesta Miniporra]]-$B$3</f>
        <v>24.72</v>
      </c>
      <c r="G15" s="22">
        <f ca="1">ABS(apuestas_mar24[[#This Row],[desvio]]/$B$3)</f>
        <v>1.2189349112426033</v>
      </c>
      <c r="H15">
        <f ca="1">_xlfn.RANK.EQ(apuestas_mar24[[#This Row],[desvio %]],apuestas_mar24[desvio %],1)</f>
        <v>17</v>
      </c>
      <c r="J15" t="s">
        <v>417</v>
      </c>
      <c r="K15" s="10">
        <f ca="1">INDEX(apuestas_mar24[orden],MATCH(resultados_mar[Apuesta MiniPorra],apuestas_mar24[Apuesta Miniporra],0))</f>
        <v>17</v>
      </c>
      <c r="L15" s="6" t="str">
        <f>apuestas_mar24[[#This Row],[Nombre]]</f>
        <v>Alfonso Zárate Conde</v>
      </c>
      <c r="M15" s="14">
        <f>apuestas_mar24[[#This Row],[Apuesta Miniporra]]</f>
        <v>45</v>
      </c>
      <c r="N15" s="14">
        <f ca="1">INDEX(apuestas_mar24[desvio],MATCH(resultados_mar[[#This Row],[Apuesta MiniPorra]],apuestas_mar24[Apuesta Miniporra],0))</f>
        <v>24.72</v>
      </c>
      <c r="O15" s="13">
        <f ca="1">INDEX(apuestas_mar24[desvio %],MATCH(resultados_mar[[#This Row],[Apuesta MiniPorra]],apuestas_mar24[Apuesta Miniporra],0))</f>
        <v>1.2189349112426033</v>
      </c>
      <c r="P15" s="42">
        <v>9</v>
      </c>
      <c r="Q15" s="28">
        <v>0.59</v>
      </c>
    </row>
    <row r="16" spans="1:20" x14ac:dyDescent="0.2">
      <c r="A16" t="s">
        <v>417</v>
      </c>
      <c r="B16" t="s">
        <v>219</v>
      </c>
      <c r="C16">
        <v>36.659999999999997</v>
      </c>
      <c r="D16" t="s">
        <v>118</v>
      </c>
      <c r="E16" t="s">
        <v>451</v>
      </c>
      <c r="F16" s="21">
        <f ca="1">apuestas_mar24[[#This Row],[Apuesta Miniporra]]-$B$3</f>
        <v>16.379999999999995</v>
      </c>
      <c r="G16" s="22">
        <f ca="1">ABS(apuestas_mar24[[#This Row],[desvio]]/$B$3)</f>
        <v>0.80769230769230738</v>
      </c>
      <c r="H16">
        <f ca="1">_xlfn.RANK.EQ(apuestas_mar24[[#This Row],[desvio %]],apuestas_mar24[desvio %],1)</f>
        <v>16</v>
      </c>
      <c r="J16" t="s">
        <v>417</v>
      </c>
      <c r="K16" s="10">
        <f ca="1">INDEX(apuestas_mar24[orden],MATCH(resultados_mar[Apuesta MiniPorra],apuestas_mar24[Apuesta Miniporra],0))</f>
        <v>16</v>
      </c>
      <c r="L16" s="6" t="str">
        <f>apuestas_mar24[[#This Row],[Nombre]]</f>
        <v>Jaime Larrañaga Juez</v>
      </c>
      <c r="M16" s="14">
        <f>apuestas_mar24[[#This Row],[Apuesta Miniporra]]</f>
        <v>36.659999999999997</v>
      </c>
      <c r="N16" s="14">
        <f ca="1">INDEX(apuestas_mar24[desvio],MATCH(resultados_mar[[#This Row],[Apuesta MiniPorra]],apuestas_mar24[Apuesta Miniporra],0))</f>
        <v>16.379999999999995</v>
      </c>
      <c r="O16" s="13">
        <f ca="1">INDEX(apuestas_mar24[desvio %],MATCH(resultados_mar[[#This Row],[Apuesta MiniPorra]],apuestas_mar24[Apuesta Miniporra],0))</f>
        <v>0.80769230769230738</v>
      </c>
      <c r="P16" s="42">
        <v>10</v>
      </c>
      <c r="Q16" s="28">
        <v>0.54</v>
      </c>
    </row>
    <row r="17" spans="1:20" x14ac:dyDescent="0.2">
      <c r="A17" t="s">
        <v>417</v>
      </c>
      <c r="B17" t="s">
        <v>362</v>
      </c>
      <c r="C17">
        <v>35.6</v>
      </c>
      <c r="D17" t="s">
        <v>118</v>
      </c>
      <c r="E17" t="s">
        <v>420</v>
      </c>
      <c r="F17" s="21">
        <f ca="1">apuestas_mar24[[#This Row],[Apuesta Miniporra]]-$B$3</f>
        <v>15.32</v>
      </c>
      <c r="G17" s="22">
        <f ca="1">ABS(apuestas_mar24[[#This Row],[desvio]]/$B$3)</f>
        <v>0.75542406311637078</v>
      </c>
      <c r="H17">
        <f ca="1">_xlfn.RANK.EQ(apuestas_mar24[[#This Row],[desvio %]],apuestas_mar24[desvio %],1)</f>
        <v>15</v>
      </c>
      <c r="J17" t="s">
        <v>417</v>
      </c>
      <c r="K17" s="10">
        <f ca="1">INDEX(apuestas_mar24[orden],MATCH(resultados_mar[Apuesta MiniPorra],apuestas_mar24[Apuesta Miniporra],0))</f>
        <v>15</v>
      </c>
      <c r="L17" s="6" t="str">
        <f>apuestas_mar24[[#This Row],[Nombre]]</f>
        <v>Inés Monroy</v>
      </c>
      <c r="M17" s="14">
        <f>apuestas_mar24[[#This Row],[Apuesta Miniporra]]</f>
        <v>35.6</v>
      </c>
      <c r="N17" s="14">
        <f ca="1">INDEX(apuestas_mar24[desvio],MATCH(resultados_mar[[#This Row],[Apuesta MiniPorra]],apuestas_mar24[Apuesta Miniporra],0))</f>
        <v>15.32</v>
      </c>
      <c r="O17" s="13">
        <f ca="1">INDEX(apuestas_mar24[desvio %],MATCH(resultados_mar[[#This Row],[Apuesta MiniPorra]],apuestas_mar24[Apuesta Miniporra],0))</f>
        <v>0.75542406311637078</v>
      </c>
      <c r="P17" s="42">
        <v>11</v>
      </c>
      <c r="Q17" s="28">
        <v>14.63</v>
      </c>
    </row>
    <row r="18" spans="1:20" x14ac:dyDescent="0.2">
      <c r="A18" t="s">
        <v>417</v>
      </c>
      <c r="B18" t="s">
        <v>475</v>
      </c>
      <c r="C18">
        <v>35.36</v>
      </c>
      <c r="D18" t="s">
        <v>118</v>
      </c>
      <c r="E18" t="s">
        <v>449</v>
      </c>
      <c r="F18" s="21">
        <f ca="1">apuestas_mar24[[#This Row],[Apuesta Miniporra]]-$B$3</f>
        <v>15.079999999999998</v>
      </c>
      <c r="G18" s="22">
        <f ca="1">ABS(apuestas_mar24[[#This Row],[desvio]]/$B$3)</f>
        <v>0.7435897435897435</v>
      </c>
      <c r="H18">
        <f ca="1">_xlfn.RANK.EQ(apuestas_mar24[[#This Row],[desvio %]],apuestas_mar24[desvio %],1)</f>
        <v>14</v>
      </c>
      <c r="J18" t="s">
        <v>417</v>
      </c>
      <c r="K18" s="10">
        <f ca="1">INDEX(apuestas_mar24[orden],MATCH(resultados_mar[Apuesta MiniPorra],apuestas_mar24[Apuesta Miniporra],0))</f>
        <v>14</v>
      </c>
      <c r="L18" s="6" t="str">
        <f>apuestas_mar24[[#This Row],[Nombre]]</f>
        <v>Carlos Alcaide Méndez</v>
      </c>
      <c r="M18" s="14">
        <f>apuestas_mar24[[#This Row],[Apuesta Miniporra]]</f>
        <v>35.36</v>
      </c>
      <c r="N18" s="14">
        <f ca="1">INDEX(apuestas_mar24[desvio],MATCH(resultados_mar[[#This Row],[Apuesta MiniPorra]],apuestas_mar24[Apuesta Miniporra],0))</f>
        <v>15.079999999999998</v>
      </c>
      <c r="O18" s="13">
        <f ca="1">INDEX(apuestas_mar24[desvio %],MATCH(resultados_mar[[#This Row],[Apuesta MiniPorra]],apuestas_mar24[Apuesta Miniporra],0))</f>
        <v>0.7435897435897435</v>
      </c>
      <c r="P18" s="42">
        <v>12</v>
      </c>
      <c r="Q18" s="28">
        <v>42.28</v>
      </c>
    </row>
    <row r="19" spans="1:20" x14ac:dyDescent="0.2">
      <c r="A19" t="s">
        <v>417</v>
      </c>
      <c r="B19" t="s">
        <v>414</v>
      </c>
      <c r="C19">
        <v>35.33</v>
      </c>
      <c r="D19" t="s">
        <v>466</v>
      </c>
      <c r="E19" t="s">
        <v>467</v>
      </c>
      <c r="F19" s="21">
        <f ca="1">apuestas_mar24[[#This Row],[Apuesta Miniporra]]-$B$3</f>
        <v>15.049999999999997</v>
      </c>
      <c r="G19" s="22">
        <f ca="1">ABS(apuestas_mar24[[#This Row],[desvio]]/$B$3)</f>
        <v>0.74211045364891504</v>
      </c>
      <c r="H19">
        <f ca="1">_xlfn.RANK.EQ(apuestas_mar24[[#This Row],[desvio %]],apuestas_mar24[desvio %],1)</f>
        <v>13</v>
      </c>
      <c r="J19" t="s">
        <v>417</v>
      </c>
      <c r="K19" s="10">
        <f ca="1">INDEX(apuestas_mar24[orden],MATCH(resultados_mar[Apuesta MiniPorra],apuestas_mar24[Apuesta Miniporra],0))</f>
        <v>13</v>
      </c>
      <c r="L19" s="6" t="str">
        <f>apuestas_mar24[[#This Row],[Nombre]]</f>
        <v>Laura Gómez López</v>
      </c>
      <c r="M19" s="14">
        <f>apuestas_mar24[[#This Row],[Apuesta Miniporra]]</f>
        <v>35.33</v>
      </c>
      <c r="N19" s="14">
        <f ca="1">INDEX(apuestas_mar24[desvio],MATCH(resultados_mar[[#This Row],[Apuesta MiniPorra]],apuestas_mar24[Apuesta Miniporra],0))</f>
        <v>15.049999999999997</v>
      </c>
      <c r="O19" s="13">
        <f ca="1">INDEX(apuestas_mar24[desvio %],MATCH(resultados_mar[[#This Row],[Apuesta MiniPorra]],apuestas_mar24[Apuesta Miniporra],0))</f>
        <v>0.74211045364891504</v>
      </c>
      <c r="P19" s="42">
        <v>13</v>
      </c>
      <c r="Q19" s="28">
        <v>42.36</v>
      </c>
    </row>
    <row r="20" spans="1:20" x14ac:dyDescent="0.2">
      <c r="A20" t="s">
        <v>417</v>
      </c>
      <c r="B20" t="s">
        <v>408</v>
      </c>
      <c r="C20">
        <v>33.31</v>
      </c>
      <c r="D20" t="s">
        <v>455</v>
      </c>
      <c r="E20" t="s">
        <v>456</v>
      </c>
      <c r="F20" s="21">
        <f ca="1">apuestas_mar24[[#This Row],[Apuesta Miniporra]]-$B$3</f>
        <v>13.030000000000001</v>
      </c>
      <c r="G20" s="22">
        <f ca="1">ABS(apuestas_mar24[[#This Row],[desvio]]/$B$3)</f>
        <v>0.64250493096646943</v>
      </c>
      <c r="H20">
        <f ca="1">_xlfn.RANK.EQ(apuestas_mar24[[#This Row],[desvio %]],apuestas_mar24[desvio %],1)</f>
        <v>12</v>
      </c>
      <c r="J20" t="s">
        <v>417</v>
      </c>
      <c r="K20" s="10">
        <f ca="1">INDEX(apuestas_mar24[orden],MATCH(resultados_mar[Apuesta MiniPorra],apuestas_mar24[Apuesta Miniporra],0))</f>
        <v>12</v>
      </c>
      <c r="L20" s="6" t="str">
        <f>apuestas_mar24[[#This Row],[Nombre]]</f>
        <v>Julián Mateo Muñoz</v>
      </c>
      <c r="M20" s="14">
        <f>apuestas_mar24[[#This Row],[Apuesta Miniporra]]</f>
        <v>33.31</v>
      </c>
      <c r="N20" s="14">
        <f ca="1">INDEX(apuestas_mar24[desvio],MATCH(resultados_mar[[#This Row],[Apuesta MiniPorra]],apuestas_mar24[Apuesta Miniporra],0))</f>
        <v>13.030000000000001</v>
      </c>
      <c r="O20" s="13">
        <f ca="1">INDEX(apuestas_mar24[desvio %],MATCH(resultados_mar[[#This Row],[Apuesta MiniPorra]],apuestas_mar24[Apuesta Miniporra],0))</f>
        <v>0.64250493096646943</v>
      </c>
      <c r="P20" s="42">
        <v>14</v>
      </c>
      <c r="Q20" s="28">
        <v>35.99</v>
      </c>
      <c r="R20" s="97"/>
      <c r="S20" s="97"/>
      <c r="T20" s="97"/>
    </row>
    <row r="21" spans="1:20" x14ac:dyDescent="0.2">
      <c r="A21" t="s">
        <v>417</v>
      </c>
      <c r="B21" t="s">
        <v>472</v>
      </c>
      <c r="C21">
        <v>32.57</v>
      </c>
      <c r="D21" t="s">
        <v>426</v>
      </c>
      <c r="E21" t="s">
        <v>424</v>
      </c>
      <c r="F21" s="21">
        <f ca="1">apuestas_mar24[[#This Row],[Apuesta Miniporra]]-$B$3</f>
        <v>12.29</v>
      </c>
      <c r="G21" s="22">
        <f ca="1">ABS(apuestas_mar24[[#This Row],[desvio]]/$B$3)</f>
        <v>0.6060157790927021</v>
      </c>
      <c r="H21">
        <f ca="1">_xlfn.RANK.EQ(apuestas_mar24[[#This Row],[desvio %]],apuestas_mar24[desvio %],1)</f>
        <v>11</v>
      </c>
      <c r="J21" t="s">
        <v>417</v>
      </c>
      <c r="K21" s="10">
        <f ca="1">INDEX(apuestas_mar24[orden],MATCH(resultados_mar[Apuesta MiniPorra],apuestas_mar24[Apuesta Miniporra],0))</f>
        <v>11</v>
      </c>
      <c r="L21" s="6" t="str">
        <f>apuestas_mar24[[#This Row],[Nombre]]</f>
        <v>Eduardo Caro Eduardo Caro</v>
      </c>
      <c r="M21" s="14">
        <f>apuestas_mar24[[#This Row],[Apuesta Miniporra]]</f>
        <v>32.57</v>
      </c>
      <c r="N21" s="14">
        <f ca="1">INDEX(apuestas_mar24[desvio],MATCH(resultados_mar[[#This Row],[Apuesta MiniPorra]],apuestas_mar24[Apuesta Miniporra],0))</f>
        <v>12.29</v>
      </c>
      <c r="O21" s="13">
        <f ca="1">INDEX(apuestas_mar24[desvio %],MATCH(resultados_mar[[#This Row],[Apuesta MiniPorra]],apuestas_mar24[Apuesta Miniporra],0))</f>
        <v>0.6060157790927021</v>
      </c>
      <c r="P21" s="42">
        <v>15</v>
      </c>
      <c r="Q21" s="28">
        <v>37.729999999999997</v>
      </c>
      <c r="R21" s="97"/>
      <c r="S21" s="97"/>
      <c r="T21" s="97"/>
    </row>
    <row r="22" spans="1:20" x14ac:dyDescent="0.2">
      <c r="A22" t="s">
        <v>417</v>
      </c>
      <c r="B22" t="s">
        <v>406</v>
      </c>
      <c r="C22">
        <v>32</v>
      </c>
      <c r="D22" t="s">
        <v>118</v>
      </c>
      <c r="E22" t="s">
        <v>471</v>
      </c>
      <c r="F22" s="21">
        <f ca="1">apuestas_mar24[[#This Row],[Apuesta Miniporra]]-$B$3</f>
        <v>11.719999999999999</v>
      </c>
      <c r="G22" s="22">
        <f ca="1">ABS(apuestas_mar24[[#This Row],[desvio]]/$B$3)</f>
        <v>0.57790927021696248</v>
      </c>
      <c r="H22">
        <f ca="1">_xlfn.RANK.EQ(apuestas_mar24[[#This Row],[desvio %]],apuestas_mar24[desvio %],1)</f>
        <v>10</v>
      </c>
      <c r="J22" t="s">
        <v>417</v>
      </c>
      <c r="K22" s="10">
        <f ca="1">INDEX(apuestas_mar24[orden],MATCH(resultados_mar[Apuesta MiniPorra],apuestas_mar24[Apuesta Miniporra],0))</f>
        <v>10</v>
      </c>
      <c r="L22" s="6" t="str">
        <f>apuestas_mar24[[#This Row],[Nombre]]</f>
        <v>Javier Pérez Salazar</v>
      </c>
      <c r="M22" s="14">
        <f>apuestas_mar24[[#This Row],[Apuesta Miniporra]]</f>
        <v>32</v>
      </c>
      <c r="N22" s="14">
        <f ca="1">INDEX(apuestas_mar24[desvio],MATCH(resultados_mar[[#This Row],[Apuesta MiniPorra]],apuestas_mar24[Apuesta Miniporra],0))</f>
        <v>11.719999999999999</v>
      </c>
      <c r="O22" s="13">
        <f ca="1">INDEX(apuestas_mar24[desvio %],MATCH(resultados_mar[[#This Row],[Apuesta MiniPorra]],apuestas_mar24[Apuesta Miniporra],0))</f>
        <v>0.57790927021696248</v>
      </c>
      <c r="P22" s="42">
        <v>16</v>
      </c>
      <c r="Q22" s="28">
        <v>31.61</v>
      </c>
      <c r="R22" s="97"/>
      <c r="S22" s="97"/>
      <c r="T22" s="97"/>
    </row>
    <row r="23" spans="1:20" x14ac:dyDescent="0.2">
      <c r="A23" t="s">
        <v>417</v>
      </c>
      <c r="B23" t="s">
        <v>222</v>
      </c>
      <c r="C23">
        <v>30.5</v>
      </c>
      <c r="D23" t="s">
        <v>423</v>
      </c>
      <c r="E23" t="s">
        <v>178</v>
      </c>
      <c r="F23" s="21">
        <f ca="1">apuestas_mar24[[#This Row],[Apuesta Miniporra]]-$B$3</f>
        <v>10.219999999999999</v>
      </c>
      <c r="G23" s="22">
        <f ca="1">ABS(apuestas_mar24[[#This Row],[desvio]]/$B$3)</f>
        <v>0.50394477317554232</v>
      </c>
      <c r="H23">
        <f ca="1">_xlfn.RANK.EQ(apuestas_mar24[[#This Row],[desvio %]],apuestas_mar24[desvio %],1)</f>
        <v>9</v>
      </c>
      <c r="J23" t="s">
        <v>417</v>
      </c>
      <c r="K23" s="10">
        <f ca="1">INDEX(apuestas_mar24[orden],MATCH(resultados_mar[Apuesta MiniPorra],apuestas_mar24[Apuesta Miniporra],0))</f>
        <v>9</v>
      </c>
      <c r="L23" s="6" t="str">
        <f>apuestas_mar24[[#This Row],[Nombre]]</f>
        <v>Jose F Vidal</v>
      </c>
      <c r="M23" s="14">
        <f>apuestas_mar24[[#This Row],[Apuesta Miniporra]]</f>
        <v>30.5</v>
      </c>
      <c r="N23" s="14">
        <f ca="1">INDEX(apuestas_mar24[desvio],MATCH(resultados_mar[[#This Row],[Apuesta MiniPorra]],apuestas_mar24[Apuesta Miniporra],0))</f>
        <v>10.219999999999999</v>
      </c>
      <c r="O23" s="13">
        <f ca="1">INDEX(apuestas_mar24[desvio %],MATCH(resultados_mar[[#This Row],[Apuesta MiniPorra]],apuestas_mar24[Apuesta Miniporra],0))</f>
        <v>0.50394477317554232</v>
      </c>
      <c r="P23" s="42">
        <v>17</v>
      </c>
      <c r="Q23" s="28">
        <v>28.05</v>
      </c>
    </row>
    <row r="24" spans="1:20" x14ac:dyDescent="0.2">
      <c r="A24" t="s">
        <v>417</v>
      </c>
      <c r="B24" t="s">
        <v>363</v>
      </c>
      <c r="C24">
        <v>29.8</v>
      </c>
      <c r="D24" t="s">
        <v>430</v>
      </c>
      <c r="E24" t="s">
        <v>76</v>
      </c>
      <c r="F24" s="21">
        <f ca="1">apuestas_mar24[[#This Row],[Apuesta Miniporra]]-$B$3</f>
        <v>9.52</v>
      </c>
      <c r="G24" s="22">
        <f ca="1">ABS(apuestas_mar24[[#This Row],[desvio]]/$B$3)</f>
        <v>0.46942800788954631</v>
      </c>
      <c r="H24">
        <f ca="1">_xlfn.RANK.EQ(apuestas_mar24[[#This Row],[desvio %]],apuestas_mar24[desvio %],1)</f>
        <v>8</v>
      </c>
      <c r="J24" t="s">
        <v>417</v>
      </c>
      <c r="K24" s="10">
        <f ca="1">INDEX(apuestas_mar24[orden],MATCH(resultados_mar[Apuesta MiniPorra],apuestas_mar24[Apuesta Miniporra],0))</f>
        <v>8</v>
      </c>
      <c r="L24" s="6" t="str">
        <f>apuestas_mar24[[#This Row],[Nombre]]</f>
        <v>Roque Alonso Alonso</v>
      </c>
      <c r="M24" s="14">
        <f>apuestas_mar24[[#This Row],[Apuesta Miniporra]]</f>
        <v>29.8</v>
      </c>
      <c r="N24" s="14">
        <f ca="1">INDEX(apuestas_mar24[desvio],MATCH(resultados_mar[[#This Row],[Apuesta MiniPorra]],apuestas_mar24[Apuesta Miniporra],0))</f>
        <v>9.52</v>
      </c>
      <c r="O24" s="13">
        <f ca="1">INDEX(apuestas_mar24[desvio %],MATCH(resultados_mar[[#This Row],[Apuesta MiniPorra]],apuestas_mar24[Apuesta Miniporra],0))</f>
        <v>0.46942800788954631</v>
      </c>
      <c r="P24" s="42">
        <v>18</v>
      </c>
      <c r="Q24" s="28">
        <v>61.34</v>
      </c>
    </row>
    <row r="25" spans="1:20" x14ac:dyDescent="0.2">
      <c r="A25" t="s">
        <v>417</v>
      </c>
      <c r="B25" t="s">
        <v>292</v>
      </c>
      <c r="C25">
        <v>29.4</v>
      </c>
      <c r="D25" t="s">
        <v>118</v>
      </c>
      <c r="E25" t="s">
        <v>428</v>
      </c>
      <c r="F25" s="21">
        <f ca="1">apuestas_mar24[[#This Row],[Apuesta Miniporra]]-$B$3</f>
        <v>9.1199999999999974</v>
      </c>
      <c r="G25" s="22">
        <f ca="1">ABS(apuestas_mar24[[#This Row],[desvio]]/$B$3)</f>
        <v>0.44970414201183417</v>
      </c>
      <c r="H25">
        <f ca="1">_xlfn.RANK.EQ(apuestas_mar24[[#This Row],[desvio %]],apuestas_mar24[desvio %],1)</f>
        <v>7</v>
      </c>
      <c r="J25" t="s">
        <v>417</v>
      </c>
      <c r="K25" s="10">
        <f ca="1">INDEX(apuestas_mar24[orden],MATCH(resultados_mar[Apuesta MiniPorra],apuestas_mar24[Apuesta Miniporra],0))</f>
        <v>7</v>
      </c>
      <c r="L25" s="6" t="str">
        <f>apuestas_mar24[[#This Row],[Nombre]]</f>
        <v>Oscar Mulas Crespo</v>
      </c>
      <c r="M25" s="14">
        <f>apuestas_mar24[[#This Row],[Apuesta Miniporra]]</f>
        <v>29.4</v>
      </c>
      <c r="N25" s="14">
        <f ca="1">INDEX(apuestas_mar24[desvio],MATCH(resultados_mar[[#This Row],[Apuesta MiniPorra]],apuestas_mar24[Apuesta Miniporra],0))</f>
        <v>9.1199999999999974</v>
      </c>
      <c r="O25" s="13">
        <f ca="1">INDEX(apuestas_mar24[desvio %],MATCH(resultados_mar[[#This Row],[Apuesta MiniPorra]],apuestas_mar24[Apuesta Miniporra],0))</f>
        <v>0.44970414201183417</v>
      </c>
      <c r="P25" s="42">
        <v>19</v>
      </c>
      <c r="Q25" s="28">
        <v>65</v>
      </c>
    </row>
    <row r="26" spans="1:20" x14ac:dyDescent="0.2">
      <c r="A26" t="s">
        <v>417</v>
      </c>
      <c r="B26" t="s">
        <v>543</v>
      </c>
      <c r="C26">
        <v>27.24</v>
      </c>
      <c r="D26" t="s">
        <v>460</v>
      </c>
      <c r="E26" t="s">
        <v>351</v>
      </c>
      <c r="F26" s="21">
        <f ca="1">apuestas_mar24[[#This Row],[Apuesta Miniporra]]-$B$3</f>
        <v>6.9599999999999973</v>
      </c>
      <c r="G26" s="22">
        <f ca="1">ABS(apuestas_mar24[[#This Row],[desvio]]/$B$3)</f>
        <v>0.34319526627218921</v>
      </c>
      <c r="H26">
        <f ca="1">_xlfn.RANK.EQ(apuestas_mar24[[#This Row],[desvio %]],apuestas_mar24[desvio %],1)</f>
        <v>6</v>
      </c>
      <c r="J26" t="s">
        <v>417</v>
      </c>
      <c r="K26" s="10">
        <f ca="1">INDEX(apuestas_mar24[orden],MATCH(resultados_mar[Apuesta MiniPorra],apuestas_mar24[Apuesta Miniporra],0))</f>
        <v>6</v>
      </c>
      <c r="L26" s="6" t="str">
        <f>apuestas_mar24[[#This Row],[Nombre]]</f>
        <v>Roberto Parro Cortés</v>
      </c>
      <c r="M26" s="14">
        <f>apuestas_mar24[[#This Row],[Apuesta Miniporra]]</f>
        <v>27.24</v>
      </c>
      <c r="N26" s="14">
        <f ca="1">INDEX(apuestas_mar24[desvio],MATCH(resultados_mar[[#This Row],[Apuesta MiniPorra]],apuestas_mar24[Apuesta Miniporra],0))</f>
        <v>6.9599999999999973</v>
      </c>
      <c r="O26" s="13">
        <f ca="1">INDEX(apuestas_mar24[desvio %],MATCH(resultados_mar[[#This Row],[Apuesta MiniPorra]],apuestas_mar24[Apuesta Miniporra],0))</f>
        <v>0.34319526627218921</v>
      </c>
      <c r="P26" s="42">
        <v>20</v>
      </c>
      <c r="Q26" s="28">
        <v>56.94</v>
      </c>
    </row>
    <row r="27" spans="1:20" x14ac:dyDescent="0.2">
      <c r="A27" t="s">
        <v>417</v>
      </c>
      <c r="B27" t="s">
        <v>218</v>
      </c>
      <c r="C27">
        <v>26.5</v>
      </c>
      <c r="D27" t="s">
        <v>118</v>
      </c>
      <c r="E27" t="s">
        <v>464</v>
      </c>
      <c r="F27" s="21">
        <f ca="1">apuestas_mar24[[#This Row],[Apuesta Miniporra]]-$B$3</f>
        <v>6.2199999999999989</v>
      </c>
      <c r="G27" s="22">
        <f ca="1">ABS(apuestas_mar24[[#This Row],[desvio]]/$B$3)</f>
        <v>0.30670611439842199</v>
      </c>
      <c r="H27">
        <f ca="1">_xlfn.RANK.EQ(apuestas_mar24[[#This Row],[desvio %]],apuestas_mar24[desvio %],1)</f>
        <v>5</v>
      </c>
      <c r="J27" t="s">
        <v>417</v>
      </c>
      <c r="K27" s="10">
        <f ca="1">INDEX(apuestas_mar24[orden],MATCH(resultados_mar[Apuesta MiniPorra],apuestas_mar24[Apuesta Miniporra],0))</f>
        <v>5</v>
      </c>
      <c r="L27" s="6" t="str">
        <f>apuestas_mar24[[#This Row],[Nombre]]</f>
        <v>Jorge Antonio González Sánchez</v>
      </c>
      <c r="M27" s="14">
        <f>apuestas_mar24[[#This Row],[Apuesta Miniporra]]</f>
        <v>26.5</v>
      </c>
      <c r="N27" s="14">
        <f ca="1">INDEX(apuestas_mar24[desvio],MATCH(resultados_mar[[#This Row],[Apuesta MiniPorra]],apuestas_mar24[Apuesta Miniporra],0))</f>
        <v>6.2199999999999989</v>
      </c>
      <c r="O27" s="13">
        <f ca="1">INDEX(apuestas_mar24[desvio %],MATCH(resultados_mar[[#This Row],[Apuesta MiniPorra]],apuestas_mar24[Apuesta Miniporra],0))</f>
        <v>0.30670611439842199</v>
      </c>
      <c r="P27" s="42">
        <v>21</v>
      </c>
      <c r="Q27" s="28">
        <v>35.9</v>
      </c>
    </row>
    <row r="28" spans="1:20" x14ac:dyDescent="0.2">
      <c r="A28" t="s">
        <v>417</v>
      </c>
      <c r="B28" t="s">
        <v>226</v>
      </c>
      <c r="C28">
        <v>24.8</v>
      </c>
      <c r="D28" t="s">
        <v>118</v>
      </c>
      <c r="E28" t="s">
        <v>203</v>
      </c>
      <c r="F28" s="21">
        <f ca="1">apuestas_mar24[[#This Row],[Apuesta Miniporra]]-$B$3</f>
        <v>4.5199999999999996</v>
      </c>
      <c r="G28" s="22">
        <f ca="1">ABS(apuestas_mar24[[#This Row],[desvio]]/$B$3)</f>
        <v>0.22287968441814593</v>
      </c>
      <c r="H28">
        <f ca="1">_xlfn.RANK.EQ(apuestas_mar24[[#This Row],[desvio %]],apuestas_mar24[desvio %],1)</f>
        <v>4</v>
      </c>
      <c r="J28" t="s">
        <v>417</v>
      </c>
      <c r="K28" s="10">
        <f ca="1">INDEX(apuestas_mar24[orden],MATCH(resultados_mar[Apuesta MiniPorra],apuestas_mar24[Apuesta Miniporra],0))</f>
        <v>4</v>
      </c>
      <c r="L28" s="6" t="str">
        <f>apuestas_mar24[[#This Row],[Nombre]]</f>
        <v>Alejandro A. Díaz González</v>
      </c>
      <c r="M28" s="14">
        <f>apuestas_mar24[[#This Row],[Apuesta Miniporra]]</f>
        <v>24.8</v>
      </c>
      <c r="N28" s="14">
        <f ca="1">INDEX(apuestas_mar24[desvio],MATCH(resultados_mar[[#This Row],[Apuesta MiniPorra]],apuestas_mar24[Apuesta Miniporra],0))</f>
        <v>4.5199999999999996</v>
      </c>
      <c r="O28" s="13">
        <f ca="1">INDEX(apuestas_mar24[desvio %],MATCH(resultados_mar[[#This Row],[Apuesta MiniPorra]],apuestas_mar24[Apuesta Miniporra],0))</f>
        <v>0.22287968441814593</v>
      </c>
      <c r="P28" s="42">
        <v>22</v>
      </c>
      <c r="Q28" s="28">
        <v>22.4</v>
      </c>
    </row>
    <row r="29" spans="1:20" x14ac:dyDescent="0.2">
      <c r="A29" t="s">
        <v>417</v>
      </c>
      <c r="B29" t="s">
        <v>336</v>
      </c>
      <c r="C29">
        <v>23.7</v>
      </c>
      <c r="D29" t="s">
        <v>440</v>
      </c>
      <c r="E29" t="s">
        <v>2</v>
      </c>
      <c r="F29" s="21">
        <f ca="1">apuestas_mar24[[#This Row],[Apuesta Miniporra]]-$B$3</f>
        <v>3.4199999999999982</v>
      </c>
      <c r="G29" s="22">
        <f ca="1">ABS(apuestas_mar24[[#This Row],[desvio]]/$B$3)</f>
        <v>0.16863905325443776</v>
      </c>
      <c r="H29">
        <f ca="1">_xlfn.RANK.EQ(apuestas_mar24[[#This Row],[desvio %]],apuestas_mar24[desvio %],1)</f>
        <v>3</v>
      </c>
      <c r="J29" t="s">
        <v>417</v>
      </c>
      <c r="K29" s="10">
        <f ca="1">INDEX(apuestas_mar24[orden],MATCH(resultados_mar[Apuesta MiniPorra],apuestas_mar24[Apuesta Miniporra],0))</f>
        <v>3</v>
      </c>
      <c r="L29" s="6" t="str">
        <f>apuestas_mar24[[#This Row],[Nombre]]</f>
        <v>Javier Revuelta Alonso</v>
      </c>
      <c r="M29" s="14">
        <f>apuestas_mar24[[#This Row],[Apuesta Miniporra]]</f>
        <v>23.7</v>
      </c>
      <c r="N29" s="14">
        <f ca="1">INDEX(apuestas_mar24[desvio],MATCH(resultados_mar[[#This Row],[Apuesta MiniPorra]],apuestas_mar24[Apuesta Miniporra],0))</f>
        <v>3.4199999999999982</v>
      </c>
      <c r="O29" s="13">
        <f ca="1">INDEX(apuestas_mar24[desvio %],MATCH(resultados_mar[[#This Row],[Apuesta MiniPorra]],apuestas_mar24[Apuesta Miniporra],0))</f>
        <v>0.16863905325443776</v>
      </c>
      <c r="P29" s="42">
        <v>23</v>
      </c>
      <c r="Q29" s="28">
        <v>2.0099999999999998</v>
      </c>
    </row>
    <row r="30" spans="1:20" x14ac:dyDescent="0.2">
      <c r="A30" t="s">
        <v>417</v>
      </c>
      <c r="B30" t="s">
        <v>221</v>
      </c>
      <c r="C30">
        <v>23.49</v>
      </c>
      <c r="D30" t="s">
        <v>118</v>
      </c>
      <c r="E30" t="s">
        <v>124</v>
      </c>
      <c r="F30" s="21">
        <f ca="1">apuestas_mar24[[#This Row],[Apuesta Miniporra]]-$B$3</f>
        <v>3.2099999999999973</v>
      </c>
      <c r="G30" s="22">
        <f ca="1">ABS(apuestas_mar24[[#This Row],[desvio]]/$B$3)</f>
        <v>0.15828402366863892</v>
      </c>
      <c r="H30">
        <f ca="1">_xlfn.RANK.EQ(apuestas_mar24[[#This Row],[desvio %]],apuestas_mar24[desvio %],1)</f>
        <v>2</v>
      </c>
      <c r="J30" t="s">
        <v>417</v>
      </c>
      <c r="K30" s="10">
        <f ca="1">INDEX(apuestas_mar24[orden],MATCH(resultados_mar[Apuesta MiniPorra],apuestas_mar24[Apuesta Miniporra],0))</f>
        <v>2</v>
      </c>
      <c r="L30" s="6" t="str">
        <f>apuestas_mar24[[#This Row],[Nombre]]</f>
        <v>Alfonso Lezcano</v>
      </c>
      <c r="M30" s="14">
        <f>apuestas_mar24[[#This Row],[Apuesta Miniporra]]</f>
        <v>23.49</v>
      </c>
      <c r="N30" s="14">
        <f ca="1">INDEX(apuestas_mar24[desvio],MATCH(resultados_mar[[#This Row],[Apuesta MiniPorra]],apuestas_mar24[Apuesta Miniporra],0))</f>
        <v>3.2099999999999973</v>
      </c>
      <c r="O30" s="13">
        <f ca="1">INDEX(apuestas_mar24[desvio %],MATCH(resultados_mar[[#This Row],[Apuesta MiniPorra]],apuestas_mar24[Apuesta Miniporra],0))</f>
        <v>0.15828402366863892</v>
      </c>
      <c r="P30" s="42">
        <v>24</v>
      </c>
      <c r="Q30" s="28">
        <v>6.69</v>
      </c>
    </row>
    <row r="31" spans="1:20" x14ac:dyDescent="0.2">
      <c r="A31" t="s">
        <v>417</v>
      </c>
      <c r="B31" t="s">
        <v>474</v>
      </c>
      <c r="C31">
        <v>20.399999999999999</v>
      </c>
      <c r="D31" t="s">
        <v>443</v>
      </c>
      <c r="E31" t="s">
        <v>444</v>
      </c>
      <c r="F31" s="21">
        <f ca="1">apuestas_mar24[[#This Row],[Apuesta Miniporra]]-$B$3</f>
        <v>0.11999999999999744</v>
      </c>
      <c r="G31" s="22">
        <f ca="1">ABS(apuestas_mar24[[#This Row],[desvio]]/$B$3)</f>
        <v>5.9171597633134827E-3</v>
      </c>
      <c r="H31">
        <f ca="1">_xlfn.RANK.EQ(apuestas_mar24[[#This Row],[desvio %]],apuestas_mar24[desvio %],1)</f>
        <v>1</v>
      </c>
      <c r="J31" t="s">
        <v>417</v>
      </c>
      <c r="K31" s="10">
        <f ca="1">INDEX(apuestas_mar24[orden],MATCH(resultados_mar[Apuesta MiniPorra],apuestas_mar24[Apuesta Miniporra],0))</f>
        <v>1</v>
      </c>
      <c r="L31" s="6" t="str">
        <f>apuestas_mar24[[#This Row],[Nombre]]</f>
        <v>Javier Colón Cortegoso</v>
      </c>
      <c r="M31" s="14">
        <f>apuestas_mar24[[#This Row],[Apuesta Miniporra]]</f>
        <v>20.399999999999999</v>
      </c>
      <c r="N31" s="14">
        <f ca="1">INDEX(apuestas_mar24[desvio],MATCH(resultados_mar[[#This Row],[Apuesta MiniPorra]],apuestas_mar24[Apuesta Miniporra],0))</f>
        <v>0.11999999999999744</v>
      </c>
      <c r="O31" s="13">
        <f ca="1">INDEX(apuestas_mar24[desvio %],MATCH(resultados_mar[[#This Row],[Apuesta MiniPorra]],apuestas_mar24[Apuesta Miniporra],0))</f>
        <v>5.9171597633134827E-3</v>
      </c>
      <c r="P31" s="42">
        <v>25</v>
      </c>
      <c r="Q31" s="28">
        <v>23.75</v>
      </c>
    </row>
    <row r="32" spans="1:20" x14ac:dyDescent="0.2">
      <c r="J32" s="4"/>
      <c r="K32" s="4"/>
      <c r="L32" s="4"/>
      <c r="M32" s="4"/>
      <c r="N32" s="4"/>
      <c r="P32" s="42">
        <v>26</v>
      </c>
      <c r="Q32" s="28">
        <v>2.36</v>
      </c>
    </row>
    <row r="33" spans="10:17" x14ac:dyDescent="0.2">
      <c r="J33" s="4"/>
      <c r="K33" s="4"/>
      <c r="L33" s="4"/>
      <c r="M33" s="4"/>
      <c r="N33" s="4"/>
      <c r="P33" s="42">
        <v>27</v>
      </c>
      <c r="Q33" s="28">
        <v>0.76</v>
      </c>
    </row>
    <row r="34" spans="10:17" x14ac:dyDescent="0.2">
      <c r="J34" s="4"/>
      <c r="K34" s="4"/>
      <c r="L34" s="4"/>
      <c r="M34" s="4"/>
      <c r="N34" s="4"/>
      <c r="P34" s="42">
        <v>28</v>
      </c>
      <c r="Q34" s="28">
        <v>0.66</v>
      </c>
    </row>
    <row r="35" spans="10:17" x14ac:dyDescent="0.2">
      <c r="J35" s="4"/>
      <c r="K35" s="4"/>
      <c r="L35" s="4"/>
      <c r="M35" s="4"/>
      <c r="N35" s="4"/>
      <c r="P35" s="42">
        <v>29</v>
      </c>
      <c r="Q35" s="28">
        <v>4.05</v>
      </c>
    </row>
    <row r="36" spans="10:17" x14ac:dyDescent="0.2">
      <c r="J36" s="4"/>
      <c r="K36" s="4"/>
      <c r="L36" s="4"/>
      <c r="M36" s="4"/>
      <c r="N36" s="4"/>
      <c r="P36" s="42">
        <v>30</v>
      </c>
      <c r="Q36" s="28">
        <v>4.5199999999999996</v>
      </c>
    </row>
    <row r="37" spans="10:17" x14ac:dyDescent="0.2">
      <c r="J37" s="4"/>
      <c r="K37" s="4"/>
      <c r="L37" s="4"/>
      <c r="M37" s="4"/>
      <c r="N37" s="4"/>
      <c r="P37" s="42">
        <v>31</v>
      </c>
      <c r="Q37" s="28">
        <v>0.83</v>
      </c>
    </row>
    <row r="38" spans="10:17" x14ac:dyDescent="0.2">
      <c r="J38" s="4"/>
      <c r="K38" s="4"/>
      <c r="L38" s="4"/>
      <c r="M38" s="4"/>
      <c r="N38" s="4"/>
      <c r="P38" s="36"/>
    </row>
    <row r="39" spans="10:17" x14ac:dyDescent="0.2">
      <c r="J39" s="4"/>
      <c r="K39" s="4"/>
      <c r="L39" s="4"/>
      <c r="M39" s="4"/>
      <c r="N39" s="4"/>
      <c r="P39" s="36"/>
    </row>
    <row r="40" spans="10:17" x14ac:dyDescent="0.2">
      <c r="J40" s="4"/>
      <c r="K40" s="4"/>
      <c r="L40" s="4"/>
      <c r="M40" s="4"/>
      <c r="N40" s="4"/>
      <c r="P40" s="36"/>
    </row>
    <row r="41" spans="10:17" x14ac:dyDescent="0.2">
      <c r="J41" s="4"/>
      <c r="K41" s="4"/>
      <c r="L41" s="4"/>
      <c r="M41" s="4"/>
      <c r="N41" s="4"/>
      <c r="P41" s="36"/>
    </row>
    <row r="42" spans="10:17" x14ac:dyDescent="0.2">
      <c r="P42" s="36"/>
    </row>
    <row r="43" spans="10:17" x14ac:dyDescent="0.2">
      <c r="P43" s="36"/>
    </row>
    <row r="44" spans="10:17" x14ac:dyDescent="0.2">
      <c r="L44" s="21"/>
      <c r="O44" s="35"/>
      <c r="P44" s="36"/>
    </row>
    <row r="45" spans="10:17" x14ac:dyDescent="0.2">
      <c r="O45" s="35"/>
      <c r="P45" s="36"/>
    </row>
    <row r="46" spans="10:17" x14ac:dyDescent="0.2">
      <c r="L46" s="21"/>
      <c r="O46" s="35"/>
      <c r="P46" s="36"/>
    </row>
    <row r="47" spans="10:17" x14ac:dyDescent="0.2">
      <c r="L47" s="21"/>
      <c r="O47" s="35"/>
      <c r="P47" s="36"/>
    </row>
    <row r="48" spans="10:17" x14ac:dyDescent="0.2">
      <c r="O48" s="35"/>
      <c r="P48" s="36"/>
    </row>
    <row r="49" spans="15:16" x14ac:dyDescent="0.2">
      <c r="O49" s="35"/>
      <c r="P49" s="36"/>
    </row>
    <row r="50" spans="15:16" x14ac:dyDescent="0.2">
      <c r="O50" s="35"/>
      <c r="P50" s="36"/>
    </row>
    <row r="51" spans="15:16" x14ac:dyDescent="0.2">
      <c r="O51" s="35"/>
      <c r="P51" s="36"/>
    </row>
    <row r="52" spans="15:16" x14ac:dyDescent="0.2">
      <c r="O52" s="35"/>
      <c r="P52" s="36"/>
    </row>
    <row r="53" spans="15:16" x14ac:dyDescent="0.2">
      <c r="O53" s="35"/>
      <c r="P53" s="36"/>
    </row>
    <row r="54" spans="15:16" x14ac:dyDescent="0.2">
      <c r="O54" s="35"/>
      <c r="P54" s="36"/>
    </row>
    <row r="55" spans="15:16" x14ac:dyDescent="0.2">
      <c r="O55" s="35"/>
      <c r="P55" s="36"/>
    </row>
    <row r="56" spans="15:16" x14ac:dyDescent="0.2">
      <c r="O56" s="35"/>
      <c r="P56" s="36"/>
    </row>
    <row r="57" spans="15:16" x14ac:dyDescent="0.2">
      <c r="O57" s="35"/>
      <c r="P57" s="36"/>
    </row>
    <row r="58" spans="15:16" x14ac:dyDescent="0.2">
      <c r="O58" s="35"/>
      <c r="P58" s="36"/>
    </row>
    <row r="59" spans="15:16" x14ac:dyDescent="0.2">
      <c r="O59" s="35"/>
      <c r="P59" s="36"/>
    </row>
    <row r="60" spans="15:16" x14ac:dyDescent="0.2">
      <c r="O60" s="35"/>
      <c r="P60" s="36"/>
    </row>
    <row r="61" spans="15:16" x14ac:dyDescent="0.2">
      <c r="O61" s="35"/>
      <c r="P61" s="36"/>
    </row>
    <row r="62" spans="15:16" x14ac:dyDescent="0.2">
      <c r="O62" s="35"/>
      <c r="P62" s="36"/>
    </row>
    <row r="63" spans="15:16" x14ac:dyDescent="0.2">
      <c r="O63" s="35"/>
      <c r="P63" s="36"/>
    </row>
    <row r="64" spans="15:16" x14ac:dyDescent="0.2">
      <c r="O64" s="35"/>
      <c r="P64" s="36"/>
    </row>
    <row r="65" spans="4:16" x14ac:dyDescent="0.2">
      <c r="O65" s="35"/>
      <c r="P65" s="36"/>
    </row>
    <row r="66" spans="4:16" x14ac:dyDescent="0.2">
      <c r="O66" s="35"/>
      <c r="P66" s="36"/>
    </row>
    <row r="67" spans="4:16" x14ac:dyDescent="0.2">
      <c r="O67" s="35"/>
      <c r="P67" s="36"/>
    </row>
    <row r="68" spans="4:16" x14ac:dyDescent="0.2">
      <c r="O68" s="35"/>
      <c r="P68" s="36"/>
    </row>
    <row r="69" spans="4:16" x14ac:dyDescent="0.2">
      <c r="D69" s="49"/>
      <c r="E69" s="50"/>
    </row>
  </sheetData>
  <mergeCells count="11">
    <mergeCell ref="G3:H3"/>
    <mergeCell ref="T1:T5"/>
    <mergeCell ref="L3:L5"/>
    <mergeCell ref="M3:N5"/>
    <mergeCell ref="O3:P5"/>
    <mergeCell ref="R20:T22"/>
    <mergeCell ref="J1:K5"/>
    <mergeCell ref="L1:L2"/>
    <mergeCell ref="M1:N2"/>
    <mergeCell ref="O1:P2"/>
    <mergeCell ref="Q1:S5"/>
  </mergeCells>
  <phoneticPr fontId="9" type="noConversion"/>
  <conditionalFormatting sqref="K7:O31">
    <cfRule type="expression" dxfId="33" priority="2">
      <formula>$K7=3</formula>
    </cfRule>
    <cfRule type="expression" dxfId="32" priority="3">
      <formula>$K7=2</formula>
    </cfRule>
    <cfRule type="expression" dxfId="31" priority="4">
      <formula>$K7=1</formula>
    </cfRule>
  </conditionalFormatting>
  <conditionalFormatting sqref="O7:O31">
    <cfRule type="dataBar" priority="1">
      <dataBar>
        <cfvo type="min"/>
        <cfvo type="max"/>
        <color rgb="FFFF555A"/>
      </dataBar>
      <extLst>
        <ext xmlns:x14="http://schemas.microsoft.com/office/spreadsheetml/2009/9/main" uri="{B025F937-C7B1-47D3-B67F-A62EFF666E3E}">
          <x14:id>{3507AB59-E0C5-414A-A167-032DFF5EDBD3}</x14:id>
        </ext>
      </extLst>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actualizar_marzo">
                <anchor moveWithCells="1" sizeWithCells="1">
                  <from>
                    <xdr:col>3</xdr:col>
                    <xdr:colOff>628650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14338" r:id="rId4" name="Spinner 2">
              <controlPr defaultSize="0" autoPict="0">
                <anchor moveWithCells="1" sizeWithCells="1">
                  <from>
                    <xdr:col>4</xdr:col>
                    <xdr:colOff>885825</xdr:colOff>
                    <xdr:row>0</xdr:row>
                    <xdr:rowOff>9525</xdr:rowOff>
                  </from>
                  <to>
                    <xdr:col>6</xdr:col>
                    <xdr:colOff>0</xdr:colOff>
                    <xdr:row>3</xdr:row>
                    <xdr:rowOff>0</xdr:rowOff>
                  </to>
                </anchor>
              </controlPr>
            </control>
          </mc:Choice>
        </mc:AlternateContent>
        <mc:AlternateContent xmlns:mc="http://schemas.openxmlformats.org/markup-compatibility/2006">
          <mc:Choice Requires="x14">
            <control shapeId="14339" r:id="rId5" name="Button 3">
              <controlPr defaultSize="0" print="0" autoFill="0" autoPict="0" macro="[0]!actualizar_omie">
                <anchor moveWithCells="1" sizeWithCells="1">
                  <from>
                    <xdr:col>2</xdr:col>
                    <xdr:colOff>628650</xdr:colOff>
                    <xdr:row>3</xdr:row>
                    <xdr:rowOff>0</xdr:rowOff>
                  </from>
                  <to>
                    <xdr:col>4</xdr:col>
                    <xdr:colOff>0</xdr:colOff>
                    <xdr:row>5</xdr:row>
                    <xdr:rowOff>0</xdr:rowOff>
                  </to>
                </anchor>
              </controlPr>
            </control>
          </mc:Choice>
        </mc:AlternateContent>
      </controls>
    </mc:Choice>
  </mc:AlternateContent>
  <tableParts count="3">
    <tablePart r:id="rId6"/>
    <tablePart r:id="rId7"/>
    <tablePart r:id="rId8"/>
  </tableParts>
  <extLst>
    <ext xmlns:x14="http://schemas.microsoft.com/office/spreadsheetml/2009/9/main" uri="{78C0D931-6437-407d-A8EE-F0AAD7539E65}">
      <x14:conditionalFormattings>
        <x14:conditionalFormatting xmlns:xm="http://schemas.microsoft.com/office/excel/2006/main">
          <x14:cfRule type="dataBar" id="{3507AB59-E0C5-414A-A167-032DFF5EDBD3}">
            <x14:dataBar minLength="0" maxLength="100" border="1" negativeBarBorderColorSameAsPositive="0">
              <x14:cfvo type="autoMin"/>
              <x14:cfvo type="autoMax"/>
              <x14:borderColor rgb="FFFF555A"/>
              <x14:negativeFillColor rgb="FFFF0000"/>
              <x14:negativeBorderColor rgb="FFFF0000"/>
              <x14:axisColor rgb="FF000000"/>
            </x14:dataBar>
          </x14:cfRule>
          <xm:sqref>O7:O31</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B051CC-DABD-4817-8225-B90815BCB1AE}">
  <sheetPr codeName="Hoja13">
    <tabColor rgb="FFC00000"/>
  </sheetPr>
  <dimension ref="A1:U73"/>
  <sheetViews>
    <sheetView showGridLines="0" zoomScale="130" zoomScaleNormal="130" workbookViewId="0">
      <selection activeCell="B3" sqref="B3"/>
    </sheetView>
  </sheetViews>
  <sheetFormatPr baseColWidth="10" defaultRowHeight="12" x14ac:dyDescent="0.2"/>
  <cols>
    <col min="1" max="1" width="16" bestFit="1" customWidth="1"/>
    <col min="2" max="2" width="26.85546875" bestFit="1" customWidth="1"/>
    <col min="3" max="3" width="18" bestFit="1" customWidth="1"/>
    <col min="4" max="4" width="81.140625" bestFit="1" customWidth="1"/>
    <col min="5" max="5" width="21.5703125" bestFit="1" customWidth="1"/>
    <col min="6" max="6" width="10.5703125" bestFit="1" customWidth="1"/>
    <col min="7" max="7" width="12.28515625" bestFit="1" customWidth="1"/>
    <col min="8" max="8" width="10" bestFit="1" customWidth="1"/>
    <col min="9" max="9" width="2.42578125" customWidth="1"/>
    <col min="10" max="10" width="10.28515625" customWidth="1"/>
    <col min="11" max="11" width="8.42578125" bestFit="1" customWidth="1"/>
    <col min="12" max="12" width="29" bestFit="1" customWidth="1"/>
    <col min="16" max="16" width="8.7109375" style="4" customWidth="1"/>
    <col min="17" max="17" width="8.5703125" style="4" customWidth="1"/>
    <col min="20" max="20" width="12" customWidth="1"/>
    <col min="21" max="21" width="33.5703125" customWidth="1"/>
  </cols>
  <sheetData>
    <row r="1" spans="1:21" ht="12" customHeight="1" x14ac:dyDescent="0.2">
      <c r="A1" t="s">
        <v>228</v>
      </c>
      <c r="B1" s="23">
        <f>COUNTA(apuestas_abr24[Mes de apuesta])</f>
        <v>29</v>
      </c>
      <c r="G1" s="15" t="s">
        <v>236</v>
      </c>
      <c r="H1" s="23">
        <v>30</v>
      </c>
      <c r="I1" s="29"/>
      <c r="K1" s="118" t="s">
        <v>546</v>
      </c>
      <c r="L1" s="119"/>
      <c r="M1" s="107" t="s">
        <v>3</v>
      </c>
      <c r="N1" s="113" t="s">
        <v>545</v>
      </c>
      <c r="O1" s="114"/>
      <c r="P1" s="111" t="s">
        <v>4</v>
      </c>
      <c r="Q1" s="112"/>
      <c r="R1" s="124" t="s">
        <v>547</v>
      </c>
      <c r="S1" s="125"/>
      <c r="T1" s="126"/>
      <c r="U1" s="98"/>
    </row>
    <row r="2" spans="1:21" ht="12" customHeight="1" x14ac:dyDescent="0.2">
      <c r="A2" t="s">
        <v>3</v>
      </c>
      <c r="B2" s="23" t="str">
        <f>A7</f>
        <v>Abr 2024</v>
      </c>
      <c r="C2" t="s">
        <v>243</v>
      </c>
      <c r="G2" s="15" t="s">
        <v>253</v>
      </c>
      <c r="H2" s="24">
        <f ca="1">TODAY()</f>
        <v>45453</v>
      </c>
      <c r="I2" s="29"/>
      <c r="K2" s="120"/>
      <c r="L2" s="121"/>
      <c r="M2" s="108"/>
      <c r="N2" s="115"/>
      <c r="O2" s="116"/>
      <c r="P2" s="111"/>
      <c r="Q2" s="112"/>
      <c r="R2" s="127"/>
      <c r="S2" s="128"/>
      <c r="T2" s="129"/>
      <c r="U2" s="98"/>
    </row>
    <row r="3" spans="1:21" ht="12" customHeight="1" x14ac:dyDescent="0.2">
      <c r="A3" t="s">
        <v>229</v>
      </c>
      <c r="B3" s="44">
        <f ca="1">IF(C3="",ROUND(AVERAGE(omie!N5:OFFSET(omie!N5,MATCH(B4,omie_abril[fecha],0)-1,0)),2),C3)</f>
        <v>13.67</v>
      </c>
      <c r="C3" s="26"/>
      <c r="G3" s="97" t="s">
        <v>248</v>
      </c>
      <c r="H3" s="97"/>
      <c r="I3" s="29"/>
      <c r="K3" s="120"/>
      <c r="L3" s="121"/>
      <c r="M3" s="109" t="s">
        <v>13</v>
      </c>
      <c r="N3" s="117">
        <f>H1</f>
        <v>30</v>
      </c>
      <c r="O3" s="117"/>
      <c r="P3" s="110">
        <f ca="1">B3</f>
        <v>13.67</v>
      </c>
      <c r="Q3" s="110"/>
      <c r="R3" s="127"/>
      <c r="S3" s="128"/>
      <c r="T3" s="129"/>
      <c r="U3" s="98"/>
    </row>
    <row r="4" spans="1:21" ht="12" customHeight="1" x14ac:dyDescent="0.2">
      <c r="A4" t="s">
        <v>6</v>
      </c>
      <c r="B4" s="3">
        <f>DATE(2024,4,H1)</f>
        <v>45412</v>
      </c>
      <c r="G4" t="s">
        <v>247</v>
      </c>
      <c r="H4" s="30">
        <f>[1]omie_dinamic_dia!$G$2</f>
        <v>10</v>
      </c>
      <c r="I4" s="29"/>
      <c r="K4" s="120"/>
      <c r="L4" s="121"/>
      <c r="M4" s="109"/>
      <c r="N4" s="117"/>
      <c r="O4" s="117"/>
      <c r="P4" s="110"/>
      <c r="Q4" s="110"/>
      <c r="R4" s="127"/>
      <c r="S4" s="128"/>
      <c r="T4" s="129"/>
      <c r="U4" s="98"/>
    </row>
    <row r="5" spans="1:21" ht="12" customHeight="1" x14ac:dyDescent="0.2">
      <c r="A5" t="s">
        <v>15</v>
      </c>
      <c r="B5" s="3">
        <f>MAX(omie_abril[fecha])</f>
        <v>45412</v>
      </c>
      <c r="I5" s="29"/>
      <c r="K5" s="122"/>
      <c r="L5" s="123"/>
      <c r="M5" s="109"/>
      <c r="N5" s="117"/>
      <c r="O5" s="117"/>
      <c r="P5" s="110"/>
      <c r="Q5" s="110"/>
      <c r="R5" s="130"/>
      <c r="S5" s="131"/>
      <c r="T5" s="132"/>
      <c r="U5" s="98"/>
    </row>
    <row r="6" spans="1:21" s="1" customFormat="1" ht="24.75" thickBot="1" x14ac:dyDescent="0.25">
      <c r="A6" t="s">
        <v>18</v>
      </c>
      <c r="B6" t="s">
        <v>233</v>
      </c>
      <c r="C6" t="s">
        <v>234</v>
      </c>
      <c r="D6" t="s">
        <v>20</v>
      </c>
      <c r="E6" t="s">
        <v>214</v>
      </c>
      <c r="F6" s="34" t="s">
        <v>230</v>
      </c>
      <c r="G6" s="34" t="s">
        <v>231</v>
      </c>
      <c r="H6" s="34" t="s">
        <v>232</v>
      </c>
      <c r="J6" s="52" t="s">
        <v>3</v>
      </c>
      <c r="K6" s="11" t="s">
        <v>12</v>
      </c>
      <c r="L6" s="12" t="s">
        <v>0</v>
      </c>
      <c r="M6" s="7" t="s">
        <v>1</v>
      </c>
      <c r="N6" s="8" t="s">
        <v>5</v>
      </c>
      <c r="O6" s="8" t="s">
        <v>7</v>
      </c>
      <c r="P6" s="2" t="s">
        <v>244</v>
      </c>
      <c r="Q6" s="2" t="s">
        <v>245</v>
      </c>
    </row>
    <row r="7" spans="1:21" ht="12.75" thickTop="1" x14ac:dyDescent="0.2">
      <c r="A7" t="s">
        <v>146</v>
      </c>
      <c r="B7" t="s">
        <v>412</v>
      </c>
      <c r="C7">
        <v>88.9</v>
      </c>
      <c r="D7" t="s">
        <v>519</v>
      </c>
      <c r="E7" t="s">
        <v>520</v>
      </c>
      <c r="F7" s="28">
        <f ca="1">apuestas_abr24[[#This Row],[Apuesta Miniporra]]-$B$3</f>
        <v>75.23</v>
      </c>
      <c r="G7" s="54">
        <f ca="1">ABS(apuestas_abr24[[#This Row],[desvio]])/$B$3</f>
        <v>5.5032918800292618</v>
      </c>
      <c r="H7" s="4">
        <f ca="1">_xlfn.RANK.EQ(apuestas_abr24[[#This Row],[desvio %]],apuestas_abr24[desvio %],1)</f>
        <v>29</v>
      </c>
      <c r="J7" t="s">
        <v>146</v>
      </c>
      <c r="K7" s="10">
        <f ca="1">INDEX(apuestas_abr24[orden],MATCH(resultados_abr[Apuesta MiniPorra],apuestas_abr24[Apuesta Miniporra],0))</f>
        <v>29</v>
      </c>
      <c r="L7" s="6" t="str">
        <f>apuestas_abr24[[#This Row],[Nombre]]</f>
        <v>Jose Manuel Otero López</v>
      </c>
      <c r="M7" s="14">
        <f>apuestas_abr24[[#This Row],[Apuesta Miniporra]]</f>
        <v>88.9</v>
      </c>
      <c r="N7" s="14">
        <f ca="1">INDEX(apuestas_abr24[desvio],MATCH(resultados_abr[[#This Row],[Apuesta MiniPorra]],apuestas_abr24[Apuesta Miniporra],0))</f>
        <v>75.23</v>
      </c>
      <c r="O7" s="13">
        <f ca="1">INDEX(apuestas_abr24[desvio %],MATCH(resultados_abr[[#This Row],[Apuesta MiniPorra]],apuestas_abr24[Apuesta Miniporra],0))</f>
        <v>5.5032918800292618</v>
      </c>
      <c r="P7" s="42">
        <v>1</v>
      </c>
      <c r="Q7" s="28">
        <v>2.76</v>
      </c>
    </row>
    <row r="8" spans="1:21" x14ac:dyDescent="0.2">
      <c r="A8" t="s">
        <v>146</v>
      </c>
      <c r="B8" t="s">
        <v>401</v>
      </c>
      <c r="C8">
        <v>47.45</v>
      </c>
      <c r="D8" t="s">
        <v>118</v>
      </c>
      <c r="E8" t="s">
        <v>331</v>
      </c>
      <c r="F8" s="28">
        <f ca="1">apuestas_abr24[[#This Row],[Apuesta Miniporra]]-$B$3</f>
        <v>33.78</v>
      </c>
      <c r="G8" s="54">
        <f ca="1">ABS(apuestas_abr24[[#This Row],[desvio]])/$B$3</f>
        <v>2.4711046086320412</v>
      </c>
      <c r="H8" s="4">
        <f ca="1">_xlfn.RANK.EQ(apuestas_abr24[[#This Row],[desvio %]],apuestas_abr24[desvio %],1)</f>
        <v>28</v>
      </c>
      <c r="J8" t="s">
        <v>146</v>
      </c>
      <c r="K8" s="10">
        <f ca="1">INDEX(apuestas_abr24[orden],MATCH(resultados_abr[Apuesta MiniPorra],apuestas_abr24[Apuesta Miniporra],0))</f>
        <v>28</v>
      </c>
      <c r="L8" s="6" t="str">
        <f>apuestas_abr24[[#This Row],[Nombre]]</f>
        <v>Juan Pedro Conejo Sanchez</v>
      </c>
      <c r="M8" s="14">
        <f>apuestas_abr24[[#This Row],[Apuesta Miniporra]]</f>
        <v>47.45</v>
      </c>
      <c r="N8" s="14">
        <f ca="1">INDEX(apuestas_abr24[desvio],MATCH(resultados_abr[[#This Row],[Apuesta MiniPorra]],apuestas_abr24[Apuesta Miniporra],0))</f>
        <v>33.78</v>
      </c>
      <c r="O8" s="13">
        <f ca="1">INDEX(apuestas_abr24[desvio %],MATCH(resultados_abr[[#This Row],[Apuesta MiniPorra]],apuestas_abr24[Apuesta Miniporra],0))</f>
        <v>2.4711046086320412</v>
      </c>
      <c r="P8" s="42">
        <v>2</v>
      </c>
      <c r="Q8" s="28">
        <v>9.85</v>
      </c>
    </row>
    <row r="9" spans="1:21" x14ac:dyDescent="0.2">
      <c r="A9" t="s">
        <v>146</v>
      </c>
      <c r="B9" t="s">
        <v>215</v>
      </c>
      <c r="C9">
        <v>44.5</v>
      </c>
      <c r="D9" t="s">
        <v>118</v>
      </c>
      <c r="E9" t="s">
        <v>103</v>
      </c>
      <c r="F9" s="28">
        <f ca="1">apuestas_abr24[[#This Row],[Apuesta Miniporra]]-$B$3</f>
        <v>30.83</v>
      </c>
      <c r="G9" s="54">
        <f ca="1">ABS(apuestas_abr24[[#This Row],[desvio]])/$B$3</f>
        <v>2.2553035844915872</v>
      </c>
      <c r="H9" s="4">
        <f ca="1">_xlfn.RANK.EQ(apuestas_abr24[[#This Row],[desvio %]],apuestas_abr24[desvio %],1)</f>
        <v>27</v>
      </c>
      <c r="J9" t="s">
        <v>146</v>
      </c>
      <c r="K9" s="10">
        <f ca="1">INDEX(apuestas_abr24[orden],MATCH(resultados_abr[Apuesta MiniPorra],apuestas_abr24[Apuesta Miniporra],0))</f>
        <v>27</v>
      </c>
      <c r="L9" s="6" t="str">
        <f>apuestas_abr24[[#This Row],[Nombre]]</f>
        <v>Carles Estruch Puig</v>
      </c>
      <c r="M9" s="14">
        <f>apuestas_abr24[[#This Row],[Apuesta Miniporra]]</f>
        <v>44.5</v>
      </c>
      <c r="N9" s="14">
        <f ca="1">INDEX(apuestas_abr24[desvio],MATCH(resultados_abr[[#This Row],[Apuesta MiniPorra]],apuestas_abr24[Apuesta Miniporra],0))</f>
        <v>30.83</v>
      </c>
      <c r="O9" s="13">
        <f ca="1">INDEX(apuestas_abr24[desvio %],MATCH(resultados_abr[[#This Row],[Apuesta MiniPorra]],apuestas_abr24[Apuesta Miniporra],0))</f>
        <v>2.2553035844915872</v>
      </c>
      <c r="P9" s="4">
        <v>3</v>
      </c>
      <c r="Q9" s="4">
        <v>9.0299999999999994</v>
      </c>
      <c r="R9" s="28"/>
    </row>
    <row r="10" spans="1:21" x14ac:dyDescent="0.2">
      <c r="A10" t="s">
        <v>146</v>
      </c>
      <c r="B10" t="s">
        <v>403</v>
      </c>
      <c r="C10">
        <v>40.25</v>
      </c>
      <c r="D10" t="s">
        <v>501</v>
      </c>
      <c r="E10" t="s">
        <v>171</v>
      </c>
      <c r="F10" s="28">
        <f ca="1">apuestas_abr24[[#This Row],[Apuesta Miniporra]]-$B$3</f>
        <v>26.58</v>
      </c>
      <c r="G10" s="54">
        <f ca="1">ABS(apuestas_abr24[[#This Row],[desvio]])/$B$3</f>
        <v>1.944403803950256</v>
      </c>
      <c r="H10" s="4">
        <f ca="1">_xlfn.RANK.EQ(apuestas_abr24[[#This Row],[desvio %]],apuestas_abr24[desvio %],1)</f>
        <v>26</v>
      </c>
      <c r="J10" t="s">
        <v>146</v>
      </c>
      <c r="K10" s="10">
        <f ca="1">INDEX(apuestas_abr24[orden],MATCH(resultados_abr[Apuesta MiniPorra],apuestas_abr24[Apuesta Miniporra],0))</f>
        <v>26</v>
      </c>
      <c r="L10" s="6" t="str">
        <f>apuestas_abr24[[#This Row],[Nombre]]</f>
        <v>Luis Angel Garzon Velasco</v>
      </c>
      <c r="M10" s="14">
        <f>apuestas_abr24[[#This Row],[Apuesta Miniporra]]</f>
        <v>40.25</v>
      </c>
      <c r="N10" s="14">
        <f ca="1">INDEX(apuestas_abr24[desvio],MATCH(resultados_abr[[#This Row],[Apuesta MiniPorra]],apuestas_abr24[Apuesta Miniporra],0))</f>
        <v>26.58</v>
      </c>
      <c r="O10" s="13">
        <f ca="1">INDEX(apuestas_abr24[desvio %],MATCH(resultados_abr[[#This Row],[Apuesta MiniPorra]],apuestas_abr24[Apuesta Miniporra],0))</f>
        <v>1.944403803950256</v>
      </c>
      <c r="P10" s="4">
        <v>4</v>
      </c>
      <c r="Q10" s="4">
        <v>4</v>
      </c>
      <c r="R10" s="28"/>
    </row>
    <row r="11" spans="1:21" x14ac:dyDescent="0.2">
      <c r="A11" t="s">
        <v>146</v>
      </c>
      <c r="B11" t="s">
        <v>9</v>
      </c>
      <c r="C11">
        <v>40</v>
      </c>
      <c r="D11" t="s">
        <v>494</v>
      </c>
      <c r="E11" t="s">
        <v>128</v>
      </c>
      <c r="F11" s="28">
        <f ca="1">apuestas_abr24[[#This Row],[Apuesta Miniporra]]-$B$3</f>
        <v>26.33</v>
      </c>
      <c r="G11" s="54">
        <f ca="1">ABS(apuestas_abr24[[#This Row],[desvio]])/$B$3</f>
        <v>1.9261155815654718</v>
      </c>
      <c r="H11" s="4">
        <f ca="1">_xlfn.RANK.EQ(apuestas_abr24[[#This Row],[desvio %]],apuestas_abr24[desvio %],1)</f>
        <v>25</v>
      </c>
      <c r="J11" t="s">
        <v>146</v>
      </c>
      <c r="K11" s="10">
        <f ca="1">INDEX(apuestas_abr24[orden],MATCH(resultados_abr[Apuesta MiniPorra],apuestas_abr24[Apuesta Miniporra],0))</f>
        <v>25</v>
      </c>
      <c r="L11" s="6" t="str">
        <f>apuestas_abr24[[#This Row],[Nombre]]</f>
        <v>Alfonso Zárate Conde</v>
      </c>
      <c r="M11" s="14">
        <f>apuestas_abr24[[#This Row],[Apuesta Miniporra]]</f>
        <v>40</v>
      </c>
      <c r="N11" s="14">
        <f ca="1">INDEX(apuestas_abr24[desvio],MATCH(resultados_abr[[#This Row],[Apuesta MiniPorra]],apuestas_abr24[Apuesta Miniporra],0))</f>
        <v>26.33</v>
      </c>
      <c r="O11" s="13">
        <f ca="1">INDEX(apuestas_abr24[desvio %],MATCH(resultados_abr[[#This Row],[Apuesta MiniPorra]],apuestas_abr24[Apuesta Miniporra],0))</f>
        <v>1.9261155815654718</v>
      </c>
      <c r="P11" s="4">
        <v>5</v>
      </c>
      <c r="Q11" s="4">
        <v>0.44</v>
      </c>
      <c r="R11" s="28"/>
    </row>
    <row r="12" spans="1:21" x14ac:dyDescent="0.2">
      <c r="A12" t="s">
        <v>146</v>
      </c>
      <c r="B12" t="s">
        <v>409</v>
      </c>
      <c r="C12">
        <v>37.549999999999997</v>
      </c>
      <c r="D12" t="s">
        <v>118</v>
      </c>
      <c r="E12" t="s">
        <v>462</v>
      </c>
      <c r="F12" s="28">
        <f ca="1">apuestas_abr24[[#This Row],[Apuesta Miniporra]]-$B$3</f>
        <v>23.879999999999995</v>
      </c>
      <c r="G12" s="54">
        <f ca="1">ABS(apuestas_abr24[[#This Row],[desvio]])/$B$3</f>
        <v>1.7468910021945863</v>
      </c>
      <c r="H12" s="4">
        <f ca="1">_xlfn.RANK.EQ(apuestas_abr24[[#This Row],[desvio %]],apuestas_abr24[desvio %],1)</f>
        <v>24</v>
      </c>
      <c r="J12" t="s">
        <v>146</v>
      </c>
      <c r="K12" s="10">
        <f ca="1">INDEX(apuestas_abr24[orden],MATCH(resultados_abr[Apuesta MiniPorra],apuestas_abr24[Apuesta Miniporra],0))</f>
        <v>24</v>
      </c>
      <c r="L12" s="6" t="str">
        <f>apuestas_abr24[[#This Row],[Nombre]]</f>
        <v>Gladys Rocha Blanco</v>
      </c>
      <c r="M12" s="14">
        <f>apuestas_abr24[[#This Row],[Apuesta Miniporra]]</f>
        <v>37.549999999999997</v>
      </c>
      <c r="N12" s="14">
        <f ca="1">INDEX(apuestas_abr24[desvio],MATCH(resultados_abr[[#This Row],[Apuesta MiniPorra]],apuestas_abr24[Apuesta Miniporra],0))</f>
        <v>23.879999999999995</v>
      </c>
      <c r="O12" s="13">
        <f ca="1">INDEX(apuestas_abr24[desvio %],MATCH(resultados_abr[[#This Row],[Apuesta MiniPorra]],apuestas_abr24[Apuesta Miniporra],0))</f>
        <v>1.7468910021945863</v>
      </c>
      <c r="P12" s="4">
        <v>6</v>
      </c>
      <c r="Q12" s="4">
        <v>0.74</v>
      </c>
      <c r="R12" s="28"/>
    </row>
    <row r="13" spans="1:21" x14ac:dyDescent="0.2">
      <c r="A13" t="s">
        <v>146</v>
      </c>
      <c r="B13" t="s">
        <v>337</v>
      </c>
      <c r="C13">
        <v>33.340000000000003</v>
      </c>
      <c r="D13" t="s">
        <v>492</v>
      </c>
      <c r="E13" t="s">
        <v>309</v>
      </c>
      <c r="F13" s="28">
        <f ca="1">apuestas_abr24[[#This Row],[Apuesta Miniporra]]-$B$3</f>
        <v>19.670000000000002</v>
      </c>
      <c r="G13" s="54">
        <f ca="1">ABS(apuestas_abr24[[#This Row],[desvio]])/$B$3</f>
        <v>1.438917337234821</v>
      </c>
      <c r="H13" s="4">
        <f ca="1">_xlfn.RANK.EQ(apuestas_abr24[[#This Row],[desvio %]],apuestas_abr24[desvio %],1)</f>
        <v>23</v>
      </c>
      <c r="J13" t="s">
        <v>146</v>
      </c>
      <c r="K13" s="10">
        <f ca="1">INDEX(apuestas_abr24[orden],MATCH(resultados_abr[Apuesta MiniPorra],apuestas_abr24[Apuesta Miniporra],0))</f>
        <v>23</v>
      </c>
      <c r="L13" s="6" t="str">
        <f>apuestas_abr24[[#This Row],[Nombre]]</f>
        <v>Francisco Valverde Sánchez</v>
      </c>
      <c r="M13" s="14">
        <f>apuestas_abr24[[#This Row],[Apuesta Miniporra]]</f>
        <v>33.340000000000003</v>
      </c>
      <c r="N13" s="14">
        <f ca="1">INDEX(apuestas_abr24[desvio],MATCH(resultados_abr[[#This Row],[Apuesta MiniPorra]],apuestas_abr24[Apuesta Miniporra],0))</f>
        <v>19.670000000000002</v>
      </c>
      <c r="O13" s="13">
        <f ca="1">INDEX(apuestas_abr24[desvio %],MATCH(resultados_abr[[#This Row],[Apuesta MiniPorra]],apuestas_abr24[Apuesta Miniporra],0))</f>
        <v>1.438917337234821</v>
      </c>
      <c r="P13" s="4">
        <v>7</v>
      </c>
      <c r="Q13" s="4">
        <v>4.05</v>
      </c>
      <c r="R13" s="28"/>
    </row>
    <row r="14" spans="1:21" x14ac:dyDescent="0.2">
      <c r="A14" t="s">
        <v>146</v>
      </c>
      <c r="B14" t="s">
        <v>217</v>
      </c>
      <c r="C14">
        <v>33.33</v>
      </c>
      <c r="D14" t="s">
        <v>118</v>
      </c>
      <c r="E14" t="s">
        <v>123</v>
      </c>
      <c r="F14" s="28">
        <f ca="1">apuestas_abr24[[#This Row],[Apuesta Miniporra]]-$B$3</f>
        <v>19.659999999999997</v>
      </c>
      <c r="G14" s="54">
        <f ca="1">ABS(apuestas_abr24[[#This Row],[desvio]])/$B$3</f>
        <v>1.4381858083394292</v>
      </c>
      <c r="H14" s="4">
        <f ca="1">_xlfn.RANK.EQ(apuestas_abr24[[#This Row],[desvio %]],apuestas_abr24[desvio %],1)</f>
        <v>22</v>
      </c>
      <c r="J14" t="s">
        <v>146</v>
      </c>
      <c r="K14" s="10">
        <f ca="1">INDEX(apuestas_abr24[orden],MATCH(resultados_abr[Apuesta MiniPorra],apuestas_abr24[Apuesta Miniporra],0))</f>
        <v>22</v>
      </c>
      <c r="L14" s="6" t="str">
        <f>apuestas_abr24[[#This Row],[Nombre]]</f>
        <v>Fernando Sánchez-Rey Maeso</v>
      </c>
      <c r="M14" s="14">
        <f>apuestas_abr24[[#This Row],[Apuesta Miniporra]]</f>
        <v>33.33</v>
      </c>
      <c r="N14" s="14">
        <f ca="1">INDEX(apuestas_abr24[desvio],MATCH(resultados_abr[[#This Row],[Apuesta MiniPorra]],apuestas_abr24[Apuesta Miniporra],0))</f>
        <v>19.659999999999997</v>
      </c>
      <c r="O14" s="13">
        <f ca="1">INDEX(apuestas_abr24[desvio %],MATCH(resultados_abr[[#This Row],[Apuesta MiniPorra]],apuestas_abr24[Apuesta Miniporra],0))</f>
        <v>1.4381858083394292</v>
      </c>
      <c r="P14" s="4">
        <v>8</v>
      </c>
      <c r="Q14" s="4">
        <v>0.52</v>
      </c>
      <c r="R14" s="28"/>
    </row>
    <row r="15" spans="1:21" x14ac:dyDescent="0.2">
      <c r="A15" t="s">
        <v>146</v>
      </c>
      <c r="B15" t="s">
        <v>406</v>
      </c>
      <c r="C15">
        <v>28.5</v>
      </c>
      <c r="D15" t="s">
        <v>513</v>
      </c>
      <c r="E15" t="s">
        <v>271</v>
      </c>
      <c r="F15" s="28">
        <f ca="1">apuestas_abr24[[#This Row],[Apuesta Miniporra]]-$B$3</f>
        <v>14.83</v>
      </c>
      <c r="G15" s="54">
        <f ca="1">ABS(apuestas_abr24[[#This Row],[desvio]])/$B$3</f>
        <v>1.0848573518653988</v>
      </c>
      <c r="H15" s="4">
        <f ca="1">_xlfn.RANK.EQ(apuestas_abr24[[#This Row],[desvio %]],apuestas_abr24[desvio %],1)</f>
        <v>21</v>
      </c>
      <c r="J15" t="s">
        <v>146</v>
      </c>
      <c r="K15" s="10">
        <f ca="1">INDEX(apuestas_abr24[orden],MATCH(resultados_abr[Apuesta MiniPorra],apuestas_abr24[Apuesta Miniporra],0))</f>
        <v>21</v>
      </c>
      <c r="L15" s="6" t="str">
        <f>apuestas_abr24[[#This Row],[Nombre]]</f>
        <v>Javier Pérez Salazar</v>
      </c>
      <c r="M15" s="14">
        <f>apuestas_abr24[[#This Row],[Apuesta Miniporra]]</f>
        <v>28.5</v>
      </c>
      <c r="N15" s="14">
        <f ca="1">INDEX(apuestas_abr24[desvio],MATCH(resultados_abr[[#This Row],[Apuesta MiniPorra]],apuestas_abr24[Apuesta Miniporra],0))</f>
        <v>14.83</v>
      </c>
      <c r="O15" s="13">
        <f ca="1">INDEX(apuestas_abr24[desvio %],MATCH(resultados_abr[[#This Row],[Apuesta MiniPorra]],apuestas_abr24[Apuesta Miniporra],0))</f>
        <v>1.0848573518653988</v>
      </c>
      <c r="P15" s="4">
        <v>9</v>
      </c>
      <c r="Q15" s="4">
        <v>1.29</v>
      </c>
      <c r="R15" s="28"/>
    </row>
    <row r="16" spans="1:21" x14ac:dyDescent="0.2">
      <c r="A16" t="s">
        <v>146</v>
      </c>
      <c r="B16" t="s">
        <v>328</v>
      </c>
      <c r="C16">
        <v>27.6</v>
      </c>
      <c r="D16" t="s">
        <v>118</v>
      </c>
      <c r="E16" t="s">
        <v>328</v>
      </c>
      <c r="F16" s="28">
        <f ca="1">apuestas_abr24[[#This Row],[Apuesta Miniporra]]-$B$3</f>
        <v>13.930000000000001</v>
      </c>
      <c r="G16" s="54">
        <f ca="1">ABS(apuestas_abr24[[#This Row],[desvio]])/$B$3</f>
        <v>1.0190197512801757</v>
      </c>
      <c r="H16" s="4">
        <f ca="1">_xlfn.RANK.EQ(apuestas_abr24[[#This Row],[desvio %]],apuestas_abr24[desvio %],1)</f>
        <v>20</v>
      </c>
      <c r="J16" t="s">
        <v>146</v>
      </c>
      <c r="K16" s="10">
        <f ca="1">INDEX(apuestas_abr24[orden],MATCH(resultados_abr[Apuesta MiniPorra],apuestas_abr24[Apuesta Miniporra],0))</f>
        <v>20</v>
      </c>
      <c r="L16" s="6" t="str">
        <f>apuestas_abr24[[#This Row],[Nombre]]</f>
        <v>Aitor Folch</v>
      </c>
      <c r="M16" s="14">
        <f>apuestas_abr24[[#This Row],[Apuesta Miniporra]]</f>
        <v>27.6</v>
      </c>
      <c r="N16" s="14">
        <f ca="1">INDEX(apuestas_abr24[desvio],MATCH(resultados_abr[[#This Row],[Apuesta MiniPorra]],apuestas_abr24[Apuesta Miniporra],0))</f>
        <v>13.930000000000001</v>
      </c>
      <c r="O16" s="13">
        <f ca="1">INDEX(apuestas_abr24[desvio %],MATCH(resultados_abr[[#This Row],[Apuesta MiniPorra]],apuestas_abr24[Apuesta Miniporra],0))</f>
        <v>1.0190197512801757</v>
      </c>
      <c r="P16" s="4">
        <v>10</v>
      </c>
      <c r="Q16" s="4">
        <v>4.3099999999999996</v>
      </c>
      <c r="R16" s="28"/>
    </row>
    <row r="17" spans="1:21" x14ac:dyDescent="0.2">
      <c r="A17" t="s">
        <v>146</v>
      </c>
      <c r="B17" t="s">
        <v>218</v>
      </c>
      <c r="C17">
        <v>25.9</v>
      </c>
      <c r="D17" t="s">
        <v>118</v>
      </c>
      <c r="E17" t="s">
        <v>464</v>
      </c>
      <c r="F17" s="28">
        <f ca="1">apuestas_abr24[[#This Row],[Apuesta Miniporra]]-$B$3</f>
        <v>12.229999999999999</v>
      </c>
      <c r="G17" s="54">
        <f ca="1">ABS(apuestas_abr24[[#This Row],[desvio]])/$B$3</f>
        <v>0.89465983906364288</v>
      </c>
      <c r="H17" s="4">
        <f ca="1">_xlfn.RANK.EQ(apuestas_abr24[[#This Row],[desvio %]],apuestas_abr24[desvio %],1)</f>
        <v>19</v>
      </c>
      <c r="J17" t="s">
        <v>146</v>
      </c>
      <c r="K17" s="10">
        <f ca="1">INDEX(apuestas_abr24[orden],MATCH(resultados_abr[Apuesta MiniPorra],apuestas_abr24[Apuesta Miniporra],0))</f>
        <v>19</v>
      </c>
      <c r="L17" s="6" t="str">
        <f>apuestas_abr24[[#This Row],[Nombre]]</f>
        <v>Jorge Antonio González Sánchez</v>
      </c>
      <c r="M17" s="14">
        <f>apuestas_abr24[[#This Row],[Apuesta Miniporra]]</f>
        <v>25.9</v>
      </c>
      <c r="N17" s="14">
        <f ca="1">INDEX(apuestas_abr24[desvio],MATCH(resultados_abr[[#This Row],[Apuesta MiniPorra]],apuestas_abr24[Apuesta Miniporra],0))</f>
        <v>12.229999999999999</v>
      </c>
      <c r="O17" s="13">
        <f ca="1">INDEX(apuestas_abr24[desvio %],MATCH(resultados_abr[[#This Row],[Apuesta MiniPorra]],apuestas_abr24[Apuesta Miniporra],0))</f>
        <v>0.89465983906364288</v>
      </c>
      <c r="P17" s="4">
        <v>11</v>
      </c>
      <c r="Q17" s="4">
        <v>12.03</v>
      </c>
      <c r="R17" s="28"/>
    </row>
    <row r="18" spans="1:21" x14ac:dyDescent="0.2">
      <c r="A18" t="s">
        <v>146</v>
      </c>
      <c r="B18" t="s">
        <v>364</v>
      </c>
      <c r="C18">
        <v>24.71</v>
      </c>
      <c r="D18" t="s">
        <v>118</v>
      </c>
      <c r="E18" t="s">
        <v>364</v>
      </c>
      <c r="F18" s="28">
        <f ca="1">apuestas_abr24[[#This Row],[Apuesta Miniporra]]-$B$3</f>
        <v>11.040000000000001</v>
      </c>
      <c r="G18" s="54">
        <f ca="1">ABS(apuestas_abr24[[#This Row],[desvio]])/$B$3</f>
        <v>0.80760790051207032</v>
      </c>
      <c r="H18" s="4">
        <f ca="1">_xlfn.RANK.EQ(apuestas_abr24[[#This Row],[desvio %]],apuestas_abr24[desvio %],1)</f>
        <v>18</v>
      </c>
      <c r="J18" t="s">
        <v>146</v>
      </c>
      <c r="K18" s="10">
        <f ca="1">INDEX(apuestas_abr24[orden],MATCH(resultados_abr[Apuesta MiniPorra],apuestas_abr24[Apuesta Miniporra],0))</f>
        <v>18</v>
      </c>
      <c r="L18" s="6" t="str">
        <f>apuestas_abr24[[#This Row],[Nombre]]</f>
        <v>Marcos Fortea Escolano</v>
      </c>
      <c r="M18" s="14">
        <f>apuestas_abr24[[#This Row],[Apuesta Miniporra]]</f>
        <v>24.71</v>
      </c>
      <c r="N18" s="14">
        <f ca="1">INDEX(apuestas_abr24[desvio],MATCH(resultados_abr[[#This Row],[Apuesta MiniPorra]],apuestas_abr24[Apuesta Miniporra],0))</f>
        <v>11.040000000000001</v>
      </c>
      <c r="O18" s="13">
        <f ca="1">INDEX(apuestas_abr24[desvio %],MATCH(resultados_abr[[#This Row],[Apuesta MiniPorra]],apuestas_abr24[Apuesta Miniporra],0))</f>
        <v>0.80760790051207032</v>
      </c>
      <c r="P18" s="4">
        <v>12</v>
      </c>
      <c r="Q18" s="4">
        <v>19.940000000000001</v>
      </c>
      <c r="R18" s="28"/>
    </row>
    <row r="19" spans="1:21" x14ac:dyDescent="0.2">
      <c r="A19" t="s">
        <v>146</v>
      </c>
      <c r="B19" t="s">
        <v>408</v>
      </c>
      <c r="C19">
        <v>24.23</v>
      </c>
      <c r="D19" t="s">
        <v>538</v>
      </c>
      <c r="E19" t="s">
        <v>456</v>
      </c>
      <c r="F19" s="28">
        <f ca="1">apuestas_abr24[[#This Row],[Apuesta Miniporra]]-$B$3</f>
        <v>10.56</v>
      </c>
      <c r="G19" s="54">
        <f ca="1">ABS(apuestas_abr24[[#This Row],[desvio]])/$B$3</f>
        <v>0.77249451353328458</v>
      </c>
      <c r="H19" s="4">
        <f ca="1">_xlfn.RANK.EQ(apuestas_abr24[[#This Row],[desvio %]],apuestas_abr24[desvio %],1)</f>
        <v>17</v>
      </c>
      <c r="J19" t="s">
        <v>146</v>
      </c>
      <c r="K19" s="10">
        <f ca="1">INDEX(apuestas_abr24[orden],MATCH(resultados_abr[Apuesta MiniPorra],apuestas_abr24[Apuesta Miniporra],0))</f>
        <v>17</v>
      </c>
      <c r="L19" s="6" t="str">
        <f>apuestas_abr24[[#This Row],[Nombre]]</f>
        <v>Julián Mateo Muñoz</v>
      </c>
      <c r="M19" s="14">
        <f>apuestas_abr24[[#This Row],[Apuesta Miniporra]]</f>
        <v>24.23</v>
      </c>
      <c r="N19" s="14">
        <f ca="1">INDEX(apuestas_abr24[desvio],MATCH(resultados_abr[[#This Row],[Apuesta MiniPorra]],apuestas_abr24[Apuesta Miniporra],0))</f>
        <v>10.56</v>
      </c>
      <c r="O19" s="13">
        <f ca="1">INDEX(apuestas_abr24[desvio %],MATCH(resultados_abr[[#This Row],[Apuesta MiniPorra]],apuestas_abr24[Apuesta Miniporra],0))</f>
        <v>0.77249451353328458</v>
      </c>
      <c r="P19" s="4">
        <v>13</v>
      </c>
      <c r="Q19" s="4">
        <v>9.17</v>
      </c>
      <c r="R19" s="28"/>
    </row>
    <row r="20" spans="1:21" x14ac:dyDescent="0.2">
      <c r="A20" t="s">
        <v>146</v>
      </c>
      <c r="B20" t="s">
        <v>362</v>
      </c>
      <c r="C20">
        <v>24.2</v>
      </c>
      <c r="D20" t="s">
        <v>118</v>
      </c>
      <c r="E20" t="s">
        <v>213</v>
      </c>
      <c r="F20" s="28">
        <f ca="1">apuestas_abr24[[#This Row],[Apuesta Miniporra]]-$B$3</f>
        <v>10.53</v>
      </c>
      <c r="G20" s="54">
        <f ca="1">ABS(apuestas_abr24[[#This Row],[desvio]])/$B$3</f>
        <v>0.77029992684711046</v>
      </c>
      <c r="H20" s="4">
        <f ca="1">_xlfn.RANK.EQ(apuestas_abr24[[#This Row],[desvio %]],apuestas_abr24[desvio %],1)</f>
        <v>16</v>
      </c>
      <c r="J20" t="s">
        <v>146</v>
      </c>
      <c r="K20" s="10">
        <f ca="1">INDEX(apuestas_abr24[orden],MATCH(resultados_abr[Apuesta MiniPorra],apuestas_abr24[Apuesta Miniporra],0))</f>
        <v>16</v>
      </c>
      <c r="L20" s="6" t="str">
        <f>apuestas_abr24[[#This Row],[Nombre]]</f>
        <v>Inés Monroy</v>
      </c>
      <c r="M20" s="14">
        <f>apuestas_abr24[[#This Row],[Apuesta Miniporra]]</f>
        <v>24.2</v>
      </c>
      <c r="N20" s="14">
        <f ca="1">INDEX(apuestas_abr24[desvio],MATCH(resultados_abr[[#This Row],[Apuesta MiniPorra]],apuestas_abr24[Apuesta Miniporra],0))</f>
        <v>10.53</v>
      </c>
      <c r="O20" s="13">
        <f ca="1">INDEX(apuestas_abr24[desvio %],MATCH(resultados_abr[[#This Row],[Apuesta MiniPorra]],apuestas_abr24[Apuesta Miniporra],0))</f>
        <v>0.77029992684711046</v>
      </c>
      <c r="P20" s="4">
        <v>14</v>
      </c>
      <c r="Q20" s="4">
        <v>5.6</v>
      </c>
      <c r="R20" s="28"/>
      <c r="S20" s="97"/>
      <c r="T20" s="97"/>
      <c r="U20" s="97"/>
    </row>
    <row r="21" spans="1:21" x14ac:dyDescent="0.2">
      <c r="A21" t="s">
        <v>146</v>
      </c>
      <c r="B21" t="s">
        <v>292</v>
      </c>
      <c r="C21">
        <v>23.9</v>
      </c>
      <c r="D21" t="s">
        <v>118</v>
      </c>
      <c r="E21" t="s">
        <v>531</v>
      </c>
      <c r="F21" s="28">
        <f ca="1">apuestas_abr24[[#This Row],[Apuesta Miniporra]]-$B$3</f>
        <v>10.229999999999999</v>
      </c>
      <c r="G21" s="54">
        <f ca="1">ABS(apuestas_abr24[[#This Row],[desvio]])/$B$3</f>
        <v>0.7483540599853693</v>
      </c>
      <c r="H21" s="4">
        <f ca="1">_xlfn.RANK.EQ(apuestas_abr24[[#This Row],[desvio %]],apuestas_abr24[desvio %],1)</f>
        <v>15</v>
      </c>
      <c r="J21" t="s">
        <v>146</v>
      </c>
      <c r="K21" s="10">
        <f ca="1">INDEX(apuestas_abr24[orden],MATCH(resultados_abr[Apuesta MiniPorra],apuestas_abr24[Apuesta Miniporra],0))</f>
        <v>15</v>
      </c>
      <c r="L21" s="6" t="str">
        <f>apuestas_abr24[[#This Row],[Nombre]]</f>
        <v>Oscar Mulas Crespo</v>
      </c>
      <c r="M21" s="14">
        <f>apuestas_abr24[[#This Row],[Apuesta Miniporra]]</f>
        <v>23.9</v>
      </c>
      <c r="N21" s="14">
        <f ca="1">INDEX(apuestas_abr24[desvio],MATCH(resultados_abr[[#This Row],[Apuesta MiniPorra]],apuestas_abr24[Apuesta Miniporra],0))</f>
        <v>10.229999999999999</v>
      </c>
      <c r="O21" s="13">
        <f ca="1">INDEX(apuestas_abr24[desvio %],MATCH(resultados_abr[[#This Row],[Apuesta MiniPorra]],apuestas_abr24[Apuesta Miniporra],0))</f>
        <v>0.7483540599853693</v>
      </c>
      <c r="P21" s="4">
        <v>15</v>
      </c>
      <c r="Q21" s="4">
        <v>3.48</v>
      </c>
      <c r="R21" s="28"/>
      <c r="S21" s="97"/>
      <c r="T21" s="97"/>
      <c r="U21" s="97"/>
    </row>
    <row r="22" spans="1:21" x14ac:dyDescent="0.2">
      <c r="A22" t="s">
        <v>146</v>
      </c>
      <c r="B22" t="s">
        <v>411</v>
      </c>
      <c r="C22">
        <v>23.89</v>
      </c>
      <c r="D22" t="s">
        <v>118</v>
      </c>
      <c r="E22" t="s">
        <v>510</v>
      </c>
      <c r="F22" s="28">
        <f ca="1">apuestas_abr24[[#This Row],[Apuesta Miniporra]]-$B$3</f>
        <v>10.220000000000001</v>
      </c>
      <c r="G22" s="54">
        <f ca="1">ABS(apuestas_abr24[[#This Row],[desvio]])/$B$3</f>
        <v>0.74762253108997812</v>
      </c>
      <c r="H22" s="4">
        <f ca="1">_xlfn.RANK.EQ(apuestas_abr24[[#This Row],[desvio %]],apuestas_abr24[desvio %],1)</f>
        <v>14</v>
      </c>
      <c r="J22" t="s">
        <v>146</v>
      </c>
      <c r="K22" s="10">
        <f ca="1">INDEX(apuestas_abr24[orden],MATCH(resultados_abr[Apuesta MiniPorra],apuestas_abr24[Apuesta Miniporra],0))</f>
        <v>14</v>
      </c>
      <c r="L22" s="6" t="str">
        <f>apuestas_abr24[[#This Row],[Nombre]]</f>
        <v>Jonathan Pazmiño Espinoza</v>
      </c>
      <c r="M22" s="14">
        <f>apuestas_abr24[[#This Row],[Apuesta Miniporra]]</f>
        <v>23.89</v>
      </c>
      <c r="N22" s="14">
        <f ca="1">INDEX(apuestas_abr24[desvio],MATCH(resultados_abr[[#This Row],[Apuesta MiniPorra]],apuestas_abr24[Apuesta Miniporra],0))</f>
        <v>10.220000000000001</v>
      </c>
      <c r="O22" s="13">
        <f ca="1">INDEX(apuestas_abr24[desvio %],MATCH(resultados_abr[[#This Row],[Apuesta MiniPorra]],apuestas_abr24[Apuesta Miniporra],0))</f>
        <v>0.74762253108997812</v>
      </c>
      <c r="P22" s="4">
        <v>16</v>
      </c>
      <c r="Q22" s="4">
        <v>1.37</v>
      </c>
      <c r="R22" s="28"/>
      <c r="S22" s="97"/>
      <c r="T22" s="97"/>
      <c r="U22" s="97"/>
    </row>
    <row r="23" spans="1:21" x14ac:dyDescent="0.2">
      <c r="A23" t="s">
        <v>146</v>
      </c>
      <c r="B23" t="s">
        <v>414</v>
      </c>
      <c r="C23">
        <v>23.51</v>
      </c>
      <c r="D23" t="s">
        <v>118</v>
      </c>
      <c r="E23" t="s">
        <v>467</v>
      </c>
      <c r="F23" s="28">
        <f ca="1">apuestas_abr24[[#This Row],[Apuesta Miniporra]]-$B$3</f>
        <v>9.8400000000000016</v>
      </c>
      <c r="G23" s="54">
        <f ca="1">ABS(apuestas_abr24[[#This Row],[desvio]])/$B$3</f>
        <v>0.71982443306510624</v>
      </c>
      <c r="H23" s="4">
        <f ca="1">_xlfn.RANK.EQ(apuestas_abr24[[#This Row],[desvio %]],apuestas_abr24[desvio %],1)</f>
        <v>13</v>
      </c>
      <c r="J23" t="s">
        <v>146</v>
      </c>
      <c r="K23" s="10">
        <f ca="1">INDEX(apuestas_abr24[orden],MATCH(resultados_abr[Apuesta MiniPorra],apuestas_abr24[Apuesta Miniporra],0))</f>
        <v>13</v>
      </c>
      <c r="L23" s="6" t="str">
        <f>apuestas_abr24[[#This Row],[Nombre]]</f>
        <v>Laura Gómez López</v>
      </c>
      <c r="M23" s="14">
        <f>apuestas_abr24[[#This Row],[Apuesta Miniporra]]</f>
        <v>23.51</v>
      </c>
      <c r="N23" s="14">
        <f ca="1">INDEX(apuestas_abr24[desvio],MATCH(resultados_abr[[#This Row],[Apuesta MiniPorra]],apuestas_abr24[Apuesta Miniporra],0))</f>
        <v>9.8400000000000016</v>
      </c>
      <c r="O23" s="13">
        <f ca="1">INDEX(apuestas_abr24[desvio %],MATCH(resultados_abr[[#This Row],[Apuesta MiniPorra]],apuestas_abr24[Apuesta Miniporra],0))</f>
        <v>0.71982443306510624</v>
      </c>
      <c r="P23" s="4">
        <v>17</v>
      </c>
      <c r="Q23" s="4">
        <v>3.26</v>
      </c>
      <c r="R23" s="28"/>
    </row>
    <row r="24" spans="1:21" x14ac:dyDescent="0.2">
      <c r="A24" t="s">
        <v>146</v>
      </c>
      <c r="B24" t="s">
        <v>544</v>
      </c>
      <c r="C24">
        <v>23.5</v>
      </c>
      <c r="D24" t="s">
        <v>118</v>
      </c>
      <c r="E24" t="s">
        <v>523</v>
      </c>
      <c r="F24" s="28">
        <f ca="1">apuestas_abr24[[#This Row],[Apuesta Miniporra]]-$B$3</f>
        <v>9.83</v>
      </c>
      <c r="G24" s="54">
        <f ca="1">ABS(apuestas_abr24[[#This Row],[desvio]])/$B$3</f>
        <v>0.71909290416971472</v>
      </c>
      <c r="H24" s="4">
        <f ca="1">_xlfn.RANK.EQ(apuestas_abr24[[#This Row],[desvio %]],apuestas_abr24[desvio %],1)</f>
        <v>12</v>
      </c>
      <c r="J24" t="s">
        <v>146</v>
      </c>
      <c r="K24" s="10">
        <f ca="1">INDEX(apuestas_abr24[orden],MATCH(resultados_abr[Apuesta MiniPorra],apuestas_abr24[Apuesta Miniporra],0))</f>
        <v>12</v>
      </c>
      <c r="L24" s="6" t="str">
        <f>apuestas_abr24[[#This Row],[Nombre]]</f>
        <v>Álvaro Barahona San Marcos</v>
      </c>
      <c r="M24" s="14">
        <f>apuestas_abr24[[#This Row],[Apuesta Miniporra]]</f>
        <v>23.5</v>
      </c>
      <c r="N24" s="14">
        <f ca="1">INDEX(apuestas_abr24[desvio],MATCH(resultados_abr[[#This Row],[Apuesta MiniPorra]],apuestas_abr24[Apuesta Miniporra],0))</f>
        <v>9.83</v>
      </c>
      <c r="O24" s="13">
        <f ca="1">INDEX(apuestas_abr24[desvio %],MATCH(resultados_abr[[#This Row],[Apuesta MiniPorra]],apuestas_abr24[Apuesta Miniporra],0))</f>
        <v>0.71909290416971472</v>
      </c>
      <c r="P24" s="4">
        <v>18</v>
      </c>
      <c r="Q24" s="4">
        <v>4.54</v>
      </c>
      <c r="R24" s="28"/>
    </row>
    <row r="25" spans="1:21" x14ac:dyDescent="0.2">
      <c r="A25" t="s">
        <v>146</v>
      </c>
      <c r="B25" t="s">
        <v>225</v>
      </c>
      <c r="C25">
        <v>23.32</v>
      </c>
      <c r="D25" t="s">
        <v>499</v>
      </c>
      <c r="E25" t="s">
        <v>199</v>
      </c>
      <c r="F25" s="28">
        <f ca="1">apuestas_abr24[[#This Row],[Apuesta Miniporra]]-$B$3</f>
        <v>9.65</v>
      </c>
      <c r="G25" s="54">
        <f ca="1">ABS(apuestas_abr24[[#This Row],[desvio]])/$B$3</f>
        <v>0.70592538405267014</v>
      </c>
      <c r="H25" s="4">
        <f ca="1">_xlfn.RANK.EQ(apuestas_abr24[[#This Row],[desvio %]],apuestas_abr24[desvio %],1)</f>
        <v>11</v>
      </c>
      <c r="J25" t="s">
        <v>146</v>
      </c>
      <c r="K25" s="10">
        <f ca="1">INDEX(apuestas_abr24[orden],MATCH(resultados_abr[Apuesta MiniPorra],apuestas_abr24[Apuesta Miniporra],0))</f>
        <v>11</v>
      </c>
      <c r="L25" s="6" t="str">
        <f>apuestas_abr24[[#This Row],[Nombre]]</f>
        <v>Elena Muñoz Vioque</v>
      </c>
      <c r="M25" s="14">
        <f>apuestas_abr24[[#This Row],[Apuesta Miniporra]]</f>
        <v>23.32</v>
      </c>
      <c r="N25" s="14">
        <f ca="1">INDEX(apuestas_abr24[desvio],MATCH(resultados_abr[[#This Row],[Apuesta MiniPorra]],apuestas_abr24[Apuesta Miniporra],0))</f>
        <v>9.65</v>
      </c>
      <c r="O25" s="13">
        <f ca="1">INDEX(apuestas_abr24[desvio %],MATCH(resultados_abr[[#This Row],[Apuesta MiniPorra]],apuestas_abr24[Apuesta Miniporra],0))</f>
        <v>0.70592538405267014</v>
      </c>
      <c r="P25" s="4">
        <v>19</v>
      </c>
      <c r="Q25" s="4">
        <v>15.18</v>
      </c>
      <c r="R25" s="28"/>
    </row>
    <row r="26" spans="1:21" x14ac:dyDescent="0.2">
      <c r="A26" t="s">
        <v>146</v>
      </c>
      <c r="B26" t="s">
        <v>363</v>
      </c>
      <c r="C26">
        <v>22.8</v>
      </c>
      <c r="D26" t="s">
        <v>496</v>
      </c>
      <c r="E26" t="s">
        <v>76</v>
      </c>
      <c r="F26" s="28">
        <f ca="1">apuestas_abr24[[#This Row],[Apuesta Miniporra]]-$B$3</f>
        <v>9.1300000000000008</v>
      </c>
      <c r="G26" s="54">
        <f ca="1">ABS(apuestas_abr24[[#This Row],[desvio]])/$B$3</f>
        <v>0.66788588149231898</v>
      </c>
      <c r="H26" s="4">
        <f ca="1">_xlfn.RANK.EQ(apuestas_abr24[[#This Row],[desvio %]],apuestas_abr24[desvio %],1)</f>
        <v>10</v>
      </c>
      <c r="J26" t="s">
        <v>146</v>
      </c>
      <c r="K26" s="10">
        <f ca="1">INDEX(apuestas_abr24[orden],MATCH(resultados_abr[Apuesta MiniPorra],apuestas_abr24[Apuesta Miniporra],0))</f>
        <v>10</v>
      </c>
      <c r="L26" s="6" t="str">
        <f>apuestas_abr24[[#This Row],[Nombre]]</f>
        <v>Roque Alonso Alonso</v>
      </c>
      <c r="M26" s="14">
        <f>apuestas_abr24[[#This Row],[Apuesta Miniporra]]</f>
        <v>22.8</v>
      </c>
      <c r="N26" s="14">
        <f ca="1">INDEX(apuestas_abr24[desvio],MATCH(resultados_abr[[#This Row],[Apuesta MiniPorra]],apuestas_abr24[Apuesta Miniporra],0))</f>
        <v>9.1300000000000008</v>
      </c>
      <c r="O26" s="13">
        <f ca="1">INDEX(apuestas_abr24[desvio %],MATCH(resultados_abr[[#This Row],[Apuesta MiniPorra]],apuestas_abr24[Apuesta Miniporra],0))</f>
        <v>0.66788588149231898</v>
      </c>
      <c r="P26" s="4">
        <v>20</v>
      </c>
      <c r="Q26" s="4">
        <v>5.66</v>
      </c>
      <c r="R26" s="28"/>
    </row>
    <row r="27" spans="1:21" x14ac:dyDescent="0.2">
      <c r="A27" t="s">
        <v>146</v>
      </c>
      <c r="B27" t="s">
        <v>226</v>
      </c>
      <c r="C27">
        <v>22.51</v>
      </c>
      <c r="D27" t="s">
        <v>118</v>
      </c>
      <c r="E27" t="s">
        <v>203</v>
      </c>
      <c r="F27" s="28">
        <f ca="1">apuestas_abr24[[#This Row],[Apuesta Miniporra]]-$B$3</f>
        <v>8.8400000000000016</v>
      </c>
      <c r="G27" s="54">
        <f ca="1">ABS(apuestas_abr24[[#This Row],[desvio]])/$B$3</f>
        <v>0.64667154352596945</v>
      </c>
      <c r="H27" s="4">
        <f ca="1">_xlfn.RANK.EQ(apuestas_abr24[[#This Row],[desvio %]],apuestas_abr24[desvio %],1)</f>
        <v>9</v>
      </c>
      <c r="J27" t="s">
        <v>146</v>
      </c>
      <c r="K27" s="10">
        <f ca="1">INDEX(apuestas_abr24[orden],MATCH(resultados_abr[Apuesta MiniPorra],apuestas_abr24[Apuesta Miniporra],0))</f>
        <v>9</v>
      </c>
      <c r="L27" s="6" t="str">
        <f>apuestas_abr24[[#This Row],[Nombre]]</f>
        <v>Alejandro A. Díaz González</v>
      </c>
      <c r="M27" s="14">
        <f>apuestas_abr24[[#This Row],[Apuesta Miniporra]]</f>
        <v>22.51</v>
      </c>
      <c r="N27" s="14">
        <f ca="1">INDEX(apuestas_abr24[desvio],MATCH(resultados_abr[[#This Row],[Apuesta MiniPorra]],apuestas_abr24[Apuesta Miniporra],0))</f>
        <v>8.8400000000000016</v>
      </c>
      <c r="O27" s="13">
        <f ca="1">INDEX(apuestas_abr24[desvio %],MATCH(resultados_abr[[#This Row],[Apuesta MiniPorra]],apuestas_abr24[Apuesta Miniporra],0))</f>
        <v>0.64667154352596945</v>
      </c>
      <c r="P27" s="4">
        <v>21</v>
      </c>
      <c r="Q27" s="4">
        <v>2.17</v>
      </c>
      <c r="R27" s="28"/>
    </row>
    <row r="28" spans="1:21" x14ac:dyDescent="0.2">
      <c r="A28" t="s">
        <v>146</v>
      </c>
      <c r="B28" t="s">
        <v>474</v>
      </c>
      <c r="C28">
        <v>22.5</v>
      </c>
      <c r="D28" t="s">
        <v>118</v>
      </c>
      <c r="E28" t="s">
        <v>535</v>
      </c>
      <c r="F28" s="28">
        <f ca="1">apuestas_abr24[[#This Row],[Apuesta Miniporra]]-$B$3</f>
        <v>8.83</v>
      </c>
      <c r="G28" s="54">
        <f ca="1">ABS(apuestas_abr24[[#This Row],[desvio]])/$B$3</f>
        <v>0.64594001463057793</v>
      </c>
      <c r="H28" s="4">
        <f ca="1">_xlfn.RANK.EQ(apuestas_abr24[[#This Row],[desvio %]],apuestas_abr24[desvio %],1)</f>
        <v>8</v>
      </c>
      <c r="J28" t="s">
        <v>146</v>
      </c>
      <c r="K28" s="10">
        <f ca="1">INDEX(apuestas_abr24[orden],MATCH(resultados_abr[Apuesta MiniPorra],apuestas_abr24[Apuesta Miniporra],0))</f>
        <v>8</v>
      </c>
      <c r="L28" s="6" t="str">
        <f>apuestas_abr24[[#This Row],[Nombre]]</f>
        <v>Javier Colón Cortegoso</v>
      </c>
      <c r="M28" s="14">
        <f>apuestas_abr24[[#This Row],[Apuesta Miniporra]]</f>
        <v>22.5</v>
      </c>
      <c r="N28" s="14">
        <f ca="1">INDEX(apuestas_abr24[desvio],MATCH(resultados_abr[[#This Row],[Apuesta MiniPorra]],apuestas_abr24[Apuesta Miniporra],0))</f>
        <v>8.83</v>
      </c>
      <c r="O28" s="13">
        <f ca="1">INDEX(apuestas_abr24[desvio %],MATCH(resultados_abr[[#This Row],[Apuesta MiniPorra]],apuestas_abr24[Apuesta Miniporra],0))</f>
        <v>0.64594001463057793</v>
      </c>
      <c r="P28" s="4">
        <v>22</v>
      </c>
      <c r="Q28" s="4">
        <v>1.9</v>
      </c>
      <c r="R28" s="28"/>
    </row>
    <row r="29" spans="1:21" x14ac:dyDescent="0.2">
      <c r="A29" t="s">
        <v>146</v>
      </c>
      <c r="B29" t="s">
        <v>242</v>
      </c>
      <c r="C29">
        <v>22</v>
      </c>
      <c r="D29" t="s">
        <v>118</v>
      </c>
      <c r="E29" t="s">
        <v>242</v>
      </c>
      <c r="F29" s="28">
        <f ca="1">apuestas_abr24[[#This Row],[Apuesta Miniporra]]-$B$3</f>
        <v>8.33</v>
      </c>
      <c r="G29" s="54">
        <f ca="1">ABS(apuestas_abr24[[#This Row],[desvio]])/$B$3</f>
        <v>0.60936356986100948</v>
      </c>
      <c r="H29" s="4">
        <f ca="1">_xlfn.RANK.EQ(apuestas_abr24[[#This Row],[desvio %]],apuestas_abr24[desvio %],1)</f>
        <v>7</v>
      </c>
      <c r="J29" t="s">
        <v>146</v>
      </c>
      <c r="K29" s="10">
        <f ca="1">INDEX(apuestas_abr24[orden],MATCH(resultados_abr[Apuesta MiniPorra],apuestas_abr24[Apuesta Miniporra],0))</f>
        <v>7</v>
      </c>
      <c r="L29" s="6" t="str">
        <f>apuestas_abr24[[#This Row],[Nombre]]</f>
        <v>Javier Espelta</v>
      </c>
      <c r="M29" s="14">
        <f>apuestas_abr24[[#This Row],[Apuesta Miniporra]]</f>
        <v>22</v>
      </c>
      <c r="N29" s="14">
        <f ca="1">INDEX(apuestas_abr24[desvio],MATCH(resultados_abr[[#This Row],[Apuesta MiniPorra]],apuestas_abr24[Apuesta Miniporra],0))</f>
        <v>8.33</v>
      </c>
      <c r="O29" s="13">
        <f ca="1">INDEX(apuestas_abr24[desvio %],MATCH(resultados_abr[[#This Row],[Apuesta MiniPorra]],apuestas_abr24[Apuesta Miniporra],0))</f>
        <v>0.60936356986100948</v>
      </c>
      <c r="P29" s="4">
        <v>23</v>
      </c>
      <c r="Q29" s="4">
        <v>5.84</v>
      </c>
      <c r="R29" s="28"/>
    </row>
    <row r="30" spans="1:21" x14ac:dyDescent="0.2">
      <c r="A30" t="s">
        <v>146</v>
      </c>
      <c r="B30" t="s">
        <v>336</v>
      </c>
      <c r="C30">
        <v>20.5</v>
      </c>
      <c r="D30" t="s">
        <v>530</v>
      </c>
      <c r="E30" t="s">
        <v>2</v>
      </c>
      <c r="F30" s="28">
        <f ca="1">apuestas_abr24[[#This Row],[Apuesta Miniporra]]-$B$3</f>
        <v>6.83</v>
      </c>
      <c r="G30" s="54">
        <f ca="1">ABS(apuestas_abr24[[#This Row],[desvio]])/$B$3</f>
        <v>0.49963423555230435</v>
      </c>
      <c r="H30" s="4">
        <f ca="1">_xlfn.RANK.EQ(apuestas_abr24[[#This Row],[desvio %]],apuestas_abr24[desvio %],1)</f>
        <v>6</v>
      </c>
      <c r="J30" t="s">
        <v>146</v>
      </c>
      <c r="K30" s="10">
        <f ca="1">INDEX(apuestas_abr24[orden],MATCH(resultados_abr[Apuesta MiniPorra],apuestas_abr24[Apuesta Miniporra],0))</f>
        <v>6</v>
      </c>
      <c r="L30" s="6" t="str">
        <f>apuestas_abr24[[#This Row],[Nombre]]</f>
        <v>Javier Revuelta Alonso</v>
      </c>
      <c r="M30" s="14">
        <f>apuestas_abr24[[#This Row],[Apuesta Miniporra]]</f>
        <v>20.5</v>
      </c>
      <c r="N30" s="14">
        <f ca="1">INDEX(apuestas_abr24[desvio],MATCH(resultados_abr[[#This Row],[Apuesta MiniPorra]],apuestas_abr24[Apuesta Miniporra],0))</f>
        <v>6.83</v>
      </c>
      <c r="O30" s="13">
        <f ca="1">INDEX(apuestas_abr24[desvio %],MATCH(resultados_abr[[#This Row],[Apuesta MiniPorra]],apuestas_abr24[Apuesta Miniporra],0))</f>
        <v>0.49963423555230435</v>
      </c>
      <c r="P30" s="4">
        <v>24</v>
      </c>
      <c r="Q30" s="4">
        <v>18.57</v>
      </c>
      <c r="R30" s="28"/>
    </row>
    <row r="31" spans="1:21" x14ac:dyDescent="0.2">
      <c r="A31" t="s">
        <v>146</v>
      </c>
      <c r="B31" t="s">
        <v>542</v>
      </c>
      <c r="C31">
        <v>19.91</v>
      </c>
      <c r="D31" t="s">
        <v>503</v>
      </c>
      <c r="E31" t="s">
        <v>504</v>
      </c>
      <c r="F31" s="28">
        <f ca="1">apuestas_abr24[[#This Row],[Apuesta Miniporra]]-$B$3</f>
        <v>6.24</v>
      </c>
      <c r="G31" s="54">
        <f ca="1">ABS(apuestas_abr24[[#This Row],[desvio]])/$B$3</f>
        <v>0.45647403072421361</v>
      </c>
      <c r="H31" s="4">
        <f ca="1">_xlfn.RANK.EQ(apuestas_abr24[[#This Row],[desvio %]],apuestas_abr24[desvio %],1)</f>
        <v>5</v>
      </c>
      <c r="J31" t="s">
        <v>146</v>
      </c>
      <c r="K31" s="10">
        <f ca="1">INDEX(apuestas_abr24[orden],MATCH(resultados_abr[Apuesta MiniPorra],apuestas_abr24[Apuesta Miniporra],0))</f>
        <v>5</v>
      </c>
      <c r="L31" s="6" t="str">
        <f>apuestas_abr24[[#This Row],[Nombre]]</f>
        <v>Sergio Alfonso</v>
      </c>
      <c r="M31" s="14">
        <f>apuestas_abr24[[#This Row],[Apuesta Miniporra]]</f>
        <v>19.91</v>
      </c>
      <c r="N31" s="14">
        <f ca="1">INDEX(apuestas_abr24[desvio],MATCH(resultados_abr[[#This Row],[Apuesta MiniPorra]],apuestas_abr24[Apuesta Miniporra],0))</f>
        <v>6.24</v>
      </c>
      <c r="O31" s="13">
        <f ca="1">INDEX(apuestas_abr24[desvio %],MATCH(resultados_abr[[#This Row],[Apuesta MiniPorra]],apuestas_abr24[Apuesta Miniporra],0))</f>
        <v>0.45647403072421361</v>
      </c>
      <c r="P31" s="4">
        <v>25</v>
      </c>
      <c r="Q31" s="4">
        <v>41.44</v>
      </c>
      <c r="R31" s="28"/>
    </row>
    <row r="32" spans="1:21" x14ac:dyDescent="0.2">
      <c r="A32" t="s">
        <v>146</v>
      </c>
      <c r="B32" t="s">
        <v>221</v>
      </c>
      <c r="C32">
        <v>19.5</v>
      </c>
      <c r="D32" t="s">
        <v>118</v>
      </c>
      <c r="E32" t="s">
        <v>124</v>
      </c>
      <c r="F32" s="28">
        <f ca="1">apuestas_abr24[[#This Row],[Apuesta Miniporra]]-$B$3</f>
        <v>5.83</v>
      </c>
      <c r="G32" s="54">
        <f ca="1">ABS(apuestas_abr24[[#This Row],[desvio]])/$B$3</f>
        <v>0.42648134601316751</v>
      </c>
      <c r="H32" s="4">
        <f ca="1">_xlfn.RANK.EQ(apuestas_abr24[[#This Row],[desvio %]],apuestas_abr24[desvio %],1)</f>
        <v>4</v>
      </c>
      <c r="J32" t="s">
        <v>146</v>
      </c>
      <c r="K32" s="10">
        <f ca="1">INDEX(apuestas_abr24[orden],MATCH(resultados_abr[Apuesta MiniPorra],apuestas_abr24[Apuesta Miniporra],0))</f>
        <v>4</v>
      </c>
      <c r="L32" s="6" t="str">
        <f>apuestas_abr24[[#This Row],[Nombre]]</f>
        <v>Alfonso Lezcano</v>
      </c>
      <c r="M32" s="14">
        <f>apuestas_abr24[[#This Row],[Apuesta Miniporra]]</f>
        <v>19.5</v>
      </c>
      <c r="N32" s="14">
        <f ca="1">INDEX(apuestas_abr24[desvio],MATCH(resultados_abr[[#This Row],[Apuesta MiniPorra]],apuestas_abr24[Apuesta Miniporra],0))</f>
        <v>5.83</v>
      </c>
      <c r="O32" s="13">
        <f ca="1">INDEX(apuestas_abr24[desvio %],MATCH(resultados_abr[[#This Row],[Apuesta MiniPorra]],apuestas_abr24[Apuesta Miniporra],0))</f>
        <v>0.42648134601316751</v>
      </c>
      <c r="P32" s="4">
        <v>26</v>
      </c>
      <c r="Q32" s="4">
        <v>57.49</v>
      </c>
      <c r="R32" s="28"/>
    </row>
    <row r="33" spans="1:18" x14ac:dyDescent="0.2">
      <c r="A33" t="s">
        <v>146</v>
      </c>
      <c r="B33" t="s">
        <v>222</v>
      </c>
      <c r="C33">
        <v>18.5</v>
      </c>
      <c r="D33" t="s">
        <v>540</v>
      </c>
      <c r="E33" t="s">
        <v>178</v>
      </c>
      <c r="F33" s="28">
        <f ca="1">apuestas_abr24[[#This Row],[Apuesta Miniporra]]-$B$3</f>
        <v>4.83</v>
      </c>
      <c r="G33" s="54">
        <f ca="1">ABS(apuestas_abr24[[#This Row],[desvio]])/$B$3</f>
        <v>0.35332845647403072</v>
      </c>
      <c r="H33" s="4">
        <f ca="1">_xlfn.RANK.EQ(apuestas_abr24[[#This Row],[desvio %]],apuestas_abr24[desvio %],1)</f>
        <v>2</v>
      </c>
      <c r="J33" t="s">
        <v>146</v>
      </c>
      <c r="K33" s="10">
        <f ca="1">INDEX(apuestas_abr24[orden],MATCH(resultados_abr[Apuesta MiniPorra],apuestas_abr24[Apuesta Miniporra],0))</f>
        <v>2</v>
      </c>
      <c r="L33" s="6" t="str">
        <f>apuestas_abr24[[#This Row],[Nombre]]</f>
        <v>Jose F Vidal</v>
      </c>
      <c r="M33" s="14">
        <f>apuestas_abr24[[#This Row],[Apuesta Miniporra]]</f>
        <v>18.5</v>
      </c>
      <c r="N33" s="14">
        <f ca="1">INDEX(apuestas_abr24[desvio],MATCH(resultados_abr[[#This Row],[Apuesta MiniPorra]],apuestas_abr24[Apuesta Miniporra],0))</f>
        <v>4.83</v>
      </c>
      <c r="O33" s="13">
        <f ca="1">INDEX(apuestas_abr24[desvio %],MATCH(resultados_abr[[#This Row],[Apuesta MiniPorra]],apuestas_abr24[Apuesta Miniporra],0))</f>
        <v>0.35332845647403072</v>
      </c>
      <c r="P33" s="4">
        <v>27</v>
      </c>
      <c r="Q33" s="4">
        <v>25.02</v>
      </c>
      <c r="R33" s="28"/>
    </row>
    <row r="34" spans="1:18" x14ac:dyDescent="0.2">
      <c r="A34" t="s">
        <v>146</v>
      </c>
      <c r="B34" t="s">
        <v>541</v>
      </c>
      <c r="C34">
        <v>17.329999999999998</v>
      </c>
      <c r="D34" t="s">
        <v>528</v>
      </c>
      <c r="E34" t="s">
        <v>525</v>
      </c>
      <c r="F34" s="28">
        <f ca="1">apuestas_abr24[[#This Row],[Apuesta Miniporra]]-$B$3</f>
        <v>3.6599999999999984</v>
      </c>
      <c r="G34" s="54">
        <f ca="1">ABS(apuestas_abr24[[#This Row],[desvio]])/$B$3</f>
        <v>0.26773957571324053</v>
      </c>
      <c r="H34" s="4">
        <f ca="1">_xlfn.RANK.EQ(apuestas_abr24[[#This Row],[desvio %]],apuestas_abr24[desvio %],1)</f>
        <v>1</v>
      </c>
      <c r="J34" t="s">
        <v>146</v>
      </c>
      <c r="K34" s="10">
        <f ca="1">INDEX(apuestas_abr24[orden],MATCH(resultados_abr[Apuesta MiniPorra],apuestas_abr24[Apuesta Miniporra],0))</f>
        <v>1</v>
      </c>
      <c r="L34" s="6" t="str">
        <f>apuestas_abr24[[#This Row],[Nombre]]</f>
        <v>Daniel Reganon</v>
      </c>
      <c r="M34" s="14">
        <f>apuestas_abr24[[#This Row],[Apuesta Miniporra]]</f>
        <v>17.329999999999998</v>
      </c>
      <c r="N34" s="14">
        <f ca="1">INDEX(apuestas_abr24[desvio],MATCH(resultados_abr[[#This Row],[Apuesta MiniPorra]],apuestas_abr24[Apuesta Miniporra],0))</f>
        <v>3.6599999999999984</v>
      </c>
      <c r="O34" s="13">
        <f ca="1">INDEX(apuestas_abr24[desvio %],MATCH(resultados_abr[[#This Row],[Apuesta MiniPorra]],apuestas_abr24[Apuesta Miniporra],0))</f>
        <v>0.26773957571324053</v>
      </c>
      <c r="P34" s="4">
        <v>28</v>
      </c>
      <c r="Q34" s="28">
        <v>28.72</v>
      </c>
      <c r="R34" s="28"/>
    </row>
    <row r="35" spans="1:18" x14ac:dyDescent="0.2">
      <c r="A35" t="s">
        <v>146</v>
      </c>
      <c r="B35" t="s">
        <v>543</v>
      </c>
      <c r="C35">
        <v>8.27</v>
      </c>
      <c r="D35" t="s">
        <v>517</v>
      </c>
      <c r="E35" t="s">
        <v>351</v>
      </c>
      <c r="F35" s="28">
        <f ca="1">apuestas_abr24[[#This Row],[Apuesta Miniporra]]-$B$3</f>
        <v>-5.4</v>
      </c>
      <c r="G35" s="54">
        <f ca="1">ABS(apuestas_abr24[[#This Row],[desvio]])/$B$3</f>
        <v>0.39502560351133875</v>
      </c>
      <c r="H35" s="4">
        <f ca="1">_xlfn.RANK.EQ(apuestas_abr24[[#This Row],[desvio %]],apuestas_abr24[desvio %],1)</f>
        <v>3</v>
      </c>
      <c r="J35" t="s">
        <v>146</v>
      </c>
      <c r="K35" s="10">
        <f ca="1">INDEX(apuestas_abr24[orden],MATCH(resultados_abr[Apuesta MiniPorra],apuestas_abr24[Apuesta Miniporra],0))</f>
        <v>3</v>
      </c>
      <c r="L35" s="6" t="str">
        <f>apuestas_abr24[[#This Row],[Nombre]]</f>
        <v>Roberto Parro Cortés</v>
      </c>
      <c r="M35" s="14">
        <f>apuestas_abr24[[#This Row],[Apuesta Miniporra]]</f>
        <v>8.27</v>
      </c>
      <c r="N35" s="14">
        <f ca="1">INDEX(apuestas_abr24[desvio],MATCH(resultados_abr[[#This Row],[Apuesta MiniPorra]],apuestas_abr24[Apuesta Miniporra],0))</f>
        <v>-5.4</v>
      </c>
      <c r="O35" s="13">
        <f ca="1">INDEX(apuestas_abr24[desvio %],MATCH(resultados_abr[[#This Row],[Apuesta MiniPorra]],apuestas_abr24[Apuesta Miniporra],0))</f>
        <v>0.39502560351133875</v>
      </c>
      <c r="P35" s="4">
        <v>29</v>
      </c>
      <c r="Q35" s="4">
        <v>58.27</v>
      </c>
      <c r="R35" s="28"/>
    </row>
    <row r="36" spans="1:18" x14ac:dyDescent="0.2">
      <c r="K36" s="4"/>
      <c r="L36" s="4"/>
      <c r="M36" s="4"/>
      <c r="N36" s="4"/>
      <c r="O36" s="4"/>
      <c r="P36" s="4">
        <v>30</v>
      </c>
      <c r="Q36" s="4">
        <v>53.44</v>
      </c>
    </row>
    <row r="37" spans="1:18" x14ac:dyDescent="0.2">
      <c r="K37" s="4"/>
      <c r="L37" s="4"/>
      <c r="M37" s="4"/>
      <c r="N37" s="4"/>
      <c r="O37" s="4"/>
      <c r="P37" s="35"/>
      <c r="Q37" s="49"/>
    </row>
    <row r="38" spans="1:18" x14ac:dyDescent="0.2">
      <c r="K38" s="4"/>
      <c r="L38" s="4"/>
      <c r="M38" s="4"/>
      <c r="N38" s="4"/>
      <c r="O38" s="4"/>
      <c r="P38" s="35"/>
      <c r="Q38" s="49"/>
    </row>
    <row r="39" spans="1:18" x14ac:dyDescent="0.2">
      <c r="K39" s="4"/>
      <c r="L39" s="4"/>
      <c r="M39" s="4"/>
      <c r="N39" s="4"/>
      <c r="O39" s="4"/>
      <c r="P39" s="35"/>
      <c r="Q39" s="49"/>
    </row>
    <row r="40" spans="1:18" x14ac:dyDescent="0.2">
      <c r="K40" s="4"/>
      <c r="L40" s="4"/>
      <c r="M40" s="4"/>
      <c r="N40" s="4"/>
      <c r="O40" s="4"/>
      <c r="P40" s="35"/>
      <c r="Q40" s="49"/>
    </row>
    <row r="41" spans="1:18" x14ac:dyDescent="0.2">
      <c r="K41" s="4"/>
      <c r="L41" s="4"/>
      <c r="M41" s="4"/>
      <c r="N41" s="4"/>
      <c r="O41" s="4"/>
      <c r="P41" s="35"/>
      <c r="Q41" s="49"/>
    </row>
    <row r="42" spans="1:18" x14ac:dyDescent="0.2">
      <c r="P42" s="35"/>
      <c r="Q42" s="49"/>
    </row>
    <row r="43" spans="1:18" x14ac:dyDescent="0.2">
      <c r="P43" s="35"/>
      <c r="Q43" s="49"/>
    </row>
    <row r="44" spans="1:18" x14ac:dyDescent="0.2">
      <c r="M44" s="21"/>
      <c r="P44" s="35"/>
      <c r="Q44" s="49"/>
    </row>
    <row r="45" spans="1:18" x14ac:dyDescent="0.2">
      <c r="P45" s="35"/>
      <c r="Q45" s="49"/>
    </row>
    <row r="46" spans="1:18" x14ac:dyDescent="0.2">
      <c r="M46" s="21"/>
      <c r="P46" s="35"/>
      <c r="Q46" s="49"/>
    </row>
    <row r="47" spans="1:18" x14ac:dyDescent="0.2">
      <c r="M47" s="21"/>
      <c r="P47" s="35"/>
      <c r="Q47" s="49"/>
    </row>
    <row r="48" spans="1:18" x14ac:dyDescent="0.2">
      <c r="P48" s="35"/>
      <c r="Q48" s="49"/>
    </row>
    <row r="49" spans="16:17" x14ac:dyDescent="0.2">
      <c r="P49" s="35"/>
      <c r="Q49" s="49"/>
    </row>
    <row r="50" spans="16:17" x14ac:dyDescent="0.2">
      <c r="P50" s="35"/>
      <c r="Q50" s="49"/>
    </row>
    <row r="51" spans="16:17" x14ac:dyDescent="0.2">
      <c r="P51" s="35"/>
      <c r="Q51" s="49"/>
    </row>
    <row r="52" spans="16:17" x14ac:dyDescent="0.2">
      <c r="P52" s="35"/>
      <c r="Q52" s="49"/>
    </row>
    <row r="53" spans="16:17" x14ac:dyDescent="0.2">
      <c r="P53" s="35"/>
      <c r="Q53" s="49"/>
    </row>
    <row r="54" spans="16:17" x14ac:dyDescent="0.2">
      <c r="P54" s="35"/>
      <c r="Q54" s="49"/>
    </row>
    <row r="55" spans="16:17" x14ac:dyDescent="0.2">
      <c r="P55" s="35"/>
      <c r="Q55" s="49"/>
    </row>
    <row r="56" spans="16:17" x14ac:dyDescent="0.2">
      <c r="P56" s="35"/>
      <c r="Q56" s="49"/>
    </row>
    <row r="57" spans="16:17" x14ac:dyDescent="0.2">
      <c r="P57" s="35"/>
      <c r="Q57" s="49"/>
    </row>
    <row r="58" spans="16:17" x14ac:dyDescent="0.2">
      <c r="P58" s="35"/>
      <c r="Q58" s="49"/>
    </row>
    <row r="59" spans="16:17" x14ac:dyDescent="0.2">
      <c r="P59" s="35"/>
      <c r="Q59" s="49"/>
    </row>
    <row r="60" spans="16:17" x14ac:dyDescent="0.2">
      <c r="P60" s="35"/>
      <c r="Q60" s="49"/>
    </row>
    <row r="61" spans="16:17" x14ac:dyDescent="0.2">
      <c r="P61" s="35"/>
      <c r="Q61" s="49"/>
    </row>
    <row r="62" spans="16:17" x14ac:dyDescent="0.2">
      <c r="P62" s="35"/>
      <c r="Q62" s="49"/>
    </row>
    <row r="63" spans="16:17" x14ac:dyDescent="0.2">
      <c r="P63" s="35"/>
      <c r="Q63" s="49"/>
    </row>
    <row r="64" spans="16:17" x14ac:dyDescent="0.2">
      <c r="P64" s="35"/>
      <c r="Q64" s="49"/>
    </row>
    <row r="65" spans="16:17" x14ac:dyDescent="0.2">
      <c r="P65" s="35"/>
      <c r="Q65" s="49"/>
    </row>
    <row r="66" spans="16:17" x14ac:dyDescent="0.2">
      <c r="P66" s="35"/>
      <c r="Q66" s="49"/>
    </row>
    <row r="67" spans="16:17" x14ac:dyDescent="0.2">
      <c r="P67" s="35"/>
      <c r="Q67" s="49"/>
    </row>
    <row r="68" spans="16:17" x14ac:dyDescent="0.2">
      <c r="P68" s="35"/>
      <c r="Q68" s="49"/>
    </row>
    <row r="69" spans="16:17" x14ac:dyDescent="0.2">
      <c r="P69" s="35"/>
      <c r="Q69" s="49"/>
    </row>
    <row r="70" spans="16:17" x14ac:dyDescent="0.2">
      <c r="P70" s="35"/>
      <c r="Q70" s="49"/>
    </row>
    <row r="71" spans="16:17" x14ac:dyDescent="0.2">
      <c r="P71" s="35"/>
      <c r="Q71" s="49"/>
    </row>
    <row r="72" spans="16:17" x14ac:dyDescent="0.2">
      <c r="P72" s="35"/>
      <c r="Q72" s="49"/>
    </row>
    <row r="73" spans="16:17" x14ac:dyDescent="0.2">
      <c r="P73" s="35"/>
      <c r="Q73" s="49"/>
    </row>
  </sheetData>
  <mergeCells count="11">
    <mergeCell ref="G3:H3"/>
    <mergeCell ref="M3:M5"/>
    <mergeCell ref="N3:O5"/>
    <mergeCell ref="P3:Q5"/>
    <mergeCell ref="S20:U22"/>
    <mergeCell ref="K1:L5"/>
    <mergeCell ref="M1:M2"/>
    <mergeCell ref="N1:O2"/>
    <mergeCell ref="P1:Q2"/>
    <mergeCell ref="R1:T5"/>
    <mergeCell ref="U1:U5"/>
  </mergeCells>
  <phoneticPr fontId="9" type="noConversion"/>
  <conditionalFormatting sqref="O7:O35">
    <cfRule type="dataBar" priority="1">
      <dataBar>
        <cfvo type="min"/>
        <cfvo type="max"/>
        <color rgb="FFFF555A"/>
      </dataBar>
      <extLst>
        <ext xmlns:x14="http://schemas.microsoft.com/office/spreadsheetml/2009/9/main" uri="{B025F937-C7B1-47D3-B67F-A62EFF666E3E}">
          <x14:id>{09F3390A-659B-48C1-9DA5-2594A0006E4E}</x14:id>
        </ext>
      </extLst>
    </cfRule>
  </conditionalFormatting>
  <conditionalFormatting sqref="K7:O35">
    <cfRule type="expression" dxfId="30" priority="17">
      <formula>$K7=3</formula>
    </cfRule>
    <cfRule type="expression" dxfId="29" priority="18">
      <formula>$K7=2</formula>
    </cfRule>
    <cfRule type="expression" dxfId="28" priority="19">
      <formula>$K7=1</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577" r:id="rId3" name="Button 1">
              <controlPr defaultSize="0" print="0" autoFill="0" autoPict="0" macro="[0]!actualizar_abril">
                <anchor moveWithCells="1" sizeWithCells="1">
                  <from>
                    <xdr:col>3</xdr:col>
                    <xdr:colOff>19050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24578" r:id="rId4" name="Spinner 2">
              <controlPr defaultSize="0" autoPict="0" macro="[0]!Controldenúmero2_Cambiar">
                <anchor moveWithCells="1" sizeWithCells="1">
                  <from>
                    <xdr:col>4</xdr:col>
                    <xdr:colOff>885825</xdr:colOff>
                    <xdr:row>0</xdr:row>
                    <xdr:rowOff>9525</xdr:rowOff>
                  </from>
                  <to>
                    <xdr:col>6</xdr:col>
                    <xdr:colOff>0</xdr:colOff>
                    <xdr:row>3</xdr:row>
                    <xdr:rowOff>0</xdr:rowOff>
                  </to>
                </anchor>
              </controlPr>
            </control>
          </mc:Choice>
        </mc:AlternateContent>
        <mc:AlternateContent xmlns:mc="http://schemas.openxmlformats.org/markup-compatibility/2006">
          <mc:Choice Requires="x14">
            <control shapeId="24579" r:id="rId5" name="Button 3">
              <controlPr defaultSize="0" print="0" autoFill="0" autoPict="0" macro="[0]!actualizar_omie">
                <anchor moveWithCells="1" sizeWithCells="1">
                  <from>
                    <xdr:col>2</xdr:col>
                    <xdr:colOff>628650</xdr:colOff>
                    <xdr:row>3</xdr:row>
                    <xdr:rowOff>0</xdr:rowOff>
                  </from>
                  <to>
                    <xdr:col>3</xdr:col>
                    <xdr:colOff>1381125</xdr:colOff>
                    <xdr:row>5</xdr:row>
                    <xdr:rowOff>0</xdr:rowOff>
                  </to>
                </anchor>
              </controlPr>
            </control>
          </mc:Choice>
        </mc:AlternateContent>
        <mc:AlternateContent xmlns:mc="http://schemas.openxmlformats.org/markup-compatibility/2006">
          <mc:Choice Requires="x14">
            <control shapeId="24580" r:id="rId6" name="Button 4">
              <controlPr defaultSize="0" print="0" autoFill="0" autoPict="0" macro="[0]!actualizar_externo">
                <anchor moveWithCells="1" sizeWithCells="1">
                  <from>
                    <xdr:col>3</xdr:col>
                    <xdr:colOff>1400175</xdr:colOff>
                    <xdr:row>3</xdr:row>
                    <xdr:rowOff>0</xdr:rowOff>
                  </from>
                  <to>
                    <xdr:col>6</xdr:col>
                    <xdr:colOff>0</xdr:colOff>
                    <xdr:row>5</xdr:row>
                    <xdr:rowOff>0</xdr:rowOff>
                  </to>
                </anchor>
              </controlPr>
            </control>
          </mc:Choice>
        </mc:AlternateContent>
      </controls>
    </mc:Choice>
  </mc:AlternateContent>
  <tableParts count="3">
    <tablePart r:id="rId7"/>
    <tablePart r:id="rId8"/>
    <tablePart r:id="rId9"/>
  </tableParts>
  <extLst>
    <ext xmlns:x14="http://schemas.microsoft.com/office/spreadsheetml/2009/9/main" uri="{78C0D931-6437-407d-A8EE-F0AAD7539E65}">
      <x14:conditionalFormattings>
        <x14:conditionalFormatting xmlns:xm="http://schemas.microsoft.com/office/excel/2006/main">
          <x14:cfRule type="dataBar" id="{09F3390A-659B-48C1-9DA5-2594A0006E4E}">
            <x14:dataBar minLength="0" maxLength="100" border="1" negativeBarBorderColorSameAsPositive="0">
              <x14:cfvo type="autoMin"/>
              <x14:cfvo type="autoMax"/>
              <x14:borderColor rgb="FFFF555A"/>
              <x14:negativeFillColor rgb="FFFF0000"/>
              <x14:negativeBorderColor rgb="FFFF0000"/>
              <x14:axisColor rgb="FF000000"/>
            </x14:dataBar>
          </x14:cfRule>
          <xm:sqref>O7:O35</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175940-E5DF-4169-A2B7-E71C1E762581}">
  <sheetPr codeName="Hoja15">
    <tabColor rgb="FFC00000"/>
  </sheetPr>
  <dimension ref="A1:U72"/>
  <sheetViews>
    <sheetView showGridLines="0" zoomScale="130" zoomScaleNormal="130" workbookViewId="0">
      <selection activeCell="B40" sqref="B40"/>
    </sheetView>
  </sheetViews>
  <sheetFormatPr baseColWidth="10" defaultRowHeight="12" x14ac:dyDescent="0.2"/>
  <cols>
    <col min="1" max="1" width="12.42578125" customWidth="1"/>
    <col min="2" max="2" width="24.7109375" customWidth="1"/>
    <col min="3" max="3" width="10.85546875" style="4" bestFit="1" customWidth="1"/>
    <col min="4" max="4" width="19.42578125" customWidth="1"/>
    <col min="5" max="5" width="6.5703125" customWidth="1"/>
    <col min="6" max="6" width="10.5703125" bestFit="1" customWidth="1"/>
    <col min="7" max="7" width="10.7109375" customWidth="1"/>
    <col min="8" max="8" width="10" bestFit="1" customWidth="1"/>
    <col min="9" max="9" width="2.42578125" customWidth="1"/>
    <col min="10" max="10" width="6.85546875" customWidth="1"/>
    <col min="11" max="11" width="8.42578125" bestFit="1" customWidth="1"/>
    <col min="12" max="12" width="29" bestFit="1" customWidth="1"/>
    <col min="16" max="16" width="8.7109375" style="4" customWidth="1"/>
    <col min="17" max="17" width="8.5703125" style="4" customWidth="1"/>
    <col min="20" max="20" width="12" customWidth="1"/>
    <col min="21" max="21" width="33.5703125" customWidth="1"/>
  </cols>
  <sheetData>
    <row r="1" spans="1:21" ht="12" customHeight="1" x14ac:dyDescent="0.2">
      <c r="A1" t="s">
        <v>228</v>
      </c>
      <c r="B1" s="23">
        <f>COUNTA(apuestas_may24[Mes de apuesta])</f>
        <v>43</v>
      </c>
      <c r="G1" s="15" t="s">
        <v>236</v>
      </c>
      <c r="H1" s="23">
        <v>31</v>
      </c>
      <c r="I1" s="29"/>
      <c r="K1" s="118" t="s">
        <v>546</v>
      </c>
      <c r="L1" s="119"/>
      <c r="M1" s="107" t="s">
        <v>3</v>
      </c>
      <c r="N1" s="113" t="s">
        <v>656</v>
      </c>
      <c r="O1" s="114"/>
      <c r="P1" s="111" t="s">
        <v>4</v>
      </c>
      <c r="Q1" s="112"/>
      <c r="R1" s="124" t="s">
        <v>657</v>
      </c>
      <c r="S1" s="125"/>
      <c r="T1" s="126"/>
      <c r="U1" s="98"/>
    </row>
    <row r="2" spans="1:21" ht="12" customHeight="1" x14ac:dyDescent="0.2">
      <c r="A2" t="s">
        <v>3</v>
      </c>
      <c r="B2" s="23" t="str">
        <f>A7</f>
        <v>May 2024</v>
      </c>
      <c r="C2" s="4" t="s">
        <v>243</v>
      </c>
      <c r="G2" s="15" t="s">
        <v>253</v>
      </c>
      <c r="H2" s="24">
        <f ca="1">TODAY()</f>
        <v>45453</v>
      </c>
      <c r="I2" s="29"/>
      <c r="K2" s="120"/>
      <c r="L2" s="121"/>
      <c r="M2" s="108"/>
      <c r="N2" s="115"/>
      <c r="O2" s="116"/>
      <c r="P2" s="111"/>
      <c r="Q2" s="112"/>
      <c r="R2" s="127"/>
      <c r="S2" s="128"/>
      <c r="T2" s="129"/>
      <c r="U2" s="98"/>
    </row>
    <row r="3" spans="1:21" ht="12" customHeight="1" x14ac:dyDescent="0.2">
      <c r="A3" t="s">
        <v>229</v>
      </c>
      <c r="B3" s="44">
        <f ca="1">IF(C3="",ROUND(AVERAGE(omie!Q5:OFFSET(omie!Q5,MATCH(B4,omie_mayo[fecha],0)-1,0)),2),C3)</f>
        <v>30.4</v>
      </c>
      <c r="C3" s="65"/>
      <c r="G3" s="97" t="s">
        <v>248</v>
      </c>
      <c r="H3" s="97"/>
      <c r="I3" s="29"/>
      <c r="K3" s="120"/>
      <c r="L3" s="121"/>
      <c r="M3" s="109" t="s">
        <v>13</v>
      </c>
      <c r="N3" s="117">
        <f>H1</f>
        <v>31</v>
      </c>
      <c r="O3" s="117"/>
      <c r="P3" s="110">
        <f ca="1">B3</f>
        <v>30.4</v>
      </c>
      <c r="Q3" s="110"/>
      <c r="R3" s="127"/>
      <c r="S3" s="128"/>
      <c r="T3" s="129"/>
      <c r="U3" s="98"/>
    </row>
    <row r="4" spans="1:21" ht="12" customHeight="1" x14ac:dyDescent="0.2">
      <c r="A4" t="s">
        <v>6</v>
      </c>
      <c r="B4" s="3">
        <f>DATE(2024,5,H1)</f>
        <v>45443</v>
      </c>
      <c r="G4" t="s">
        <v>247</v>
      </c>
      <c r="H4" s="67">
        <f>[1]omie_dinamic_dia!$G$2</f>
        <v>10</v>
      </c>
      <c r="I4" s="29"/>
      <c r="K4" s="120"/>
      <c r="L4" s="121"/>
      <c r="M4" s="109"/>
      <c r="N4" s="117"/>
      <c r="O4" s="117"/>
      <c r="P4" s="110"/>
      <c r="Q4" s="110"/>
      <c r="R4" s="127"/>
      <c r="S4" s="128"/>
      <c r="T4" s="129"/>
      <c r="U4" s="98"/>
    </row>
    <row r="5" spans="1:21" ht="12" customHeight="1" x14ac:dyDescent="0.2">
      <c r="A5" t="s">
        <v>15</v>
      </c>
      <c r="B5" s="3">
        <f>MAX(omie_mayo[fecha])</f>
        <v>45443</v>
      </c>
      <c r="I5" s="29"/>
      <c r="K5" s="122"/>
      <c r="L5" s="123"/>
      <c r="M5" s="109"/>
      <c r="N5" s="117"/>
      <c r="O5" s="117"/>
      <c r="P5" s="110"/>
      <c r="Q5" s="110"/>
      <c r="R5" s="130"/>
      <c r="S5" s="131"/>
      <c r="T5" s="132"/>
      <c r="U5" s="98"/>
    </row>
    <row r="6" spans="1:21" s="1" customFormat="1" ht="24.75" thickBot="1" x14ac:dyDescent="0.25">
      <c r="A6" s="1" t="s">
        <v>18</v>
      </c>
      <c r="B6" s="2" t="s">
        <v>233</v>
      </c>
      <c r="C6" s="64" t="s">
        <v>234</v>
      </c>
      <c r="D6" t="s">
        <v>20</v>
      </c>
      <c r="E6" t="s">
        <v>214</v>
      </c>
      <c r="F6" s="34" t="s">
        <v>230</v>
      </c>
      <c r="G6" s="34" t="s">
        <v>231</v>
      </c>
      <c r="H6" s="34" t="s">
        <v>232</v>
      </c>
      <c r="J6" s="52" t="s">
        <v>3</v>
      </c>
      <c r="K6" s="11" t="s">
        <v>12</v>
      </c>
      <c r="L6" s="12" t="s">
        <v>0</v>
      </c>
      <c r="M6" s="7" t="s">
        <v>1</v>
      </c>
      <c r="N6" s="8" t="s">
        <v>5</v>
      </c>
      <c r="O6" s="8" t="s">
        <v>7</v>
      </c>
      <c r="P6" s="2" t="s">
        <v>244</v>
      </c>
      <c r="Q6" s="2" t="s">
        <v>245</v>
      </c>
    </row>
    <row r="7" spans="1:21" ht="12.75" thickTop="1" x14ac:dyDescent="0.2">
      <c r="A7" t="s">
        <v>563</v>
      </c>
      <c r="B7" t="s">
        <v>412</v>
      </c>
      <c r="C7" s="28">
        <v>48.6</v>
      </c>
      <c r="D7" t="s">
        <v>612</v>
      </c>
      <c r="E7" t="s">
        <v>613</v>
      </c>
      <c r="F7" s="28">
        <f ca="1">apuestas_may24[[#This Row],[Apuesta Miniporra]]-$B$3</f>
        <v>18.200000000000003</v>
      </c>
      <c r="G7" s="68">
        <f ca="1">ABS(apuestas_may24[[#This Row],[desvio]])/$B$3</f>
        <v>0.59868421052631593</v>
      </c>
      <c r="H7" s="4">
        <f ca="1">_xlfn.RANK.EQ(apuestas_may24[[#This Row],[desvio %]],apuestas_may24[desvio %],1)</f>
        <v>40</v>
      </c>
      <c r="J7" s="66" t="s">
        <v>563</v>
      </c>
      <c r="K7" s="10">
        <f ca="1">INDEX(apuestas_may24[orden],MATCH(resultados_may[Apuesta MiniPorra],apuestas_may24[Apuesta Miniporra],0))</f>
        <v>40</v>
      </c>
      <c r="L7" s="6" t="str">
        <f>apuestas_may24[[#This Row],[Nombre]]</f>
        <v>Jose Manuel Otero López</v>
      </c>
      <c r="M7" s="14">
        <f>apuestas_may24[[#This Row],[Apuesta Miniporra]]</f>
        <v>48.6</v>
      </c>
      <c r="N7" s="14">
        <f ca="1">INDEX(apuestas_may24[desvio],MATCH(resultados_may[[#This Row],[Apuesta MiniPorra]],apuestas_may24[Apuesta Miniporra],0))</f>
        <v>18.200000000000003</v>
      </c>
      <c r="O7" s="13">
        <f ca="1">INDEX(apuestas_may24[desvio %],MATCH(resultados_may[[#This Row],[Apuesta MiniPorra]],apuestas_may24[Apuesta Miniporra],0))</f>
        <v>0.59868421052631593</v>
      </c>
      <c r="P7" s="42">
        <v>1</v>
      </c>
      <c r="Q7" s="28">
        <v>12.53</v>
      </c>
    </row>
    <row r="8" spans="1:21" x14ac:dyDescent="0.2">
      <c r="A8" t="s">
        <v>563</v>
      </c>
      <c r="B8" t="s">
        <v>215</v>
      </c>
      <c r="C8" s="28">
        <v>41.1</v>
      </c>
      <c r="D8" t="s">
        <v>118</v>
      </c>
      <c r="E8" t="s">
        <v>103</v>
      </c>
      <c r="F8" s="28">
        <f ca="1">apuestas_may24[[#This Row],[Apuesta Miniporra]]-$B$3</f>
        <v>10.700000000000003</v>
      </c>
      <c r="G8" s="68">
        <f ca="1">ABS(apuestas_may24[[#This Row],[desvio]])/$B$3</f>
        <v>0.35197368421052644</v>
      </c>
      <c r="H8" s="4">
        <f ca="1">_xlfn.RANK.EQ(apuestas_may24[[#This Row],[desvio %]],apuestas_may24[desvio %],1)</f>
        <v>35</v>
      </c>
      <c r="J8" s="66" t="s">
        <v>563</v>
      </c>
      <c r="K8" s="10">
        <f ca="1">INDEX(apuestas_may24[orden],MATCH(resultados_may[Apuesta MiniPorra],apuestas_may24[Apuesta Miniporra],0))</f>
        <v>35</v>
      </c>
      <c r="L8" s="6" t="str">
        <f>apuestas_may24[[#This Row],[Nombre]]</f>
        <v>Carles Estruch Puig</v>
      </c>
      <c r="M8" s="14">
        <f>apuestas_may24[[#This Row],[Apuesta Miniporra]]</f>
        <v>41.1</v>
      </c>
      <c r="N8" s="14">
        <f ca="1">INDEX(apuestas_may24[desvio],MATCH(resultados_may[[#This Row],[Apuesta MiniPorra]],apuestas_may24[Apuesta Miniporra],0))</f>
        <v>10.700000000000003</v>
      </c>
      <c r="O8" s="13">
        <f ca="1">INDEX(apuestas_may24[desvio %],MATCH(resultados_may[[#This Row],[Apuesta MiniPorra]],apuestas_may24[Apuesta Miniporra],0))</f>
        <v>0.35197368421052644</v>
      </c>
      <c r="P8" s="42">
        <v>2</v>
      </c>
      <c r="Q8" s="28">
        <v>15.6</v>
      </c>
    </row>
    <row r="9" spans="1:21" x14ac:dyDescent="0.2">
      <c r="A9" t="s">
        <v>563</v>
      </c>
      <c r="B9" t="s">
        <v>647</v>
      </c>
      <c r="C9" s="28">
        <v>38.14</v>
      </c>
      <c r="D9" t="s">
        <v>580</v>
      </c>
      <c r="E9" t="s">
        <v>581</v>
      </c>
      <c r="F9" s="28">
        <f ca="1">apuestas_may24[[#This Row],[Apuesta Miniporra]]-$B$3</f>
        <v>7.740000000000002</v>
      </c>
      <c r="G9" s="68">
        <f ca="1">ABS(apuestas_may24[[#This Row],[desvio]])/$B$3</f>
        <v>0.25460526315789483</v>
      </c>
      <c r="H9" s="4">
        <f ca="1">_xlfn.RANK.EQ(apuestas_may24[[#This Row],[desvio %]],apuestas_may24[desvio %],1)</f>
        <v>32</v>
      </c>
      <c r="J9" s="66" t="s">
        <v>563</v>
      </c>
      <c r="K9" s="10">
        <f ca="1">INDEX(apuestas_may24[orden],MATCH(resultados_may[Apuesta MiniPorra],apuestas_may24[Apuesta Miniporra],0))</f>
        <v>32</v>
      </c>
      <c r="L9" s="6" t="str">
        <f>apuestas_may24[[#This Row],[Nombre]]</f>
        <v>Jose Antonio Quidiello Antuña</v>
      </c>
      <c r="M9" s="14">
        <f>apuestas_may24[[#This Row],[Apuesta Miniporra]]</f>
        <v>38.14</v>
      </c>
      <c r="N9" s="14">
        <f ca="1">INDEX(apuestas_may24[desvio],MATCH(resultados_may[[#This Row],[Apuesta MiniPorra]],apuestas_may24[Apuesta Miniporra],0))</f>
        <v>7.740000000000002</v>
      </c>
      <c r="O9" s="13">
        <f ca="1">INDEX(apuestas_may24[desvio %],MATCH(resultados_may[[#This Row],[Apuesta MiniPorra]],apuestas_may24[Apuesta Miniporra],0))</f>
        <v>0.25460526315789483</v>
      </c>
      <c r="P9" s="42">
        <v>3</v>
      </c>
      <c r="Q9" s="28">
        <v>26.11</v>
      </c>
      <c r="R9" s="28"/>
    </row>
    <row r="10" spans="1:21" x14ac:dyDescent="0.2">
      <c r="A10" t="s">
        <v>563</v>
      </c>
      <c r="B10" t="s">
        <v>400</v>
      </c>
      <c r="C10" s="28">
        <v>37.799999999999997</v>
      </c>
      <c r="D10" t="s">
        <v>118</v>
      </c>
      <c r="E10" t="s">
        <v>194</v>
      </c>
      <c r="F10" s="28">
        <f ca="1">apuestas_may24[[#This Row],[Apuesta Miniporra]]-$B$3</f>
        <v>7.3999999999999986</v>
      </c>
      <c r="G10" s="68">
        <f ca="1">ABS(apuestas_may24[[#This Row],[desvio]])/$B$3</f>
        <v>0.2434210526315789</v>
      </c>
      <c r="H10" s="4">
        <f ca="1">_xlfn.RANK.EQ(apuestas_may24[[#This Row],[desvio %]],apuestas_may24[desvio %],1)</f>
        <v>31</v>
      </c>
      <c r="J10" s="66" t="s">
        <v>563</v>
      </c>
      <c r="K10" s="10">
        <f ca="1">INDEX(apuestas_may24[orden],MATCH(resultados_may[Apuesta MiniPorra],apuestas_may24[Apuesta Miniporra],0))</f>
        <v>31</v>
      </c>
      <c r="L10" s="6" t="str">
        <f>apuestas_may24[[#This Row],[Nombre]]</f>
        <v>Manuel Nogales Guillén</v>
      </c>
      <c r="M10" s="14">
        <f>apuestas_may24[[#This Row],[Apuesta Miniporra]]</f>
        <v>37.799999999999997</v>
      </c>
      <c r="N10" s="14">
        <f ca="1">INDEX(apuestas_may24[desvio],MATCH(resultados_may[[#This Row],[Apuesta MiniPorra]],apuestas_may24[Apuesta Miniporra],0))</f>
        <v>7.3999999999999986</v>
      </c>
      <c r="O10" s="13">
        <f ca="1">INDEX(apuestas_may24[desvio %],MATCH(resultados_may[[#This Row],[Apuesta MiniPorra]],apuestas_may24[Apuesta Miniporra],0))</f>
        <v>0.2434210526315789</v>
      </c>
      <c r="P10" s="42">
        <v>4</v>
      </c>
      <c r="Q10" s="28">
        <v>14.8</v>
      </c>
      <c r="R10" s="28"/>
    </row>
    <row r="11" spans="1:21" x14ac:dyDescent="0.2">
      <c r="A11" t="s">
        <v>563</v>
      </c>
      <c r="B11" t="s">
        <v>652</v>
      </c>
      <c r="C11" s="28">
        <v>35.6</v>
      </c>
      <c r="D11" t="s">
        <v>118</v>
      </c>
      <c r="E11" t="s">
        <v>627</v>
      </c>
      <c r="F11" s="28">
        <f ca="1">apuestas_may24[[#This Row],[Apuesta Miniporra]]-$B$3</f>
        <v>5.2000000000000028</v>
      </c>
      <c r="G11" s="68">
        <f ca="1">ABS(apuestas_may24[[#This Row],[desvio]])/$B$3</f>
        <v>0.17105263157894746</v>
      </c>
      <c r="H11" s="4">
        <f ca="1">_xlfn.RANK.EQ(apuestas_may24[[#This Row],[desvio %]],apuestas_may24[desvio %],1)</f>
        <v>26</v>
      </c>
      <c r="J11" s="66" t="s">
        <v>563</v>
      </c>
      <c r="K11" s="10">
        <f ca="1">INDEX(apuestas_may24[orden],MATCH(resultados_may[Apuesta MiniPorra],apuestas_may24[Apuesta Miniporra],0))</f>
        <v>26</v>
      </c>
      <c r="L11" s="6" t="str">
        <f>apuestas_may24[[#This Row],[Nombre]]</f>
        <v>Iñaki Moriana García</v>
      </c>
      <c r="M11" s="14">
        <f>apuestas_may24[[#This Row],[Apuesta Miniporra]]</f>
        <v>35.6</v>
      </c>
      <c r="N11" s="14">
        <f ca="1">INDEX(apuestas_may24[desvio],MATCH(resultados_may[[#This Row],[Apuesta MiniPorra]],apuestas_may24[Apuesta Miniporra],0))</f>
        <v>5.2000000000000028</v>
      </c>
      <c r="O11" s="13">
        <f ca="1">INDEX(apuestas_may24[desvio %],MATCH(resultados_may[[#This Row],[Apuesta MiniPorra]],apuestas_may24[Apuesta Miniporra],0))</f>
        <v>0.17105263157894746</v>
      </c>
      <c r="P11" s="42">
        <v>5</v>
      </c>
      <c r="Q11" s="28">
        <v>17.53</v>
      </c>
      <c r="R11" s="28"/>
    </row>
    <row r="12" spans="1:21" x14ac:dyDescent="0.2">
      <c r="A12" t="s">
        <v>563</v>
      </c>
      <c r="B12" t="s">
        <v>337</v>
      </c>
      <c r="C12" s="28">
        <v>35.53</v>
      </c>
      <c r="D12" t="s">
        <v>583</v>
      </c>
      <c r="E12" t="s">
        <v>309</v>
      </c>
      <c r="F12" s="28">
        <f ca="1">apuestas_may24[[#This Row],[Apuesta Miniporra]]-$B$3</f>
        <v>5.1300000000000026</v>
      </c>
      <c r="G12" s="68">
        <f ca="1">ABS(apuestas_may24[[#This Row],[desvio]])/$B$3</f>
        <v>0.16875000000000009</v>
      </c>
      <c r="H12" s="4">
        <f ca="1">_xlfn.RANK.EQ(apuestas_may24[[#This Row],[desvio %]],apuestas_may24[desvio %],1)</f>
        <v>25</v>
      </c>
      <c r="J12" s="66" t="s">
        <v>563</v>
      </c>
      <c r="K12" s="10">
        <f ca="1">INDEX(apuestas_may24[orden],MATCH(resultados_may[Apuesta MiniPorra],apuestas_may24[Apuesta Miniporra],0))</f>
        <v>25</v>
      </c>
      <c r="L12" s="6" t="str">
        <f>apuestas_may24[[#This Row],[Nombre]]</f>
        <v>Francisco Valverde Sánchez</v>
      </c>
      <c r="M12" s="14">
        <f>apuestas_may24[[#This Row],[Apuesta Miniporra]]</f>
        <v>35.53</v>
      </c>
      <c r="N12" s="14">
        <f ca="1">INDEX(apuestas_may24[desvio],MATCH(resultados_may[[#This Row],[Apuesta MiniPorra]],apuestas_may24[Apuesta Miniporra],0))</f>
        <v>5.1300000000000026</v>
      </c>
      <c r="O12" s="13">
        <f ca="1">INDEX(apuestas_may24[desvio %],MATCH(resultados_may[[#This Row],[Apuesta MiniPorra]],apuestas_may24[Apuesta Miniporra],0))</f>
        <v>0.16875000000000009</v>
      </c>
      <c r="P12" s="42">
        <v>6</v>
      </c>
      <c r="Q12" s="28">
        <v>47.8</v>
      </c>
      <c r="R12" s="28"/>
    </row>
    <row r="13" spans="1:21" x14ac:dyDescent="0.2">
      <c r="A13" t="s">
        <v>563</v>
      </c>
      <c r="B13" t="s">
        <v>541</v>
      </c>
      <c r="C13" s="28">
        <v>35.33</v>
      </c>
      <c r="D13" t="s">
        <v>574</v>
      </c>
      <c r="E13" t="s">
        <v>525</v>
      </c>
      <c r="F13" s="28">
        <f ca="1">apuestas_may24[[#This Row],[Apuesta Miniporra]]-$B$3</f>
        <v>4.93</v>
      </c>
      <c r="G13" s="68">
        <f ca="1">ABS(apuestas_may24[[#This Row],[desvio]])/$B$3</f>
        <v>0.16217105263157894</v>
      </c>
      <c r="H13" s="4">
        <f ca="1">_xlfn.RANK.EQ(apuestas_may24[[#This Row],[desvio %]],apuestas_may24[desvio %],1)</f>
        <v>24</v>
      </c>
      <c r="J13" s="66" t="s">
        <v>563</v>
      </c>
      <c r="K13" s="10">
        <f ca="1">INDEX(apuestas_may24[orden],MATCH(resultados_may[Apuesta MiniPorra],apuestas_may24[Apuesta Miniporra],0))</f>
        <v>24</v>
      </c>
      <c r="L13" s="6" t="str">
        <f>apuestas_may24[[#This Row],[Nombre]]</f>
        <v>Daniel Reganon</v>
      </c>
      <c r="M13" s="14">
        <f>apuestas_may24[[#This Row],[Apuesta Miniporra]]</f>
        <v>35.33</v>
      </c>
      <c r="N13" s="14">
        <f ca="1">INDEX(apuestas_may24[desvio],MATCH(resultados_may[[#This Row],[Apuesta MiniPorra]],apuestas_may24[Apuesta Miniporra],0))</f>
        <v>4.93</v>
      </c>
      <c r="O13" s="13">
        <f ca="1">INDEX(apuestas_may24[desvio %],MATCH(resultados_may[[#This Row],[Apuesta MiniPorra]],apuestas_may24[Apuesta Miniporra],0))</f>
        <v>0.16217105263157894</v>
      </c>
      <c r="P13" s="42">
        <v>7</v>
      </c>
      <c r="Q13" s="28">
        <v>42.04</v>
      </c>
      <c r="R13" s="28"/>
    </row>
    <row r="14" spans="1:21" x14ac:dyDescent="0.2">
      <c r="A14" t="s">
        <v>563</v>
      </c>
      <c r="B14" t="s">
        <v>399</v>
      </c>
      <c r="C14" s="28">
        <v>35.229999999999997</v>
      </c>
      <c r="D14" t="s">
        <v>118</v>
      </c>
      <c r="E14" t="s">
        <v>599</v>
      </c>
      <c r="F14" s="28">
        <f ca="1">apuestas_may24[[#This Row],[Apuesta Miniporra]]-$B$3</f>
        <v>4.8299999999999983</v>
      </c>
      <c r="G14" s="68">
        <f ca="1">ABS(apuestas_may24[[#This Row],[desvio]])/$B$3</f>
        <v>0.15888157894736837</v>
      </c>
      <c r="H14" s="4">
        <f ca="1">_xlfn.RANK.EQ(apuestas_may24[[#This Row],[desvio %]],apuestas_may24[desvio %],1)</f>
        <v>23</v>
      </c>
      <c r="J14" s="66" t="s">
        <v>563</v>
      </c>
      <c r="K14" s="10">
        <f ca="1">INDEX(apuestas_may24[orden],MATCH(resultados_may[Apuesta MiniPorra],apuestas_may24[Apuesta Miniporra],0))</f>
        <v>23</v>
      </c>
      <c r="L14" s="6" t="str">
        <f>apuestas_may24[[#This Row],[Nombre]]</f>
        <v>Sergio Lopez Oliver</v>
      </c>
      <c r="M14" s="14">
        <f>apuestas_may24[[#This Row],[Apuesta Miniporra]]</f>
        <v>35.229999999999997</v>
      </c>
      <c r="N14" s="14">
        <f ca="1">INDEX(apuestas_may24[desvio],MATCH(resultados_may[[#This Row],[Apuesta MiniPorra]],apuestas_may24[Apuesta Miniporra],0))</f>
        <v>4.8299999999999983</v>
      </c>
      <c r="O14" s="13">
        <f ca="1">INDEX(apuestas_may24[desvio %],MATCH(resultados_may[[#This Row],[Apuesta MiniPorra]],apuestas_may24[Apuesta Miniporra],0))</f>
        <v>0.15888157894736837</v>
      </c>
      <c r="P14" s="42">
        <v>8</v>
      </c>
      <c r="Q14" s="28">
        <v>21.24</v>
      </c>
      <c r="R14" s="28"/>
    </row>
    <row r="15" spans="1:21" x14ac:dyDescent="0.2">
      <c r="A15" t="s">
        <v>563</v>
      </c>
      <c r="B15" t="s">
        <v>474</v>
      </c>
      <c r="C15" s="28">
        <v>35.1</v>
      </c>
      <c r="D15" t="s">
        <v>573</v>
      </c>
      <c r="E15" t="s">
        <v>535</v>
      </c>
      <c r="F15" s="28">
        <f ca="1">apuestas_may24[[#This Row],[Apuesta Miniporra]]-$B$3</f>
        <v>4.7000000000000028</v>
      </c>
      <c r="G15" s="68">
        <f ca="1">ABS(apuestas_may24[[#This Row],[desvio]])/$B$3</f>
        <v>0.15460526315789483</v>
      </c>
      <c r="H15" s="4">
        <f ca="1">_xlfn.RANK.EQ(apuestas_may24[[#This Row],[desvio %]],apuestas_may24[desvio %],1)</f>
        <v>22</v>
      </c>
      <c r="J15" s="66" t="s">
        <v>563</v>
      </c>
      <c r="K15" s="10">
        <f ca="1">INDEX(apuestas_may24[orden],MATCH(resultados_may[Apuesta MiniPorra],apuestas_may24[Apuesta Miniporra],0))</f>
        <v>22</v>
      </c>
      <c r="L15" s="6" t="str">
        <f>apuestas_may24[[#This Row],[Nombre]]</f>
        <v>Javier Colón Cortegoso</v>
      </c>
      <c r="M15" s="14">
        <f>apuestas_may24[[#This Row],[Apuesta Miniporra]]</f>
        <v>35.1</v>
      </c>
      <c r="N15" s="14">
        <f ca="1">INDEX(apuestas_may24[desvio],MATCH(resultados_may[[#This Row],[Apuesta MiniPorra]],apuestas_may24[Apuesta Miniporra],0))</f>
        <v>4.7000000000000028</v>
      </c>
      <c r="O15" s="13">
        <f ca="1">INDEX(apuestas_may24[desvio %],MATCH(resultados_may[[#This Row],[Apuesta MiniPorra]],apuestas_may24[Apuesta Miniporra],0))</f>
        <v>0.15460526315789483</v>
      </c>
      <c r="P15" s="42">
        <v>9</v>
      </c>
      <c r="Q15" s="28">
        <v>33.54</v>
      </c>
      <c r="R15" s="28"/>
    </row>
    <row r="16" spans="1:21" x14ac:dyDescent="0.2">
      <c r="A16" t="s">
        <v>563</v>
      </c>
      <c r="B16" t="s">
        <v>9</v>
      </c>
      <c r="C16" s="28">
        <v>35</v>
      </c>
      <c r="D16" t="s">
        <v>569</v>
      </c>
      <c r="E16" t="s">
        <v>561</v>
      </c>
      <c r="F16" s="28">
        <f ca="1">apuestas_may24[[#This Row],[Apuesta Miniporra]]-$B$3</f>
        <v>4.6000000000000014</v>
      </c>
      <c r="G16" s="68">
        <f ca="1">ABS(apuestas_may24[[#This Row],[desvio]])/$B$3</f>
        <v>0.15131578947368426</v>
      </c>
      <c r="H16" s="4">
        <f ca="1">_xlfn.RANK.EQ(apuestas_may24[[#This Row],[desvio %]],apuestas_may24[desvio %],1)</f>
        <v>21</v>
      </c>
      <c r="J16" s="66" t="s">
        <v>563</v>
      </c>
      <c r="K16" s="10">
        <f ca="1">INDEX(apuestas_may24[orden],MATCH(resultados_may[Apuesta MiniPorra],apuestas_may24[Apuesta Miniporra],0))</f>
        <v>21</v>
      </c>
      <c r="L16" s="6" t="str">
        <f>apuestas_may24[[#This Row],[Nombre]]</f>
        <v>Alfonso Zárate Conde</v>
      </c>
      <c r="M16" s="14">
        <f>apuestas_may24[[#This Row],[Apuesta Miniporra]]</f>
        <v>35</v>
      </c>
      <c r="N16" s="14">
        <f ca="1">INDEX(apuestas_may24[desvio],MATCH(resultados_may[[#This Row],[Apuesta MiniPorra]],apuestas_may24[Apuesta Miniporra],0))</f>
        <v>4.6000000000000014</v>
      </c>
      <c r="O16" s="13">
        <f ca="1">INDEX(apuestas_may24[desvio %],MATCH(resultados_may[[#This Row],[Apuesta MiniPorra]],apuestas_may24[Apuesta Miniporra],0))</f>
        <v>0.15131578947368426</v>
      </c>
      <c r="P16" s="42">
        <v>10</v>
      </c>
      <c r="Q16" s="28">
        <v>28.95</v>
      </c>
      <c r="R16" s="28"/>
    </row>
    <row r="17" spans="1:21" x14ac:dyDescent="0.2">
      <c r="A17" t="s">
        <v>563</v>
      </c>
      <c r="B17" t="s">
        <v>654</v>
      </c>
      <c r="C17" s="28">
        <v>34.47</v>
      </c>
      <c r="D17" t="s">
        <v>118</v>
      </c>
      <c r="E17" t="s">
        <v>639</v>
      </c>
      <c r="F17" s="28">
        <f ca="1">apuestas_may24[[#This Row],[Apuesta Miniporra]]-$B$3</f>
        <v>4.07</v>
      </c>
      <c r="G17" s="68">
        <f ca="1">ABS(apuestas_may24[[#This Row],[desvio]])/$B$3</f>
        <v>0.13388157894736843</v>
      </c>
      <c r="H17" s="4">
        <f ca="1">_xlfn.RANK.EQ(apuestas_may24[[#This Row],[desvio %]],apuestas_may24[desvio %],1)</f>
        <v>19</v>
      </c>
      <c r="J17" s="66" t="s">
        <v>563</v>
      </c>
      <c r="K17" s="10">
        <f ca="1">INDEX(apuestas_may24[orden],MATCH(resultados_may[Apuesta MiniPorra],apuestas_may24[Apuesta Miniporra],0))</f>
        <v>19</v>
      </c>
      <c r="L17" s="6" t="str">
        <f>apuestas_may24[[#This Row],[Nombre]]</f>
        <v>Carlos Martin</v>
      </c>
      <c r="M17" s="14">
        <f>apuestas_may24[[#This Row],[Apuesta Miniporra]]</f>
        <v>34.47</v>
      </c>
      <c r="N17" s="14">
        <f ca="1">INDEX(apuestas_may24[desvio],MATCH(resultados_may[[#This Row],[Apuesta MiniPorra]],apuestas_may24[Apuesta Miniporra],0))</f>
        <v>4.07</v>
      </c>
      <c r="O17" s="13">
        <f ca="1">INDEX(apuestas_may24[desvio %],MATCH(resultados_may[[#This Row],[Apuesta MiniPorra]],apuestas_may24[Apuesta Miniporra],0))</f>
        <v>0.13388157894736843</v>
      </c>
      <c r="P17" s="42">
        <v>11</v>
      </c>
      <c r="Q17" s="28">
        <v>20.59</v>
      </c>
      <c r="R17" s="28"/>
    </row>
    <row r="18" spans="1:21" x14ac:dyDescent="0.2">
      <c r="A18" t="s">
        <v>563</v>
      </c>
      <c r="B18" t="s">
        <v>335</v>
      </c>
      <c r="C18" s="28">
        <v>34.21</v>
      </c>
      <c r="D18" t="s">
        <v>643</v>
      </c>
      <c r="E18" t="s">
        <v>644</v>
      </c>
      <c r="F18" s="28">
        <f ca="1">apuestas_may24[[#This Row],[Apuesta Miniporra]]-$B$3</f>
        <v>3.8100000000000023</v>
      </c>
      <c r="G18" s="68">
        <f ca="1">ABS(apuestas_may24[[#This Row],[desvio]])/$B$3</f>
        <v>0.12532894736842112</v>
      </c>
      <c r="H18" s="4">
        <f ca="1">_xlfn.RANK.EQ(apuestas_may24[[#This Row],[desvio %]],apuestas_may24[desvio %],1)</f>
        <v>18</v>
      </c>
      <c r="J18" s="66" t="s">
        <v>563</v>
      </c>
      <c r="K18" s="10">
        <f ca="1">INDEX(apuestas_may24[orden],MATCH(resultados_may[Apuesta MiniPorra],apuestas_may24[Apuesta Miniporra],0))</f>
        <v>18</v>
      </c>
      <c r="L18" s="6" t="str">
        <f>apuestas_may24[[#This Row],[Nombre]]</f>
        <v>Carlos Callejón</v>
      </c>
      <c r="M18" s="14">
        <f>apuestas_may24[[#This Row],[Apuesta Miniporra]]</f>
        <v>34.21</v>
      </c>
      <c r="N18" s="14">
        <f ca="1">INDEX(apuestas_may24[desvio],MATCH(resultados_may[[#This Row],[Apuesta MiniPorra]],apuestas_may24[Apuesta Miniporra],0))</f>
        <v>3.8100000000000023</v>
      </c>
      <c r="O18" s="13">
        <f ca="1">INDEX(apuestas_may24[desvio %],MATCH(resultados_may[[#This Row],[Apuesta MiniPorra]],apuestas_may24[Apuesta Miniporra],0))</f>
        <v>0.12532894736842112</v>
      </c>
      <c r="P18" s="42">
        <v>12</v>
      </c>
      <c r="Q18" s="28">
        <v>21.53</v>
      </c>
      <c r="R18" s="28"/>
    </row>
    <row r="19" spans="1:21" x14ac:dyDescent="0.2">
      <c r="A19" t="s">
        <v>563</v>
      </c>
      <c r="B19" t="s">
        <v>649</v>
      </c>
      <c r="C19" s="28">
        <v>33.36</v>
      </c>
      <c r="D19" t="s">
        <v>118</v>
      </c>
      <c r="E19" t="s">
        <v>610</v>
      </c>
      <c r="F19" s="28">
        <f ca="1">apuestas_may24[[#This Row],[Apuesta Miniporra]]-$B$3</f>
        <v>2.9600000000000009</v>
      </c>
      <c r="G19" s="68">
        <f ca="1">ABS(apuestas_may24[[#This Row],[desvio]])/$B$3</f>
        <v>9.7368421052631618E-2</v>
      </c>
      <c r="H19" s="4">
        <f ca="1">_xlfn.RANK.EQ(apuestas_may24[[#This Row],[desvio %]],apuestas_may24[desvio %],1)</f>
        <v>15</v>
      </c>
      <c r="J19" s="66" t="s">
        <v>563</v>
      </c>
      <c r="K19" s="10">
        <f ca="1">INDEX(apuestas_may24[orden],MATCH(resultados_may[Apuesta MiniPorra],apuestas_may24[Apuesta Miniporra],0))</f>
        <v>15</v>
      </c>
      <c r="L19" s="6" t="str">
        <f>apuestas_may24[[#This Row],[Nombre]]</f>
        <v>Miguel Roa Prieto</v>
      </c>
      <c r="M19" s="14">
        <f>apuestas_may24[[#This Row],[Apuesta Miniporra]]</f>
        <v>33.36</v>
      </c>
      <c r="N19" s="14">
        <f ca="1">INDEX(apuestas_may24[desvio],MATCH(resultados_may[[#This Row],[Apuesta MiniPorra]],apuestas_may24[Apuesta Miniporra],0))</f>
        <v>2.9600000000000009</v>
      </c>
      <c r="O19" s="13">
        <f ca="1">INDEX(apuestas_may24[desvio %],MATCH(resultados_may[[#This Row],[Apuesta MiniPorra]],apuestas_may24[Apuesta Miniporra],0))</f>
        <v>9.7368421052631618E-2</v>
      </c>
      <c r="P19" s="42">
        <v>13</v>
      </c>
      <c r="Q19" s="28">
        <v>23.34</v>
      </c>
      <c r="R19" s="28"/>
    </row>
    <row r="20" spans="1:21" x14ac:dyDescent="0.2">
      <c r="A20" t="s">
        <v>563</v>
      </c>
      <c r="B20" t="s">
        <v>219</v>
      </c>
      <c r="C20" s="28">
        <v>33.35</v>
      </c>
      <c r="D20" t="s">
        <v>623</v>
      </c>
      <c r="E20" t="s">
        <v>451</v>
      </c>
      <c r="F20" s="28">
        <f ca="1">apuestas_may24[[#This Row],[Apuesta Miniporra]]-$B$3</f>
        <v>2.9500000000000028</v>
      </c>
      <c r="G20" s="68">
        <f ca="1">ABS(apuestas_may24[[#This Row],[desvio]])/$B$3</f>
        <v>9.703947368421062E-2</v>
      </c>
      <c r="H20" s="4">
        <f ca="1">_xlfn.RANK.EQ(apuestas_may24[[#This Row],[desvio %]],apuestas_may24[desvio %],1)</f>
        <v>14</v>
      </c>
      <c r="J20" s="66" t="s">
        <v>563</v>
      </c>
      <c r="K20" s="10">
        <f ca="1">INDEX(apuestas_may24[orden],MATCH(resultados_may[Apuesta MiniPorra],apuestas_may24[Apuesta Miniporra],0))</f>
        <v>14</v>
      </c>
      <c r="L20" s="6" t="str">
        <f>apuestas_may24[[#This Row],[Nombre]]</f>
        <v>Jaime Larrañaga Juez</v>
      </c>
      <c r="M20" s="14">
        <f>apuestas_may24[[#This Row],[Apuesta Miniporra]]</f>
        <v>33.35</v>
      </c>
      <c r="N20" s="14">
        <f ca="1">INDEX(apuestas_may24[desvio],MATCH(resultados_may[[#This Row],[Apuesta MiniPorra]],apuestas_may24[Apuesta Miniporra],0))</f>
        <v>2.9500000000000028</v>
      </c>
      <c r="O20" s="13">
        <f ca="1">INDEX(apuestas_may24[desvio %],MATCH(resultados_may[[#This Row],[Apuesta MiniPorra]],apuestas_may24[Apuesta Miniporra],0))</f>
        <v>9.703947368421062E-2</v>
      </c>
      <c r="P20" s="42">
        <v>14</v>
      </c>
      <c r="Q20" s="28">
        <v>8.14</v>
      </c>
      <c r="R20" s="28"/>
      <c r="S20" s="97"/>
      <c r="T20" s="97"/>
      <c r="U20" s="97"/>
    </row>
    <row r="21" spans="1:21" x14ac:dyDescent="0.2">
      <c r="A21" t="s">
        <v>563</v>
      </c>
      <c r="B21" t="s">
        <v>413</v>
      </c>
      <c r="C21" s="28">
        <v>33.340000000000003</v>
      </c>
      <c r="D21" t="s">
        <v>118</v>
      </c>
      <c r="E21" t="s">
        <v>317</v>
      </c>
      <c r="F21" s="28">
        <f ca="1">apuestas_may24[[#This Row],[Apuesta Miniporra]]-$B$3</f>
        <v>2.9400000000000048</v>
      </c>
      <c r="G21" s="68">
        <f ca="1">ABS(apuestas_may24[[#This Row],[desvio]])/$B$3</f>
        <v>9.6710526315789636E-2</v>
      </c>
      <c r="H21" s="4">
        <f ca="1">_xlfn.RANK.EQ(apuestas_may24[[#This Row],[desvio %]],apuestas_may24[desvio %],1)</f>
        <v>13</v>
      </c>
      <c r="J21" s="66" t="s">
        <v>563</v>
      </c>
      <c r="K21" s="10">
        <f ca="1">INDEX(apuestas_may24[orden],MATCH(resultados_may[Apuesta MiniPorra],apuestas_may24[Apuesta Miniporra],0))</f>
        <v>13</v>
      </c>
      <c r="L21" s="6" t="str">
        <f>apuestas_may24[[#This Row],[Nombre]]</f>
        <v>Beatriz Muñoz Rioboo</v>
      </c>
      <c r="M21" s="14">
        <f>apuestas_may24[[#This Row],[Apuesta Miniporra]]</f>
        <v>33.340000000000003</v>
      </c>
      <c r="N21" s="14">
        <f ca="1">INDEX(apuestas_may24[desvio],MATCH(resultados_may[[#This Row],[Apuesta MiniPorra]],apuestas_may24[Apuesta Miniporra],0))</f>
        <v>2.9400000000000048</v>
      </c>
      <c r="O21" s="13">
        <f ca="1">INDEX(apuestas_may24[desvio %],MATCH(resultados_may[[#This Row],[Apuesta MiniPorra]],apuestas_may24[Apuesta Miniporra],0))</f>
        <v>9.6710526315789636E-2</v>
      </c>
      <c r="P21" s="42">
        <v>15</v>
      </c>
      <c r="Q21" s="28">
        <v>14.21</v>
      </c>
      <c r="R21" s="28"/>
      <c r="S21" s="97"/>
      <c r="T21" s="97"/>
      <c r="U21" s="97"/>
    </row>
    <row r="22" spans="1:21" x14ac:dyDescent="0.2">
      <c r="A22" t="s">
        <v>563</v>
      </c>
      <c r="B22" t="s">
        <v>217</v>
      </c>
      <c r="C22" s="28">
        <v>33.33</v>
      </c>
      <c r="D22" t="s">
        <v>118</v>
      </c>
      <c r="E22" t="s">
        <v>123</v>
      </c>
      <c r="F22" s="28">
        <f ca="1">apuestas_may24[[#This Row],[Apuesta Miniporra]]-$B$3</f>
        <v>2.9299999999999997</v>
      </c>
      <c r="G22" s="68">
        <f ca="1">ABS(apuestas_may24[[#This Row],[desvio]])/$B$3</f>
        <v>9.6381578947368415E-2</v>
      </c>
      <c r="H22" s="4">
        <f ca="1">_xlfn.RANK.EQ(apuestas_may24[[#This Row],[desvio %]],apuestas_may24[desvio %],1)</f>
        <v>12</v>
      </c>
      <c r="J22" s="66" t="s">
        <v>563</v>
      </c>
      <c r="K22" s="10">
        <f ca="1">INDEX(apuestas_may24[orden],MATCH(resultados_may[Apuesta MiniPorra],apuestas_may24[Apuesta Miniporra],0))</f>
        <v>12</v>
      </c>
      <c r="L22" s="6" t="str">
        <f>apuestas_may24[[#This Row],[Nombre]]</f>
        <v>Fernando Sánchez-Rey Maeso</v>
      </c>
      <c r="M22" s="14">
        <f>apuestas_may24[[#This Row],[Apuesta Miniporra]]</f>
        <v>33.33</v>
      </c>
      <c r="N22" s="14">
        <f ca="1">INDEX(apuestas_may24[desvio],MATCH(resultados_may[[#This Row],[Apuesta MiniPorra]],apuestas_may24[Apuesta Miniporra],0))</f>
        <v>2.9299999999999997</v>
      </c>
      <c r="O22" s="13">
        <f ca="1">INDEX(apuestas_may24[desvio %],MATCH(resultados_may[[#This Row],[Apuesta MiniPorra]],apuestas_may24[Apuesta Miniporra],0))</f>
        <v>9.6381578947368415E-2</v>
      </c>
      <c r="P22" s="42">
        <v>16</v>
      </c>
      <c r="Q22" s="28">
        <v>32.35</v>
      </c>
      <c r="R22" s="28"/>
      <c r="S22" s="97"/>
      <c r="T22" s="97"/>
      <c r="U22" s="97"/>
    </row>
    <row r="23" spans="1:21" x14ac:dyDescent="0.2">
      <c r="A23" t="s">
        <v>563</v>
      </c>
      <c r="B23" t="s">
        <v>364</v>
      </c>
      <c r="C23" s="28">
        <v>31.88</v>
      </c>
      <c r="D23" t="s">
        <v>118</v>
      </c>
      <c r="E23" t="s">
        <v>361</v>
      </c>
      <c r="F23" s="28">
        <f ca="1">apuestas_may24[[#This Row],[Apuesta Miniporra]]-$B$3</f>
        <v>1.4800000000000004</v>
      </c>
      <c r="G23" s="68">
        <f ca="1">ABS(apuestas_may24[[#This Row],[desvio]])/$B$3</f>
        <v>4.8684210526315809E-2</v>
      </c>
      <c r="H23" s="4">
        <f ca="1">_xlfn.RANK.EQ(apuestas_may24[[#This Row],[desvio %]],apuestas_may24[desvio %],1)</f>
        <v>7</v>
      </c>
      <c r="J23" s="66" t="s">
        <v>563</v>
      </c>
      <c r="K23" s="10">
        <f ca="1">INDEX(apuestas_may24[orden],MATCH(resultados_may[Apuesta MiniPorra],apuestas_may24[Apuesta Miniporra],0))</f>
        <v>7</v>
      </c>
      <c r="L23" s="6" t="str">
        <f>apuestas_may24[[#This Row],[Nombre]]</f>
        <v>Marcos Fortea Escolano</v>
      </c>
      <c r="M23" s="14">
        <f>apuestas_may24[[#This Row],[Apuesta Miniporra]]</f>
        <v>31.88</v>
      </c>
      <c r="N23" s="14">
        <f ca="1">INDEX(apuestas_may24[desvio],MATCH(resultados_may[[#This Row],[Apuesta MiniPorra]],apuestas_may24[Apuesta Miniporra],0))</f>
        <v>1.4800000000000004</v>
      </c>
      <c r="O23" s="13">
        <f ca="1">INDEX(apuestas_may24[desvio %],MATCH(resultados_may[[#This Row],[Apuesta MiniPorra]],apuestas_may24[Apuesta Miniporra],0))</f>
        <v>4.8684210526315809E-2</v>
      </c>
      <c r="P23" s="42">
        <v>17</v>
      </c>
      <c r="Q23" s="28">
        <v>53.42</v>
      </c>
      <c r="R23" s="28"/>
    </row>
    <row r="24" spans="1:21" x14ac:dyDescent="0.2">
      <c r="A24" t="s">
        <v>563</v>
      </c>
      <c r="B24" t="s">
        <v>403</v>
      </c>
      <c r="C24" s="28">
        <v>30.7</v>
      </c>
      <c r="D24" t="s">
        <v>646</v>
      </c>
      <c r="E24" t="s">
        <v>171</v>
      </c>
      <c r="F24" s="28">
        <f ca="1">apuestas_may24[[#This Row],[Apuesta Miniporra]]-$B$3</f>
        <v>0.30000000000000071</v>
      </c>
      <c r="G24" s="68">
        <f ca="1">ABS(apuestas_may24[[#This Row],[desvio]])/$B$3</f>
        <v>9.8684210526316027E-3</v>
      </c>
      <c r="H24" s="4">
        <f ca="1">_xlfn.RANK.EQ(apuestas_may24[[#This Row],[desvio %]],apuestas_may24[desvio %],1)</f>
        <v>2</v>
      </c>
      <c r="J24" s="66" t="s">
        <v>563</v>
      </c>
      <c r="K24" s="10">
        <f ca="1">INDEX(apuestas_may24[orden],MATCH(resultados_may[Apuesta MiniPorra],apuestas_may24[Apuesta Miniporra],0))</f>
        <v>2</v>
      </c>
      <c r="L24" s="6" t="str">
        <f>apuestas_may24[[#This Row],[Nombre]]</f>
        <v>Luis Angel Garzon Velasco</v>
      </c>
      <c r="M24" s="14">
        <f>apuestas_may24[[#This Row],[Apuesta Miniporra]]</f>
        <v>30.7</v>
      </c>
      <c r="N24" s="14">
        <f ca="1">INDEX(apuestas_may24[desvio],MATCH(resultados_may[[#This Row],[Apuesta MiniPorra]],apuestas_may24[Apuesta Miniporra],0))</f>
        <v>0.30000000000000071</v>
      </c>
      <c r="O24" s="13">
        <f ca="1">INDEX(apuestas_may24[desvio %],MATCH(resultados_may[[#This Row],[Apuesta MiniPorra]],apuestas_may24[Apuesta Miniporra],0))</f>
        <v>9.8684210526316027E-3</v>
      </c>
      <c r="P24" s="42">
        <v>18</v>
      </c>
      <c r="Q24" s="28">
        <v>32.99</v>
      </c>
      <c r="R24" s="28"/>
    </row>
    <row r="25" spans="1:21" x14ac:dyDescent="0.2">
      <c r="A25" t="s">
        <v>563</v>
      </c>
      <c r="B25" t="s">
        <v>404</v>
      </c>
      <c r="C25" s="28">
        <v>30.5</v>
      </c>
      <c r="D25" t="s">
        <v>658</v>
      </c>
      <c r="E25" t="s">
        <v>145</v>
      </c>
      <c r="F25" s="28">
        <f ca="1">apuestas_may24[[#This Row],[Apuesta Miniporra]]-$B$3</f>
        <v>0.10000000000000142</v>
      </c>
      <c r="G25" s="68">
        <f ca="1">ABS(apuestas_may24[[#This Row],[desvio]])/$B$3</f>
        <v>3.2894736842105734E-3</v>
      </c>
      <c r="H25" s="4">
        <f ca="1">_xlfn.RANK.EQ(apuestas_may24[[#This Row],[desvio %]],apuestas_may24[desvio %],1)</f>
        <v>1</v>
      </c>
      <c r="J25" s="66" t="s">
        <v>563</v>
      </c>
      <c r="K25" s="10">
        <f ca="1">INDEX(apuestas_may24[orden],MATCH(resultados_may[Apuesta MiniPorra],apuestas_may24[Apuesta Miniporra],0))</f>
        <v>1</v>
      </c>
      <c r="L25" s="6" t="str">
        <f>apuestas_may24[[#This Row],[Nombre]]</f>
        <v>Juan Luis Jarillo Gómez</v>
      </c>
      <c r="M25" s="14">
        <f>apuestas_may24[[#This Row],[Apuesta Miniporra]]</f>
        <v>30.5</v>
      </c>
      <c r="N25" s="14">
        <f ca="1">INDEX(apuestas_may24[desvio],MATCH(resultados_may[[#This Row],[Apuesta MiniPorra]],apuestas_may24[Apuesta Miniporra],0))</f>
        <v>0.10000000000000142</v>
      </c>
      <c r="O25" s="13">
        <f ca="1">INDEX(apuestas_may24[desvio %],MATCH(resultados_may[[#This Row],[Apuesta MiniPorra]],apuestas_may24[Apuesta Miniporra],0))</f>
        <v>3.2894736842105734E-3</v>
      </c>
      <c r="P25" s="42">
        <v>19</v>
      </c>
      <c r="Q25" s="28">
        <v>26.6</v>
      </c>
      <c r="R25" s="28"/>
    </row>
    <row r="26" spans="1:21" x14ac:dyDescent="0.2">
      <c r="A26" t="s">
        <v>563</v>
      </c>
      <c r="B26" t="s">
        <v>336</v>
      </c>
      <c r="C26" s="28">
        <v>30.01</v>
      </c>
      <c r="D26" t="s">
        <v>659</v>
      </c>
      <c r="E26" t="s">
        <v>2</v>
      </c>
      <c r="F26" s="28">
        <f ca="1">apuestas_may24[[#This Row],[Apuesta Miniporra]]-$B$3</f>
        <v>-0.38999999999999702</v>
      </c>
      <c r="G26" s="68">
        <f ca="1">ABS(apuestas_may24[[#This Row],[desvio]])/$B$3</f>
        <v>1.2828947368420955E-2</v>
      </c>
      <c r="H26" s="4">
        <f ca="1">_xlfn.RANK.EQ(apuestas_may24[[#This Row],[desvio %]],apuestas_may24[desvio %],1)</f>
        <v>3</v>
      </c>
      <c r="J26" s="66" t="s">
        <v>563</v>
      </c>
      <c r="K26" s="10">
        <f ca="1">INDEX(apuestas_may24[orden],MATCH(resultados_may[Apuesta MiniPorra],apuestas_may24[Apuesta Miniporra],0))</f>
        <v>3</v>
      </c>
      <c r="L26" s="6" t="str">
        <f>apuestas_may24[[#This Row],[Nombre]]</f>
        <v>Javier Revuelta Alonso</v>
      </c>
      <c r="M26" s="14">
        <f>apuestas_may24[[#This Row],[Apuesta Miniporra]]</f>
        <v>30.01</v>
      </c>
      <c r="N26" s="14">
        <f ca="1">INDEX(apuestas_may24[desvio],MATCH(resultados_may[[#This Row],[Apuesta MiniPorra]],apuestas_may24[Apuesta Miniporra],0))</f>
        <v>-0.38999999999999702</v>
      </c>
      <c r="O26" s="13">
        <f ca="1">INDEX(apuestas_may24[desvio %],MATCH(resultados_may[[#This Row],[Apuesta MiniPorra]],apuestas_may24[Apuesta Miniporra],0))</f>
        <v>1.2828947368420955E-2</v>
      </c>
      <c r="P26" s="42">
        <v>20</v>
      </c>
      <c r="Q26" s="28">
        <v>32.72</v>
      </c>
      <c r="R26" s="28"/>
    </row>
    <row r="27" spans="1:21" x14ac:dyDescent="0.2">
      <c r="A27" t="s">
        <v>563</v>
      </c>
      <c r="B27" t="s">
        <v>328</v>
      </c>
      <c r="C27" s="28">
        <v>30</v>
      </c>
      <c r="D27" t="s">
        <v>118</v>
      </c>
      <c r="E27" t="s">
        <v>328</v>
      </c>
      <c r="F27" s="28">
        <f ca="1">apuestas_may24[[#This Row],[Apuesta Miniporra]]-$B$3</f>
        <v>-0.39999999999999858</v>
      </c>
      <c r="G27" s="68">
        <f ca="1">ABS(apuestas_may24[[#This Row],[desvio]])/$B$3</f>
        <v>1.3157894736842059E-2</v>
      </c>
      <c r="H27" s="4">
        <f ca="1">_xlfn.RANK.EQ(apuestas_may24[[#This Row],[desvio %]],apuestas_may24[desvio %],1)</f>
        <v>4</v>
      </c>
      <c r="J27" s="66" t="s">
        <v>563</v>
      </c>
      <c r="K27" s="10">
        <f ca="1">INDEX(apuestas_may24[orden],MATCH(resultados_may[Apuesta MiniPorra],apuestas_may24[Apuesta Miniporra],0))</f>
        <v>4</v>
      </c>
      <c r="L27" s="6" t="str">
        <f>apuestas_may24[[#This Row],[Nombre]]</f>
        <v>Aitor Folch</v>
      </c>
      <c r="M27" s="14">
        <f>apuestas_may24[[#This Row],[Apuesta Miniporra]]</f>
        <v>30</v>
      </c>
      <c r="N27" s="14">
        <f ca="1">INDEX(apuestas_may24[desvio],MATCH(resultados_may[[#This Row],[Apuesta MiniPorra]],apuestas_may24[Apuesta Miniporra],0))</f>
        <v>-0.39999999999999858</v>
      </c>
      <c r="O27" s="13">
        <f ca="1">INDEX(apuestas_may24[desvio %],MATCH(resultados_may[[#This Row],[Apuesta MiniPorra]],apuestas_may24[Apuesta Miniporra],0))</f>
        <v>1.3157894736842059E-2</v>
      </c>
      <c r="P27" s="42">
        <v>21</v>
      </c>
      <c r="Q27" s="28">
        <v>46.09</v>
      </c>
      <c r="R27" s="28"/>
    </row>
    <row r="28" spans="1:21" x14ac:dyDescent="0.2">
      <c r="A28" t="s">
        <v>563</v>
      </c>
      <c r="B28" t="s">
        <v>409</v>
      </c>
      <c r="C28" s="28">
        <v>29.69</v>
      </c>
      <c r="D28" t="s">
        <v>615</v>
      </c>
      <c r="E28" t="s">
        <v>462</v>
      </c>
      <c r="F28" s="28">
        <f ca="1">apuestas_may24[[#This Row],[Apuesta Miniporra]]-$B$3</f>
        <v>-0.7099999999999973</v>
      </c>
      <c r="G28" s="68">
        <f ca="1">ABS(apuestas_may24[[#This Row],[desvio]])/$B$3</f>
        <v>2.335526315789465E-2</v>
      </c>
      <c r="H28" s="4">
        <f ca="1">_xlfn.RANK.EQ(apuestas_may24[[#This Row],[desvio %]],apuestas_may24[desvio %],1)</f>
        <v>5</v>
      </c>
      <c r="J28" s="66" t="s">
        <v>563</v>
      </c>
      <c r="K28" s="10">
        <f ca="1">INDEX(apuestas_may24[orden],MATCH(resultados_may[Apuesta MiniPorra],apuestas_may24[Apuesta Miniporra],0))</f>
        <v>5</v>
      </c>
      <c r="L28" s="6" t="str">
        <f>apuestas_may24[[#This Row],[Nombre]]</f>
        <v>Gladys Rocha Blanco</v>
      </c>
      <c r="M28" s="14">
        <f>apuestas_may24[[#This Row],[Apuesta Miniporra]]</f>
        <v>29.69</v>
      </c>
      <c r="N28" s="14">
        <f ca="1">INDEX(apuestas_may24[desvio],MATCH(resultados_may[[#This Row],[Apuesta MiniPorra]],apuestas_may24[Apuesta Miniporra],0))</f>
        <v>-0.7099999999999973</v>
      </c>
      <c r="O28" s="13">
        <f ca="1">INDEX(apuestas_may24[desvio %],MATCH(resultados_may[[#This Row],[Apuesta MiniPorra]],apuestas_may24[Apuesta Miniporra],0))</f>
        <v>2.335526315789465E-2</v>
      </c>
      <c r="P28" s="42">
        <v>22</v>
      </c>
      <c r="Q28" s="28">
        <v>44.76</v>
      </c>
      <c r="R28" s="28"/>
    </row>
    <row r="29" spans="1:21" x14ac:dyDescent="0.2">
      <c r="A29" t="s">
        <v>563</v>
      </c>
      <c r="B29" t="s">
        <v>408</v>
      </c>
      <c r="C29" s="28">
        <v>29.6</v>
      </c>
      <c r="D29" t="s">
        <v>576</v>
      </c>
      <c r="E29" t="s">
        <v>456</v>
      </c>
      <c r="F29" s="28">
        <f ca="1">apuestas_may24[[#This Row],[Apuesta Miniporra]]-$B$3</f>
        <v>-0.79999999999999716</v>
      </c>
      <c r="G29" s="68">
        <f ca="1">ABS(apuestas_may24[[#This Row],[desvio]])/$B$3</f>
        <v>2.6315789473684119E-2</v>
      </c>
      <c r="H29" s="4">
        <f ca="1">_xlfn.RANK.EQ(apuestas_may24[[#This Row],[desvio %]],apuestas_may24[desvio %],1)</f>
        <v>6</v>
      </c>
      <c r="J29" s="66" t="s">
        <v>563</v>
      </c>
      <c r="K29" s="10">
        <f ca="1">INDEX(apuestas_may24[orden],MATCH(resultados_may[Apuesta MiniPorra],apuestas_may24[Apuesta Miniporra],0))</f>
        <v>6</v>
      </c>
      <c r="L29" s="6" t="str">
        <f>apuestas_may24[[#This Row],[Nombre]]</f>
        <v>Julián Mateo Muñoz</v>
      </c>
      <c r="M29" s="14">
        <f>apuestas_may24[[#This Row],[Apuesta Miniporra]]</f>
        <v>29.6</v>
      </c>
      <c r="N29" s="14">
        <f ca="1">INDEX(apuestas_may24[desvio],MATCH(resultados_may[[#This Row],[Apuesta MiniPorra]],apuestas_may24[Apuesta Miniporra],0))</f>
        <v>-0.79999999999999716</v>
      </c>
      <c r="O29" s="13">
        <f ca="1">INDEX(apuestas_may24[desvio %],MATCH(resultados_may[[#This Row],[Apuesta MiniPorra]],apuestas_may24[Apuesta Miniporra],0))</f>
        <v>2.6315789473684119E-2</v>
      </c>
      <c r="P29" s="42">
        <v>23</v>
      </c>
      <c r="Q29" s="28">
        <v>60.45</v>
      </c>
      <c r="R29" s="28"/>
    </row>
    <row r="30" spans="1:21" x14ac:dyDescent="0.2">
      <c r="A30" t="s">
        <v>563</v>
      </c>
      <c r="B30" t="s">
        <v>543</v>
      </c>
      <c r="C30" s="28">
        <v>28.62</v>
      </c>
      <c r="D30" t="s">
        <v>631</v>
      </c>
      <c r="E30" t="s">
        <v>351</v>
      </c>
      <c r="F30" s="28">
        <f ca="1">apuestas_may24[[#This Row],[Apuesta Miniporra]]-$B$3</f>
        <v>-1.7799999999999976</v>
      </c>
      <c r="G30" s="68">
        <f ca="1">ABS(apuestas_may24[[#This Row],[desvio]])/$B$3</f>
        <v>5.8552631578947294E-2</v>
      </c>
      <c r="H30" s="4">
        <f ca="1">_xlfn.RANK.EQ(apuestas_may24[[#This Row],[desvio %]],apuestas_may24[desvio %],1)</f>
        <v>8</v>
      </c>
      <c r="J30" s="66" t="s">
        <v>563</v>
      </c>
      <c r="K30" s="10">
        <f ca="1">INDEX(apuestas_may24[orden],MATCH(resultados_may[Apuesta MiniPorra],apuestas_may24[Apuesta Miniporra],0))</f>
        <v>8</v>
      </c>
      <c r="L30" s="6" t="str">
        <f>apuestas_may24[[#This Row],[Nombre]]</f>
        <v>Roberto Parro Cortés</v>
      </c>
      <c r="M30" s="14">
        <f>apuestas_may24[[#This Row],[Apuesta Miniporra]]</f>
        <v>28.62</v>
      </c>
      <c r="N30" s="14">
        <f ca="1">INDEX(apuestas_may24[desvio],MATCH(resultados_may[[#This Row],[Apuesta MiniPorra]],apuestas_may24[Apuesta Miniporra],0))</f>
        <v>-1.7799999999999976</v>
      </c>
      <c r="O30" s="13">
        <f ca="1">INDEX(apuestas_may24[desvio %],MATCH(resultados_may[[#This Row],[Apuesta MiniPorra]],apuestas_may24[Apuesta Miniporra],0))</f>
        <v>5.8552631578947294E-2</v>
      </c>
      <c r="P30" s="42">
        <v>24</v>
      </c>
      <c r="Q30" s="28">
        <v>71.67</v>
      </c>
      <c r="R30" s="28"/>
    </row>
    <row r="31" spans="1:21" x14ac:dyDescent="0.2">
      <c r="A31" t="s">
        <v>563</v>
      </c>
      <c r="B31" t="s">
        <v>362</v>
      </c>
      <c r="C31" s="28">
        <v>28.3</v>
      </c>
      <c r="D31" t="s">
        <v>118</v>
      </c>
      <c r="E31" t="s">
        <v>213</v>
      </c>
      <c r="F31" s="28">
        <f ca="1">apuestas_may24[[#This Row],[Apuesta Miniporra]]-$B$3</f>
        <v>-2.0999999999999979</v>
      </c>
      <c r="G31" s="68">
        <f ca="1">ABS(apuestas_may24[[#This Row],[desvio]])/$B$3</f>
        <v>6.907894736842099E-2</v>
      </c>
      <c r="H31" s="4">
        <f ca="1">_xlfn.RANK.EQ(apuestas_may24[[#This Row],[desvio %]],apuestas_may24[desvio %],1)</f>
        <v>9</v>
      </c>
      <c r="J31" s="66" t="s">
        <v>563</v>
      </c>
      <c r="K31" s="10">
        <f ca="1">INDEX(apuestas_may24[orden],MATCH(resultados_may[Apuesta MiniPorra],apuestas_may24[Apuesta Miniporra],0))</f>
        <v>9</v>
      </c>
      <c r="L31" s="6" t="str">
        <f>apuestas_may24[[#This Row],[Nombre]]</f>
        <v>Inés Monroy</v>
      </c>
      <c r="M31" s="14">
        <f>apuestas_may24[[#This Row],[Apuesta Miniporra]]</f>
        <v>28.3</v>
      </c>
      <c r="N31" s="14">
        <f ca="1">INDEX(apuestas_may24[desvio],MATCH(resultados_may[[#This Row],[Apuesta MiniPorra]],apuestas_may24[Apuesta Miniporra],0))</f>
        <v>-2.0999999999999979</v>
      </c>
      <c r="O31" s="13">
        <f ca="1">INDEX(apuestas_may24[desvio %],MATCH(resultados_may[[#This Row],[Apuesta MiniPorra]],apuestas_may24[Apuesta Miniporra],0))</f>
        <v>6.907894736842099E-2</v>
      </c>
      <c r="P31" s="42">
        <v>25</v>
      </c>
      <c r="Q31" s="28">
        <v>43.71</v>
      </c>
      <c r="R31" s="28"/>
    </row>
    <row r="32" spans="1:21" x14ac:dyDescent="0.2">
      <c r="A32" t="s">
        <v>563</v>
      </c>
      <c r="B32" t="s">
        <v>414</v>
      </c>
      <c r="C32" s="28">
        <v>28.1</v>
      </c>
      <c r="D32" t="s">
        <v>118</v>
      </c>
      <c r="E32" t="s">
        <v>467</v>
      </c>
      <c r="F32" s="28">
        <f ca="1">apuestas_may24[[#This Row],[Apuesta Miniporra]]-$B$3</f>
        <v>-2.2999999999999972</v>
      </c>
      <c r="G32" s="68">
        <f ca="1">ABS(apuestas_may24[[#This Row],[desvio]])/$B$3</f>
        <v>7.5657894736842021E-2</v>
      </c>
      <c r="H32" s="4">
        <f ca="1">_xlfn.RANK.EQ(apuestas_may24[[#This Row],[desvio %]],apuestas_may24[desvio %],1)</f>
        <v>10</v>
      </c>
      <c r="J32" s="66" t="s">
        <v>563</v>
      </c>
      <c r="K32" s="10">
        <f ca="1">INDEX(apuestas_may24[orden],MATCH(resultados_may[Apuesta MiniPorra],apuestas_may24[Apuesta Miniporra],0))</f>
        <v>10</v>
      </c>
      <c r="L32" s="6" t="str">
        <f>apuestas_may24[[#This Row],[Nombre]]</f>
        <v>Laura Gómez López</v>
      </c>
      <c r="M32" s="14">
        <f>apuestas_may24[[#This Row],[Apuesta Miniporra]]</f>
        <v>28.1</v>
      </c>
      <c r="N32" s="14">
        <f ca="1">INDEX(apuestas_may24[desvio],MATCH(resultados_may[[#This Row],[Apuesta MiniPorra]],apuestas_may24[Apuesta Miniporra],0))</f>
        <v>-2.2999999999999972</v>
      </c>
      <c r="O32" s="13">
        <f ca="1">INDEX(apuestas_may24[desvio %],MATCH(resultados_may[[#This Row],[Apuesta MiniPorra]],apuestas_may24[Apuesta Miniporra],0))</f>
        <v>7.5657894736842021E-2</v>
      </c>
      <c r="P32" s="42">
        <v>26</v>
      </c>
      <c r="Q32" s="28">
        <v>25.42</v>
      </c>
      <c r="R32" s="28"/>
    </row>
    <row r="33" spans="1:18" x14ac:dyDescent="0.2">
      <c r="A33" t="s">
        <v>563</v>
      </c>
      <c r="B33" t="s">
        <v>381</v>
      </c>
      <c r="C33" s="28">
        <v>27.57</v>
      </c>
      <c r="D33" t="s">
        <v>590</v>
      </c>
      <c r="E33" t="s">
        <v>37</v>
      </c>
      <c r="F33" s="28">
        <f ca="1">apuestas_may24[[#This Row],[Apuesta Miniporra]]-$B$3</f>
        <v>-2.8299999999999983</v>
      </c>
      <c r="G33" s="68">
        <f ca="1">ABS(apuestas_may24[[#This Row],[desvio]])/$B$3</f>
        <v>9.3092105263157837E-2</v>
      </c>
      <c r="H33" s="4">
        <f ca="1">_xlfn.RANK.EQ(apuestas_may24[[#This Row],[desvio %]],apuestas_may24[desvio %],1)</f>
        <v>11</v>
      </c>
      <c r="J33" s="66" t="s">
        <v>563</v>
      </c>
      <c r="K33" s="10">
        <f ca="1">INDEX(apuestas_may24[orden],MATCH(resultados_may[Apuesta MiniPorra],apuestas_may24[Apuesta Miniporra],0))</f>
        <v>11</v>
      </c>
      <c r="L33" s="6" t="str">
        <f>apuestas_may24[[#This Row],[Nombre]]</f>
        <v>Roberto Cavero García</v>
      </c>
      <c r="M33" s="14">
        <f>apuestas_may24[[#This Row],[Apuesta Miniporra]]</f>
        <v>27.57</v>
      </c>
      <c r="N33" s="14">
        <f ca="1">INDEX(apuestas_may24[desvio],MATCH(resultados_may[[#This Row],[Apuesta MiniPorra]],apuestas_may24[Apuesta Miniporra],0))</f>
        <v>-2.8299999999999983</v>
      </c>
      <c r="O33" s="13">
        <f ca="1">INDEX(apuestas_may24[desvio %],MATCH(resultados_may[[#This Row],[Apuesta MiniPorra]],apuestas_may24[Apuesta Miniporra],0))</f>
        <v>9.3092105263157837E-2</v>
      </c>
      <c r="P33" s="42">
        <v>27</v>
      </c>
      <c r="Q33" s="28">
        <v>30.84</v>
      </c>
      <c r="R33" s="28"/>
    </row>
    <row r="34" spans="1:18" x14ac:dyDescent="0.2">
      <c r="A34" t="s">
        <v>563</v>
      </c>
      <c r="B34" t="s">
        <v>648</v>
      </c>
      <c r="C34" s="28">
        <v>27.25</v>
      </c>
      <c r="D34" t="s">
        <v>118</v>
      </c>
      <c r="E34" t="s">
        <v>601</v>
      </c>
      <c r="F34" s="28">
        <f ca="1">apuestas_may24[[#This Row],[Apuesta Miniporra]]-$B$3</f>
        <v>-3.1499999999999986</v>
      </c>
      <c r="G34" s="68">
        <f ca="1">ABS(apuestas_may24[[#This Row],[desvio]])/$B$3</f>
        <v>0.10361842105263154</v>
      </c>
      <c r="H34" s="4">
        <f ca="1">_xlfn.RANK.EQ(apuestas_may24[[#This Row],[desvio %]],apuestas_may24[desvio %],1)</f>
        <v>16</v>
      </c>
      <c r="J34" s="66" t="s">
        <v>563</v>
      </c>
      <c r="K34" s="10">
        <f ca="1">INDEX(apuestas_may24[orden],MATCH(resultados_may[Apuesta MiniPorra],apuestas_may24[Apuesta Miniporra],0))</f>
        <v>16</v>
      </c>
      <c r="L34" s="6" t="str">
        <f>apuestas_may24[[#This Row],[Nombre]]</f>
        <v>Nelson Hernandez Hernandez</v>
      </c>
      <c r="M34" s="14">
        <f>apuestas_may24[[#This Row],[Apuesta Miniporra]]</f>
        <v>27.25</v>
      </c>
      <c r="N34" s="14">
        <f ca="1">INDEX(apuestas_may24[desvio],MATCH(resultados_may[[#This Row],[Apuesta MiniPorra]],apuestas_may24[Apuesta Miniporra],0))</f>
        <v>-3.1499999999999986</v>
      </c>
      <c r="O34" s="13">
        <f ca="1">INDEX(apuestas_may24[desvio %],MATCH(resultados_may[[#This Row],[Apuesta MiniPorra]],apuestas_may24[Apuesta Miniporra],0))</f>
        <v>0.10361842105263154</v>
      </c>
      <c r="P34" s="42">
        <v>28</v>
      </c>
      <c r="Q34" s="28">
        <v>27.47</v>
      </c>
      <c r="R34" s="28"/>
    </row>
    <row r="35" spans="1:18" x14ac:dyDescent="0.2">
      <c r="A35" t="s">
        <v>563</v>
      </c>
      <c r="B35" t="s">
        <v>542</v>
      </c>
      <c r="C35" s="28">
        <v>26.62</v>
      </c>
      <c r="D35" t="s">
        <v>585</v>
      </c>
      <c r="E35" t="s">
        <v>542</v>
      </c>
      <c r="F35" s="28">
        <f ca="1">apuestas_may24[[#This Row],[Apuesta Miniporra]]-$B$3</f>
        <v>-3.7799999999999976</v>
      </c>
      <c r="G35" s="68">
        <f ca="1">ABS(apuestas_may24[[#This Row],[desvio]])/$B$3</f>
        <v>0.12434210526315782</v>
      </c>
      <c r="H35" s="4">
        <f ca="1">_xlfn.RANK.EQ(apuestas_may24[[#This Row],[desvio %]],apuestas_may24[desvio %],1)</f>
        <v>17</v>
      </c>
      <c r="J35" s="66" t="s">
        <v>563</v>
      </c>
      <c r="K35" s="10">
        <f ca="1">INDEX(apuestas_may24[orden],MATCH(resultados_may[Apuesta MiniPorra],apuestas_may24[Apuesta Miniporra],0))</f>
        <v>17</v>
      </c>
      <c r="L35" s="6" t="str">
        <f>apuestas_may24[[#This Row],[Nombre]]</f>
        <v>Sergio Alfonso</v>
      </c>
      <c r="M35" s="14">
        <f>apuestas_may24[[#This Row],[Apuesta Miniporra]]</f>
        <v>26.62</v>
      </c>
      <c r="N35" s="14">
        <f ca="1">INDEX(apuestas_may24[desvio],MATCH(resultados_may[[#This Row],[Apuesta MiniPorra]],apuestas_may24[Apuesta Miniporra],0))</f>
        <v>-3.7799999999999976</v>
      </c>
      <c r="O35" s="13">
        <f ca="1">INDEX(apuestas_may24[desvio %],MATCH(resultados_may[[#This Row],[Apuesta MiniPorra]],apuestas_may24[Apuesta Miniporra],0))</f>
        <v>0.12434210526315782</v>
      </c>
      <c r="P35" s="42">
        <v>29</v>
      </c>
      <c r="Q35" s="28">
        <v>38.86</v>
      </c>
      <c r="R35" s="28"/>
    </row>
    <row r="36" spans="1:18" x14ac:dyDescent="0.2">
      <c r="A36" t="s">
        <v>563</v>
      </c>
      <c r="B36" t="s">
        <v>222</v>
      </c>
      <c r="C36" s="28">
        <v>26.15</v>
      </c>
      <c r="D36" t="s">
        <v>588</v>
      </c>
      <c r="E36" t="s">
        <v>178</v>
      </c>
      <c r="F36" s="28">
        <f ca="1">apuestas_may24[[#This Row],[Apuesta Miniporra]]-$B$3</f>
        <v>-4.25</v>
      </c>
      <c r="G36" s="68">
        <f ca="1">ABS(apuestas_may24[[#This Row],[desvio]])/$B$3</f>
        <v>0.13980263157894737</v>
      </c>
      <c r="H36" s="4">
        <f ca="1">_xlfn.RANK.EQ(apuestas_may24[[#This Row],[desvio %]],apuestas_may24[desvio %],1)</f>
        <v>20</v>
      </c>
      <c r="J36" s="66" t="s">
        <v>563</v>
      </c>
      <c r="K36" s="4">
        <f ca="1">INDEX(apuestas_may24[orden],MATCH(resultados_may[Apuesta MiniPorra],apuestas_may24[Apuesta Miniporra],0))</f>
        <v>20</v>
      </c>
      <c r="L36" s="63" t="str">
        <f>apuestas_may24[[#This Row],[Nombre]]</f>
        <v>Jose F Vidal</v>
      </c>
      <c r="M36" s="28">
        <f>apuestas_may24[[#This Row],[Apuesta Miniporra]]</f>
        <v>26.15</v>
      </c>
      <c r="N36" s="4">
        <f ca="1">INDEX(apuestas_may24[desvio],MATCH(resultados_may[[#This Row],[Apuesta MiniPorra]],apuestas_may24[Apuesta Miniporra],0))</f>
        <v>-4.25</v>
      </c>
      <c r="O36" s="13">
        <f ca="1">INDEX(apuestas_may24[desvio %],MATCH(resultados_may[[#This Row],[Apuesta MiniPorra]],apuestas_may24[Apuesta Miniporra],0))</f>
        <v>0.13980263157894737</v>
      </c>
      <c r="P36" s="42">
        <v>30</v>
      </c>
      <c r="Q36" s="28">
        <v>24.37</v>
      </c>
    </row>
    <row r="37" spans="1:18" x14ac:dyDescent="0.2">
      <c r="A37" t="s">
        <v>563</v>
      </c>
      <c r="B37" t="s">
        <v>406</v>
      </c>
      <c r="C37" s="28">
        <v>25</v>
      </c>
      <c r="D37" t="s">
        <v>118</v>
      </c>
      <c r="E37" t="s">
        <v>471</v>
      </c>
      <c r="F37" s="28">
        <f ca="1">apuestas_may24[[#This Row],[Apuesta Miniporra]]-$B$3</f>
        <v>-5.3999999999999986</v>
      </c>
      <c r="G37" s="68">
        <f ca="1">ABS(apuestas_may24[[#This Row],[desvio]])/$B$3</f>
        <v>0.17763157894736839</v>
      </c>
      <c r="H37" s="4">
        <f ca="1">_xlfn.RANK.EQ(apuestas_may24[[#This Row],[desvio %]],apuestas_may24[desvio %],1)</f>
        <v>27</v>
      </c>
      <c r="J37" s="66" t="s">
        <v>563</v>
      </c>
      <c r="K37" s="4">
        <f ca="1">INDEX(apuestas_may24[orden],MATCH(resultados_may[Apuesta MiniPorra],apuestas_may24[Apuesta Miniporra],0))</f>
        <v>27</v>
      </c>
      <c r="L37" s="63" t="str">
        <f>apuestas_may24[[#This Row],[Nombre]]</f>
        <v>Javier Pérez Salazar</v>
      </c>
      <c r="M37" s="28">
        <f>apuestas_may24[[#This Row],[Apuesta Miniporra]]</f>
        <v>25</v>
      </c>
      <c r="N37" s="4">
        <f ca="1">INDEX(apuestas_may24[desvio],MATCH(resultados_may[[#This Row],[Apuesta MiniPorra]],apuestas_may24[Apuesta Miniporra],0))</f>
        <v>-5.3999999999999986</v>
      </c>
      <c r="O37" s="13">
        <f ca="1">INDEX(apuestas_may24[desvio %],MATCH(resultados_may[[#This Row],[Apuesta MiniPorra]],apuestas_may24[Apuesta Miniporra],0))</f>
        <v>0.17763157894736839</v>
      </c>
      <c r="P37" s="42">
        <v>31</v>
      </c>
      <c r="Q37" s="28">
        <v>2.69</v>
      </c>
    </row>
    <row r="38" spans="1:18" x14ac:dyDescent="0.2">
      <c r="A38" t="s">
        <v>563</v>
      </c>
      <c r="B38" t="s">
        <v>221</v>
      </c>
      <c r="C38" s="28">
        <v>24.93</v>
      </c>
      <c r="D38" t="s">
        <v>118</v>
      </c>
      <c r="E38" t="s">
        <v>124</v>
      </c>
      <c r="F38" s="28">
        <f ca="1">apuestas_may24[[#This Row],[Apuesta Miniporra]]-$B$3</f>
        <v>-5.4699999999999989</v>
      </c>
      <c r="G38" s="68">
        <f ca="1">ABS(apuestas_may24[[#This Row],[desvio]])/$B$3</f>
        <v>0.17993421052631575</v>
      </c>
      <c r="H38" s="4">
        <f ca="1">_xlfn.RANK.EQ(apuestas_may24[[#This Row],[desvio %]],apuestas_may24[desvio %],1)</f>
        <v>28</v>
      </c>
      <c r="J38" s="66" t="s">
        <v>563</v>
      </c>
      <c r="K38" s="4">
        <f ca="1">INDEX(apuestas_may24[orden],MATCH(resultados_may[Apuesta MiniPorra],apuestas_may24[Apuesta Miniporra],0))</f>
        <v>28</v>
      </c>
      <c r="L38" s="63" t="str">
        <f>apuestas_may24[[#This Row],[Nombre]]</f>
        <v>Alfonso Lezcano</v>
      </c>
      <c r="M38" s="28">
        <f>apuestas_may24[[#This Row],[Apuesta Miniporra]]</f>
        <v>24.93</v>
      </c>
      <c r="N38" s="4">
        <f ca="1">INDEX(apuestas_may24[desvio],MATCH(resultados_may[[#This Row],[Apuesta MiniPorra]],apuestas_may24[Apuesta Miniporra],0))</f>
        <v>-5.4699999999999989</v>
      </c>
      <c r="O38" s="13">
        <f ca="1">INDEX(apuestas_may24[desvio %],MATCH(resultados_may[[#This Row],[Apuesta MiniPorra]],apuestas_may24[Apuesta Miniporra],0))</f>
        <v>0.17993421052631575</v>
      </c>
      <c r="P38" s="35"/>
      <c r="Q38" s="49"/>
    </row>
    <row r="39" spans="1:18" x14ac:dyDescent="0.2">
      <c r="A39" t="s">
        <v>563</v>
      </c>
      <c r="B39" t="s">
        <v>226</v>
      </c>
      <c r="C39" s="28">
        <v>24.39</v>
      </c>
      <c r="D39" t="s">
        <v>118</v>
      </c>
      <c r="E39" t="s">
        <v>593</v>
      </c>
      <c r="F39" s="28">
        <f ca="1">apuestas_may24[[#This Row],[Apuesta Miniporra]]-$B$3</f>
        <v>-6.009999999999998</v>
      </c>
      <c r="G39" s="68">
        <f ca="1">ABS(apuestas_may24[[#This Row],[desvio]])/$B$3</f>
        <v>0.19769736842105257</v>
      </c>
      <c r="H39" s="4">
        <f ca="1">_xlfn.RANK.EQ(apuestas_may24[[#This Row],[desvio %]],apuestas_may24[desvio %],1)</f>
        <v>29</v>
      </c>
      <c r="J39" s="66" t="s">
        <v>563</v>
      </c>
      <c r="K39" s="4">
        <f ca="1">INDEX(apuestas_may24[orden],MATCH(resultados_may[Apuesta MiniPorra],apuestas_may24[Apuesta Miniporra],0))</f>
        <v>29</v>
      </c>
      <c r="L39" s="63" t="str">
        <f>apuestas_may24[[#This Row],[Nombre]]</f>
        <v>Alejandro A. Díaz González</v>
      </c>
      <c r="M39" s="28">
        <f>apuestas_may24[[#This Row],[Apuesta Miniporra]]</f>
        <v>24.39</v>
      </c>
      <c r="N39" s="4">
        <f ca="1">INDEX(apuestas_may24[desvio],MATCH(resultados_may[[#This Row],[Apuesta MiniPorra]],apuestas_may24[Apuesta Miniporra],0))</f>
        <v>-6.009999999999998</v>
      </c>
      <c r="O39" s="13">
        <f ca="1">INDEX(apuestas_may24[desvio %],MATCH(resultados_may[[#This Row],[Apuesta MiniPorra]],apuestas_may24[Apuesta Miniporra],0))</f>
        <v>0.19769736842105257</v>
      </c>
      <c r="P39" s="35"/>
      <c r="Q39" s="49"/>
    </row>
    <row r="40" spans="1:18" x14ac:dyDescent="0.2">
      <c r="A40" t="s">
        <v>563</v>
      </c>
      <c r="B40" t="s">
        <v>806</v>
      </c>
      <c r="C40" s="28">
        <v>23.7</v>
      </c>
      <c r="D40" t="s">
        <v>625</v>
      </c>
      <c r="E40" t="s">
        <v>626</v>
      </c>
      <c r="F40" s="28">
        <f ca="1">apuestas_may24[[#This Row],[Apuesta Miniporra]]-$B$3</f>
        <v>-6.6999999999999993</v>
      </c>
      <c r="G40" s="68">
        <f ca="1">ABS(apuestas_may24[[#This Row],[desvio]])/$B$3</f>
        <v>0.22039473684210525</v>
      </c>
      <c r="H40" s="4">
        <f ca="1">_xlfn.RANK.EQ(apuestas_may24[[#This Row],[desvio %]],apuestas_may24[desvio %],1)</f>
        <v>30</v>
      </c>
      <c r="J40" s="66" t="s">
        <v>563</v>
      </c>
      <c r="K40" s="4">
        <f ca="1">INDEX(apuestas_may24[orden],MATCH(resultados_may[Apuesta MiniPorra],apuestas_may24[Apuesta Miniporra],0))</f>
        <v>30</v>
      </c>
      <c r="L40" s="63" t="str">
        <f>apuestas_may24[[#This Row],[Nombre]]</f>
        <v>Gabino Jiménez-Castillo</v>
      </c>
      <c r="M40" s="28">
        <f>apuestas_may24[[#This Row],[Apuesta Miniporra]]</f>
        <v>23.7</v>
      </c>
      <c r="N40" s="4">
        <f ca="1">INDEX(apuestas_may24[desvio],MATCH(resultados_may[[#This Row],[Apuesta MiniPorra]],apuestas_may24[Apuesta Miniporra],0))</f>
        <v>-6.6999999999999993</v>
      </c>
      <c r="O40" s="13">
        <f ca="1">INDEX(apuestas_may24[desvio %],MATCH(resultados_may[[#This Row],[Apuesta MiniPorra]],apuestas_may24[Apuesta Miniporra],0))</f>
        <v>0.22039473684210525</v>
      </c>
      <c r="P40" s="35"/>
      <c r="Q40" s="49"/>
    </row>
    <row r="41" spans="1:18" x14ac:dyDescent="0.2">
      <c r="A41" t="s">
        <v>563</v>
      </c>
      <c r="B41" t="s">
        <v>411</v>
      </c>
      <c r="C41" s="28">
        <v>22.02</v>
      </c>
      <c r="D41" t="s">
        <v>606</v>
      </c>
      <c r="E41" t="s">
        <v>112</v>
      </c>
      <c r="F41" s="28">
        <f ca="1">apuestas_may24[[#This Row],[Apuesta Miniporra]]-$B$3</f>
        <v>-8.379999999999999</v>
      </c>
      <c r="G41" s="68">
        <f ca="1">ABS(apuestas_may24[[#This Row],[desvio]])/$B$3</f>
        <v>0.2756578947368421</v>
      </c>
      <c r="H41" s="4">
        <f ca="1">_xlfn.RANK.EQ(apuestas_may24[[#This Row],[desvio %]],apuestas_may24[desvio %],1)</f>
        <v>33</v>
      </c>
      <c r="J41" s="66" t="s">
        <v>563</v>
      </c>
      <c r="K41" s="4">
        <f ca="1">INDEX(apuestas_may24[orden],MATCH(resultados_may[Apuesta MiniPorra],apuestas_may24[Apuesta Miniporra],0))</f>
        <v>33</v>
      </c>
      <c r="L41" s="63" t="str">
        <f>apuestas_may24[[#This Row],[Nombre]]</f>
        <v>Jonathan Pazmiño Espinoza</v>
      </c>
      <c r="M41" s="28">
        <f>apuestas_may24[[#This Row],[Apuesta Miniporra]]</f>
        <v>22.02</v>
      </c>
      <c r="N41" s="4">
        <f ca="1">INDEX(apuestas_may24[desvio],MATCH(resultados_may[[#This Row],[Apuesta MiniPorra]],apuestas_may24[Apuesta Miniporra],0))</f>
        <v>-8.379999999999999</v>
      </c>
      <c r="O41" s="13">
        <f ca="1">INDEX(apuestas_may24[desvio %],MATCH(resultados_may[[#This Row],[Apuesta MiniPorra]],apuestas_may24[Apuesta Miniporra],0))</f>
        <v>0.2756578947368421</v>
      </c>
      <c r="P41" s="35"/>
      <c r="Q41" s="49"/>
    </row>
    <row r="42" spans="1:18" x14ac:dyDescent="0.2">
      <c r="A42" t="s">
        <v>563</v>
      </c>
      <c r="B42" t="s">
        <v>363</v>
      </c>
      <c r="C42" s="28">
        <v>21.6</v>
      </c>
      <c r="D42" t="s">
        <v>595</v>
      </c>
      <c r="E42" t="s">
        <v>76</v>
      </c>
      <c r="F42" s="28">
        <f ca="1">apuestas_may24[[#This Row],[Apuesta Miniporra]]-$B$3</f>
        <v>-8.7999999999999972</v>
      </c>
      <c r="G42" s="68">
        <f ca="1">ABS(apuestas_may24[[#This Row],[desvio]])/$B$3</f>
        <v>0.28947368421052622</v>
      </c>
      <c r="H42" s="4">
        <f ca="1">_xlfn.RANK.EQ(apuestas_may24[[#This Row],[desvio %]],apuestas_may24[desvio %],1)</f>
        <v>34</v>
      </c>
      <c r="J42" s="66" t="s">
        <v>563</v>
      </c>
      <c r="K42" s="4">
        <f ca="1">INDEX(apuestas_may24[orden],MATCH(resultados_may[Apuesta MiniPorra],apuestas_may24[Apuesta Miniporra],0))</f>
        <v>34</v>
      </c>
      <c r="L42" t="str">
        <f>apuestas_may24[[#This Row],[Nombre]]</f>
        <v>Roque Alonso Alonso</v>
      </c>
      <c r="M42" s="28">
        <f>apuestas_may24[[#This Row],[Apuesta Miniporra]]</f>
        <v>21.6</v>
      </c>
      <c r="N42" s="4">
        <f ca="1">INDEX(apuestas_may24[desvio],MATCH(resultados_may[[#This Row],[Apuesta MiniPorra]],apuestas_may24[Apuesta Miniporra],0))</f>
        <v>-8.7999999999999972</v>
      </c>
      <c r="O42" s="13">
        <f ca="1">INDEX(apuestas_may24[desvio %],MATCH(resultados_may[[#This Row],[Apuesta MiniPorra]],apuestas_may24[Apuesta Miniporra],0))</f>
        <v>0.28947368421052622</v>
      </c>
      <c r="P42" s="35"/>
      <c r="Q42" s="49"/>
    </row>
    <row r="43" spans="1:18" x14ac:dyDescent="0.2">
      <c r="A43" t="s">
        <v>563</v>
      </c>
      <c r="B43" t="s">
        <v>655</v>
      </c>
      <c r="C43" s="28">
        <v>18.760000000000002</v>
      </c>
      <c r="D43" t="s">
        <v>565</v>
      </c>
      <c r="E43" t="s">
        <v>566</v>
      </c>
      <c r="F43" s="28">
        <f ca="1">apuestas_may24[[#This Row],[Apuesta Miniporra]]-$B$3</f>
        <v>-11.639999999999997</v>
      </c>
      <c r="G43" s="68">
        <f ca="1">ABS(apuestas_may24[[#This Row],[desvio]])/$B$3</f>
        <v>0.38289473684210518</v>
      </c>
      <c r="H43" s="4">
        <f ca="1">_xlfn.RANK.EQ(apuestas_may24[[#This Row],[desvio %]],apuestas_may24[desvio %],1)</f>
        <v>36</v>
      </c>
      <c r="J43" s="66" t="s">
        <v>563</v>
      </c>
      <c r="K43" s="4">
        <f ca="1">INDEX(apuestas_may24[orden],MATCH(resultados_may[Apuesta MiniPorra],apuestas_may24[Apuesta Miniporra],0))</f>
        <v>36</v>
      </c>
      <c r="L43" t="str">
        <f>apuestas_may24[[#This Row],[Nombre]]</f>
        <v>Sergio Gallego Bolaños</v>
      </c>
      <c r="M43" s="28">
        <f>apuestas_may24[[#This Row],[Apuesta Miniporra]]</f>
        <v>18.760000000000002</v>
      </c>
      <c r="N43" s="4">
        <f ca="1">INDEX(apuestas_may24[desvio],MATCH(resultados_may[[#This Row],[Apuesta MiniPorra]],apuestas_may24[Apuesta Miniporra],0))</f>
        <v>-11.639999999999997</v>
      </c>
      <c r="O43" s="13">
        <f ca="1">INDEX(apuestas_may24[desvio %],MATCH(resultados_may[[#This Row],[Apuesta MiniPorra]],apuestas_may24[Apuesta Miniporra],0))</f>
        <v>0.38289473684210518</v>
      </c>
      <c r="P43" s="35"/>
      <c r="Q43" s="49"/>
    </row>
    <row r="44" spans="1:18" x14ac:dyDescent="0.2">
      <c r="A44" t="s">
        <v>563</v>
      </c>
      <c r="B44" t="s">
        <v>650</v>
      </c>
      <c r="C44" s="28">
        <v>18.12</v>
      </c>
      <c r="D44" t="s">
        <v>618</v>
      </c>
      <c r="E44" t="s">
        <v>619</v>
      </c>
      <c r="F44" s="28">
        <f ca="1">apuestas_may24[[#This Row],[Apuesta Miniporra]]-$B$3</f>
        <v>-12.279999999999998</v>
      </c>
      <c r="G44" s="68">
        <f ca="1">ABS(apuestas_may24[[#This Row],[desvio]])/$B$3</f>
        <v>0.40394736842105256</v>
      </c>
      <c r="H44" s="4">
        <f ca="1">_xlfn.RANK.EQ(apuestas_may24[[#This Row],[desvio %]],apuestas_may24[desvio %],1)</f>
        <v>37</v>
      </c>
      <c r="J44" s="66" t="s">
        <v>563</v>
      </c>
      <c r="K44" s="4">
        <f ca="1">INDEX(apuestas_may24[orden],MATCH(resultados_may[Apuesta MiniPorra],apuestas_may24[Apuesta Miniporra],0))</f>
        <v>37</v>
      </c>
      <c r="L44" t="str">
        <f>apuestas_may24[[#This Row],[Nombre]]</f>
        <v>Sergio Nistal Prieto</v>
      </c>
      <c r="M44" s="28">
        <f>apuestas_may24[[#This Row],[Apuesta Miniporra]]</f>
        <v>18.12</v>
      </c>
      <c r="N44" s="4">
        <f ca="1">INDEX(apuestas_may24[desvio],MATCH(resultados_may[[#This Row],[Apuesta MiniPorra]],apuestas_may24[Apuesta Miniporra],0))</f>
        <v>-12.279999999999998</v>
      </c>
      <c r="O44" s="13">
        <f ca="1">INDEX(apuestas_may24[desvio %],MATCH(resultados_may[[#This Row],[Apuesta MiniPorra]],apuestas_may24[Apuesta Miniporra],0))</f>
        <v>0.40394736842105256</v>
      </c>
      <c r="P44" s="35"/>
      <c r="Q44" s="49"/>
    </row>
    <row r="45" spans="1:18" x14ac:dyDescent="0.2">
      <c r="A45" t="s">
        <v>563</v>
      </c>
      <c r="B45" t="s">
        <v>218</v>
      </c>
      <c r="C45" s="28">
        <v>15.5</v>
      </c>
      <c r="D45" t="s">
        <v>571</v>
      </c>
      <c r="E45" t="s">
        <v>464</v>
      </c>
      <c r="F45" s="28">
        <f ca="1">apuestas_may24[[#This Row],[Apuesta Miniporra]]-$B$3</f>
        <v>-14.899999999999999</v>
      </c>
      <c r="G45" s="68">
        <f ca="1">ABS(apuestas_may24[[#This Row],[desvio]])/$B$3</f>
        <v>0.49013157894736842</v>
      </c>
      <c r="H45" s="4">
        <f ca="1">_xlfn.RANK.EQ(apuestas_may24[[#This Row],[desvio %]],apuestas_may24[desvio %],1)</f>
        <v>38</v>
      </c>
      <c r="J45" s="66" t="s">
        <v>563</v>
      </c>
      <c r="K45" s="4">
        <f ca="1">INDEX(apuestas_may24[orden],MATCH(resultados_may[Apuesta MiniPorra],apuestas_may24[Apuesta Miniporra],0))</f>
        <v>38</v>
      </c>
      <c r="L45" t="str">
        <f>apuestas_may24[[#This Row],[Nombre]]</f>
        <v>Jorge Antonio González Sánchez</v>
      </c>
      <c r="M45" s="28">
        <f>apuestas_may24[[#This Row],[Apuesta Miniporra]]</f>
        <v>15.5</v>
      </c>
      <c r="N45" s="4">
        <f ca="1">INDEX(apuestas_may24[desvio],MATCH(resultados_may[[#This Row],[Apuesta MiniPorra]],apuestas_may24[Apuesta Miniporra],0))</f>
        <v>-14.899999999999999</v>
      </c>
      <c r="O45" s="13">
        <f ca="1">INDEX(apuestas_may24[desvio %],MATCH(resultados_may[[#This Row],[Apuesta MiniPorra]],apuestas_may24[Apuesta Miniporra],0))</f>
        <v>0.49013157894736842</v>
      </c>
      <c r="P45" s="35"/>
      <c r="Q45" s="49"/>
    </row>
    <row r="46" spans="1:18" x14ac:dyDescent="0.2">
      <c r="A46" t="s">
        <v>563</v>
      </c>
      <c r="B46" t="s">
        <v>653</v>
      </c>
      <c r="C46" s="28">
        <v>13.1</v>
      </c>
      <c r="D46" t="s">
        <v>634</v>
      </c>
      <c r="E46" t="s">
        <v>635</v>
      </c>
      <c r="F46" s="28">
        <f ca="1">apuestas_may24[[#This Row],[Apuesta Miniporra]]-$B$3</f>
        <v>-17.299999999999997</v>
      </c>
      <c r="G46" s="68">
        <f ca="1">ABS(apuestas_may24[[#This Row],[desvio]])/$B$3</f>
        <v>0.56907894736842102</v>
      </c>
      <c r="H46" s="4">
        <f ca="1">_xlfn.RANK.EQ(apuestas_may24[[#This Row],[desvio %]],apuestas_may24[desvio %],1)</f>
        <v>39</v>
      </c>
      <c r="J46" s="66" t="s">
        <v>563</v>
      </c>
      <c r="K46" s="4">
        <f ca="1">INDEX(apuestas_may24[orden],MATCH(resultados_may[Apuesta MiniPorra],apuestas_may24[Apuesta Miniporra],0))</f>
        <v>39</v>
      </c>
      <c r="L46" t="str">
        <f>apuestas_may24[[#This Row],[Nombre]]</f>
        <v>Carlos Martínez García</v>
      </c>
      <c r="M46" s="28">
        <f>apuestas_may24[[#This Row],[Apuesta Miniporra]]</f>
        <v>13.1</v>
      </c>
      <c r="N46" s="4">
        <f ca="1">INDEX(apuestas_may24[desvio],MATCH(resultados_may[[#This Row],[Apuesta MiniPorra]],apuestas_may24[Apuesta Miniporra],0))</f>
        <v>-17.299999999999997</v>
      </c>
      <c r="O46" s="13">
        <f ca="1">INDEX(apuestas_may24[desvio %],MATCH(resultados_may[[#This Row],[Apuesta MiniPorra]],apuestas_may24[Apuesta Miniporra],0))</f>
        <v>0.56907894736842102</v>
      </c>
      <c r="P46" s="35"/>
      <c r="Q46" s="49"/>
    </row>
    <row r="47" spans="1:18" x14ac:dyDescent="0.2">
      <c r="A47" t="s">
        <v>563</v>
      </c>
      <c r="B47" t="s">
        <v>225</v>
      </c>
      <c r="C47" s="28">
        <v>11.11</v>
      </c>
      <c r="D47" t="s">
        <v>641</v>
      </c>
      <c r="E47" t="s">
        <v>199</v>
      </c>
      <c r="F47" s="28">
        <f ca="1">apuestas_may24[[#This Row],[Apuesta Miniporra]]-$B$3</f>
        <v>-19.29</v>
      </c>
      <c r="G47" s="68">
        <f ca="1">ABS(apuestas_may24[[#This Row],[desvio]])/$B$3</f>
        <v>0.63453947368421049</v>
      </c>
      <c r="H47" s="4">
        <f ca="1">_xlfn.RANK.EQ(apuestas_may24[[#This Row],[desvio %]],apuestas_may24[desvio %],1)</f>
        <v>41</v>
      </c>
      <c r="J47" s="66" t="s">
        <v>563</v>
      </c>
      <c r="K47" s="4">
        <f ca="1">INDEX(apuestas_may24[orden],MATCH(resultados_may[Apuesta MiniPorra],apuestas_may24[Apuesta Miniporra],0))</f>
        <v>41</v>
      </c>
      <c r="L47" t="str">
        <f>apuestas_may24[[#This Row],[Nombre]]</f>
        <v>Elena Muñoz Vioque</v>
      </c>
      <c r="M47" s="28">
        <f>apuestas_may24[[#This Row],[Apuesta Miniporra]]</f>
        <v>11.11</v>
      </c>
      <c r="N47" s="4">
        <f ca="1">INDEX(apuestas_may24[desvio],MATCH(resultados_may[[#This Row],[Apuesta MiniPorra]],apuestas_may24[Apuesta Miniporra],0))</f>
        <v>-19.29</v>
      </c>
      <c r="O47" s="13">
        <f ca="1">INDEX(apuestas_may24[desvio %],MATCH(resultados_may[[#This Row],[Apuesta MiniPorra]],apuestas_may24[Apuesta Miniporra],0))</f>
        <v>0.63453947368421049</v>
      </c>
      <c r="P47" s="35"/>
      <c r="Q47" s="49"/>
    </row>
    <row r="48" spans="1:18" x14ac:dyDescent="0.2">
      <c r="A48" t="s">
        <v>563</v>
      </c>
      <c r="B48" t="s">
        <v>401</v>
      </c>
      <c r="C48" s="28">
        <v>8.8800000000000008</v>
      </c>
      <c r="D48" t="s">
        <v>118</v>
      </c>
      <c r="E48" t="s">
        <v>621</v>
      </c>
      <c r="F48" s="28">
        <f ca="1">apuestas_may24[[#This Row],[Apuesta Miniporra]]-$B$3</f>
        <v>-21.519999999999996</v>
      </c>
      <c r="G48" s="68">
        <f ca="1">ABS(apuestas_may24[[#This Row],[desvio]])/$B$3</f>
        <v>0.70789473684210513</v>
      </c>
      <c r="H48" s="4">
        <f ca="1">_xlfn.RANK.EQ(apuestas_may24[[#This Row],[desvio %]],apuestas_may24[desvio %],1)</f>
        <v>42</v>
      </c>
      <c r="J48" s="66" t="s">
        <v>563</v>
      </c>
      <c r="K48" s="4">
        <f ca="1">INDEX(apuestas_may24[orden],MATCH(resultados_may[Apuesta MiniPorra],apuestas_may24[Apuesta Miniporra],0))</f>
        <v>42</v>
      </c>
      <c r="L48" t="str">
        <f>apuestas_may24[[#This Row],[Nombre]]</f>
        <v>Juan Pedro Conejo Sanchez</v>
      </c>
      <c r="M48" s="28">
        <f>apuestas_may24[[#This Row],[Apuesta Miniporra]]</f>
        <v>8.8800000000000008</v>
      </c>
      <c r="N48" s="4">
        <f ca="1">INDEX(apuestas_may24[desvio],MATCH(resultados_may[[#This Row],[Apuesta MiniPorra]],apuestas_may24[Apuesta Miniporra],0))</f>
        <v>-21.519999999999996</v>
      </c>
      <c r="O48" s="13">
        <f ca="1">INDEX(apuestas_may24[desvio %],MATCH(resultados_may[[#This Row],[Apuesta MiniPorra]],apuestas_may24[Apuesta Miniporra],0))</f>
        <v>0.70789473684210513</v>
      </c>
      <c r="P48" s="35"/>
      <c r="Q48" s="49"/>
    </row>
    <row r="49" spans="1:17" x14ac:dyDescent="0.2">
      <c r="A49" t="s">
        <v>563</v>
      </c>
      <c r="B49" t="s">
        <v>242</v>
      </c>
      <c r="C49" s="28">
        <v>7.5</v>
      </c>
      <c r="D49" t="s">
        <v>118</v>
      </c>
      <c r="E49" t="s">
        <v>242</v>
      </c>
      <c r="F49" s="28">
        <f ca="1">apuestas_may24[[#This Row],[Apuesta Miniporra]]-$B$3</f>
        <v>-22.9</v>
      </c>
      <c r="G49" s="68">
        <f ca="1">ABS(apuestas_may24[[#This Row],[desvio]])/$B$3</f>
        <v>0.75328947368421051</v>
      </c>
      <c r="H49" s="4">
        <f ca="1">_xlfn.RANK.EQ(apuestas_may24[[#This Row],[desvio %]],apuestas_may24[desvio %],1)</f>
        <v>43</v>
      </c>
      <c r="J49" s="66" t="s">
        <v>563</v>
      </c>
      <c r="K49" s="4">
        <f ca="1">INDEX(apuestas_may24[orden],MATCH(resultados_may[Apuesta MiniPorra],apuestas_may24[Apuesta Miniporra],0))</f>
        <v>43</v>
      </c>
      <c r="L49" t="str">
        <f>apuestas_may24[[#This Row],[Nombre]]</f>
        <v>Javier Espelta</v>
      </c>
      <c r="M49" s="28">
        <f>apuestas_may24[[#This Row],[Apuesta Miniporra]]</f>
        <v>7.5</v>
      </c>
      <c r="N49" s="4">
        <f ca="1">INDEX(apuestas_may24[desvio],MATCH(resultados_may[[#This Row],[Apuesta MiniPorra]],apuestas_may24[Apuesta Miniporra],0))</f>
        <v>-22.9</v>
      </c>
      <c r="O49" s="71">
        <f ca="1">INDEX(apuestas_may24[desvio %],MATCH(resultados_may[[#This Row],[Apuesta MiniPorra]],apuestas_may24[Apuesta Miniporra],0))</f>
        <v>0.75328947368421051</v>
      </c>
      <c r="P49" s="35"/>
      <c r="Q49" s="49"/>
    </row>
    <row r="50" spans="1:17" x14ac:dyDescent="0.2">
      <c r="P50" s="35"/>
      <c r="Q50" s="49"/>
    </row>
    <row r="51" spans="1:17" x14ac:dyDescent="0.2">
      <c r="P51" s="35"/>
      <c r="Q51" s="49"/>
    </row>
    <row r="52" spans="1:17" x14ac:dyDescent="0.2">
      <c r="P52" s="35"/>
      <c r="Q52" s="49"/>
    </row>
    <row r="53" spans="1:17" x14ac:dyDescent="0.2">
      <c r="P53" s="35"/>
      <c r="Q53" s="49"/>
    </row>
    <row r="54" spans="1:17" x14ac:dyDescent="0.2">
      <c r="P54" s="35"/>
      <c r="Q54" s="49"/>
    </row>
    <row r="55" spans="1:17" x14ac:dyDescent="0.2">
      <c r="P55" s="35"/>
      <c r="Q55" s="49"/>
    </row>
    <row r="56" spans="1:17" x14ac:dyDescent="0.2">
      <c r="P56" s="35"/>
      <c r="Q56" s="49"/>
    </row>
    <row r="57" spans="1:17" x14ac:dyDescent="0.2">
      <c r="P57" s="35"/>
      <c r="Q57" s="49"/>
    </row>
    <row r="58" spans="1:17" x14ac:dyDescent="0.2">
      <c r="P58" s="35"/>
      <c r="Q58" s="49"/>
    </row>
    <row r="59" spans="1:17" x14ac:dyDescent="0.2">
      <c r="P59" s="35"/>
      <c r="Q59" s="49"/>
    </row>
    <row r="60" spans="1:17" x14ac:dyDescent="0.2">
      <c r="P60" s="35"/>
      <c r="Q60" s="49"/>
    </row>
    <row r="61" spans="1:17" x14ac:dyDescent="0.2">
      <c r="P61" s="35"/>
      <c r="Q61" s="49"/>
    </row>
    <row r="62" spans="1:17" x14ac:dyDescent="0.2">
      <c r="P62" s="35"/>
      <c r="Q62" s="49"/>
    </row>
    <row r="63" spans="1:17" x14ac:dyDescent="0.2">
      <c r="P63" s="35"/>
      <c r="Q63" s="49"/>
    </row>
    <row r="64" spans="1:17" x14ac:dyDescent="0.2">
      <c r="P64" s="35"/>
      <c r="Q64" s="49"/>
    </row>
    <row r="65" spans="16:17" x14ac:dyDescent="0.2">
      <c r="P65" s="35"/>
      <c r="Q65" s="49"/>
    </row>
    <row r="66" spans="16:17" x14ac:dyDescent="0.2">
      <c r="P66" s="35"/>
      <c r="Q66" s="49"/>
    </row>
    <row r="67" spans="16:17" x14ac:dyDescent="0.2">
      <c r="P67" s="35"/>
      <c r="Q67" s="49"/>
    </row>
    <row r="68" spans="16:17" x14ac:dyDescent="0.2">
      <c r="P68" s="35"/>
      <c r="Q68" s="49"/>
    </row>
    <row r="69" spans="16:17" x14ac:dyDescent="0.2">
      <c r="P69" s="35"/>
      <c r="Q69" s="49"/>
    </row>
    <row r="70" spans="16:17" x14ac:dyDescent="0.2">
      <c r="P70" s="35"/>
      <c r="Q70" s="49"/>
    </row>
    <row r="71" spans="16:17" x14ac:dyDescent="0.2">
      <c r="P71" s="35"/>
      <c r="Q71" s="49"/>
    </row>
    <row r="72" spans="16:17" x14ac:dyDescent="0.2">
      <c r="P72" s="35"/>
      <c r="Q72" s="49"/>
    </row>
  </sheetData>
  <mergeCells count="11">
    <mergeCell ref="G3:H3"/>
    <mergeCell ref="M3:M5"/>
    <mergeCell ref="N3:O5"/>
    <mergeCell ref="P3:Q5"/>
    <mergeCell ref="S20:U22"/>
    <mergeCell ref="K1:L5"/>
    <mergeCell ref="M1:M2"/>
    <mergeCell ref="N1:O2"/>
    <mergeCell ref="P1:Q2"/>
    <mergeCell ref="R1:T5"/>
    <mergeCell ref="U1:U5"/>
  </mergeCells>
  <conditionalFormatting sqref="O7:O49">
    <cfRule type="dataBar" priority="2">
      <dataBar>
        <cfvo type="min"/>
        <cfvo type="max"/>
        <color rgb="FFFF555A"/>
      </dataBar>
      <extLst>
        <ext xmlns:x14="http://schemas.microsoft.com/office/spreadsheetml/2009/9/main" uri="{B025F937-C7B1-47D3-B67F-A62EFF666E3E}">
          <x14:id>{51042E2A-EF37-4775-AC2A-3DBF8FA0318F}</x14:id>
        </ext>
      </extLst>
    </cfRule>
  </conditionalFormatting>
  <conditionalFormatting sqref="K7:O49">
    <cfRule type="expression" dxfId="27" priority="3">
      <formula>$K7=3</formula>
    </cfRule>
    <cfRule type="expression" dxfId="26" priority="4">
      <formula>$K7=2</formula>
    </cfRule>
    <cfRule type="expression" dxfId="25" priority="5">
      <formula>$K7=1</formula>
    </cfRule>
  </conditionalFormatting>
  <conditionalFormatting sqref="C7:C49">
    <cfRule type="duplicateValues" dxfId="24" priority="20"/>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8673" r:id="rId3" name="Button 1">
              <controlPr defaultSize="0" print="0" autoFill="0" autoPict="0" macro="[0]!actualizar_todo">
                <anchor moveWithCells="1" sizeWithCells="1">
                  <from>
                    <xdr:col>3</xdr:col>
                    <xdr:colOff>19050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28674" r:id="rId4" name="Spinner 2">
              <controlPr defaultSize="0" autoPict="0" macro="[0]!Controldenúmero2_Cambiar">
                <anchor moveWithCells="1" sizeWithCells="1">
                  <from>
                    <xdr:col>4</xdr:col>
                    <xdr:colOff>885825</xdr:colOff>
                    <xdr:row>0</xdr:row>
                    <xdr:rowOff>9525</xdr:rowOff>
                  </from>
                  <to>
                    <xdr:col>6</xdr:col>
                    <xdr:colOff>0</xdr:colOff>
                    <xdr:row>3</xdr:row>
                    <xdr:rowOff>0</xdr:rowOff>
                  </to>
                </anchor>
              </controlPr>
            </control>
          </mc:Choice>
        </mc:AlternateContent>
        <mc:AlternateContent xmlns:mc="http://schemas.openxmlformats.org/markup-compatibility/2006">
          <mc:Choice Requires="x14">
            <control shapeId="28675" r:id="rId5" name="Button 3">
              <controlPr defaultSize="0" print="0" autoFill="0" autoPict="0" macro="[0]!actualizar_omie">
                <anchor moveWithCells="1" sizeWithCells="1">
                  <from>
                    <xdr:col>2</xdr:col>
                    <xdr:colOff>723900</xdr:colOff>
                    <xdr:row>3</xdr:row>
                    <xdr:rowOff>0</xdr:rowOff>
                  </from>
                  <to>
                    <xdr:col>3</xdr:col>
                    <xdr:colOff>1381125</xdr:colOff>
                    <xdr:row>5</xdr:row>
                    <xdr:rowOff>0</xdr:rowOff>
                  </to>
                </anchor>
              </controlPr>
            </control>
          </mc:Choice>
        </mc:AlternateContent>
        <mc:AlternateContent xmlns:mc="http://schemas.openxmlformats.org/markup-compatibility/2006">
          <mc:Choice Requires="x14">
            <control shapeId="28676" r:id="rId6" name="Button 4">
              <controlPr defaultSize="0" print="0" autoFill="0" autoPict="0" macro="[0]!actualizar_externo">
                <anchor moveWithCells="1" sizeWithCells="1">
                  <from>
                    <xdr:col>3</xdr:col>
                    <xdr:colOff>1400175</xdr:colOff>
                    <xdr:row>3</xdr:row>
                    <xdr:rowOff>0</xdr:rowOff>
                  </from>
                  <to>
                    <xdr:col>6</xdr:col>
                    <xdr:colOff>0</xdr:colOff>
                    <xdr:row>5</xdr:row>
                    <xdr:rowOff>0</xdr:rowOff>
                  </to>
                </anchor>
              </controlPr>
            </control>
          </mc:Choice>
        </mc:AlternateContent>
      </controls>
    </mc:Choice>
  </mc:AlternateContent>
  <tableParts count="3">
    <tablePart r:id="rId7"/>
    <tablePart r:id="rId8"/>
    <tablePart r:id="rId9"/>
  </tableParts>
  <extLst>
    <ext xmlns:x14="http://schemas.microsoft.com/office/spreadsheetml/2009/9/main" uri="{78C0D931-6437-407d-A8EE-F0AAD7539E65}">
      <x14:conditionalFormattings>
        <x14:conditionalFormatting xmlns:xm="http://schemas.microsoft.com/office/excel/2006/main">
          <x14:cfRule type="dataBar" id="{51042E2A-EF37-4775-AC2A-3DBF8FA0318F}">
            <x14:dataBar minLength="0" maxLength="100" border="1" negativeBarBorderColorSameAsPositive="0">
              <x14:cfvo type="autoMin"/>
              <x14:cfvo type="autoMax"/>
              <x14:borderColor rgb="FFFF555A"/>
              <x14:negativeFillColor rgb="FFFF0000"/>
              <x14:negativeBorderColor rgb="FFFF0000"/>
              <x14:axisColor rgb="FF000000"/>
            </x14:dataBar>
          </x14:cfRule>
          <xm:sqref>O7:O49</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D760BF-9B30-480F-B093-EC1EF368A972}">
  <sheetPr codeName="Hoja16">
    <tabColor rgb="FF00B050"/>
  </sheetPr>
  <dimension ref="A1:Y72"/>
  <sheetViews>
    <sheetView showGridLines="0" zoomScale="115" zoomScaleNormal="115" workbookViewId="0">
      <selection activeCell="D21" sqref="D21"/>
    </sheetView>
  </sheetViews>
  <sheetFormatPr baseColWidth="10" defaultRowHeight="12" x14ac:dyDescent="0.2"/>
  <cols>
    <col min="1" max="1" width="12.42578125" customWidth="1"/>
    <col min="2" max="2" width="24.7109375" customWidth="1"/>
    <col min="3" max="3" width="10.85546875" style="4" bestFit="1" customWidth="1"/>
    <col min="4" max="4" width="19.42578125" customWidth="1"/>
    <col min="5" max="5" width="6.5703125" customWidth="1"/>
    <col min="6" max="6" width="10.5703125" bestFit="1" customWidth="1"/>
    <col min="7" max="7" width="10.7109375" customWidth="1"/>
    <col min="8" max="8" width="10" bestFit="1" customWidth="1"/>
    <col min="9" max="9" width="2.42578125" customWidth="1"/>
    <col min="10" max="10" width="6.85546875" customWidth="1"/>
    <col min="11" max="11" width="8.42578125" bestFit="1" customWidth="1"/>
    <col min="12" max="12" width="29.28515625" customWidth="1"/>
    <col min="16" max="16" width="9.28515625" style="4" customWidth="1"/>
    <col min="17" max="17" width="12.42578125" customWidth="1"/>
    <col min="18" max="19" width="12.7109375" customWidth="1"/>
    <col min="20" max="21" width="12.7109375" style="4" customWidth="1"/>
    <col min="22" max="23" width="12.7109375" customWidth="1"/>
    <col min="24" max="24" width="12" customWidth="1"/>
    <col min="25" max="25" width="33.5703125" customWidth="1"/>
  </cols>
  <sheetData>
    <row r="1" spans="1:25" ht="12" customHeight="1" x14ac:dyDescent="0.2">
      <c r="A1" t="s">
        <v>228</v>
      </c>
      <c r="B1" s="23">
        <f>COUNTA(apuestas_jun24[Mes de apuesta])</f>
        <v>53</v>
      </c>
      <c r="G1" s="15" t="s">
        <v>236</v>
      </c>
      <c r="H1" s="23">
        <v>10</v>
      </c>
      <c r="I1" s="29"/>
      <c r="K1" s="118" t="s">
        <v>546</v>
      </c>
      <c r="L1" s="119"/>
      <c r="M1" s="107" t="s">
        <v>3</v>
      </c>
      <c r="N1" s="113" t="s">
        <v>811</v>
      </c>
      <c r="O1" s="114"/>
      <c r="P1" s="111" t="s">
        <v>4</v>
      </c>
      <c r="Q1" s="112"/>
      <c r="R1" s="133" t="s">
        <v>812</v>
      </c>
      <c r="S1" s="134"/>
      <c r="T1" s="134"/>
      <c r="U1" s="89"/>
      <c r="Y1" s="97"/>
    </row>
    <row r="2" spans="1:25" ht="12" customHeight="1" x14ac:dyDescent="0.2">
      <c r="A2" t="s">
        <v>3</v>
      </c>
      <c r="B2" s="23" t="str">
        <f>A7</f>
        <v>Jun 2024</v>
      </c>
      <c r="C2" s="4" t="s">
        <v>243</v>
      </c>
      <c r="G2" s="15" t="s">
        <v>253</v>
      </c>
      <c r="H2" s="24">
        <f ca="1">TODAY()</f>
        <v>45453</v>
      </c>
      <c r="I2" s="29"/>
      <c r="K2" s="120"/>
      <c r="L2" s="121"/>
      <c r="M2" s="108"/>
      <c r="N2" s="115"/>
      <c r="O2" s="116"/>
      <c r="P2" s="111"/>
      <c r="Q2" s="112"/>
      <c r="R2" s="133"/>
      <c r="S2" s="134"/>
      <c r="T2" s="134"/>
      <c r="U2" s="89"/>
      <c r="Y2" s="97"/>
    </row>
    <row r="3" spans="1:25" ht="12" customHeight="1" x14ac:dyDescent="0.2">
      <c r="A3" t="s">
        <v>229</v>
      </c>
      <c r="B3" s="44">
        <f ca="1">IF(C3="",ROUND(AVERAGE(omie!T5:OFFSET(omie!T5,MATCH(B4,omie_junio[fecha],0)-1,0)),2),C3)</f>
        <v>52.05</v>
      </c>
      <c r="C3" s="65"/>
      <c r="G3" s="97" t="s">
        <v>248</v>
      </c>
      <c r="H3" s="97"/>
      <c r="I3" s="29"/>
      <c r="K3" s="120"/>
      <c r="L3" s="121"/>
      <c r="M3" s="109" t="s">
        <v>13</v>
      </c>
      <c r="N3" s="117">
        <f>H1</f>
        <v>10</v>
      </c>
      <c r="O3" s="117"/>
      <c r="P3" s="110">
        <f ca="1">B3</f>
        <v>52.05</v>
      </c>
      <c r="Q3" s="110"/>
      <c r="R3" s="133"/>
      <c r="S3" s="134"/>
      <c r="T3" s="134"/>
      <c r="U3" s="89"/>
      <c r="Y3" s="97"/>
    </row>
    <row r="4" spans="1:25" ht="12" customHeight="1" x14ac:dyDescent="0.2">
      <c r="A4" t="s">
        <v>6</v>
      </c>
      <c r="B4" s="3">
        <f>DATE(2024,6,H1)</f>
        <v>45453</v>
      </c>
      <c r="G4" t="s">
        <v>247</v>
      </c>
      <c r="H4" s="67">
        <f>[1]omie_dinamic_dia!$G$2</f>
        <v>10</v>
      </c>
      <c r="I4" s="29"/>
      <c r="K4" s="120"/>
      <c r="L4" s="121"/>
      <c r="M4" s="109"/>
      <c r="N4" s="117"/>
      <c r="O4" s="117"/>
      <c r="P4" s="110"/>
      <c r="Q4" s="110"/>
      <c r="R4" s="133"/>
      <c r="S4" s="134"/>
      <c r="T4" s="134"/>
      <c r="U4" s="89"/>
      <c r="Y4" s="97"/>
    </row>
    <row r="5" spans="1:25" ht="12" customHeight="1" x14ac:dyDescent="0.2">
      <c r="A5" t="s">
        <v>15</v>
      </c>
      <c r="B5" s="3">
        <f>MAX(omie_junio[fecha])</f>
        <v>45453</v>
      </c>
      <c r="I5" s="29"/>
      <c r="K5" s="122"/>
      <c r="L5" s="123"/>
      <c r="M5" s="109"/>
      <c r="N5" s="117"/>
      <c r="O5" s="117"/>
      <c r="P5" s="110"/>
      <c r="Q5" s="110"/>
      <c r="R5" s="133"/>
      <c r="S5" s="134"/>
      <c r="T5" s="134"/>
      <c r="U5" s="89"/>
      <c r="Y5" s="97"/>
    </row>
    <row r="6" spans="1:25" s="1" customFormat="1" ht="24.75" thickBot="1" x14ac:dyDescent="0.25">
      <c r="A6" s="1" t="s">
        <v>18</v>
      </c>
      <c r="B6" s="2" t="s">
        <v>233</v>
      </c>
      <c r="C6" s="64" t="s">
        <v>234</v>
      </c>
      <c r="D6" t="s">
        <v>20</v>
      </c>
      <c r="E6" t="s">
        <v>214</v>
      </c>
      <c r="F6" s="34" t="s">
        <v>230</v>
      </c>
      <c r="G6" s="34" t="s">
        <v>231</v>
      </c>
      <c r="H6" s="34" t="s">
        <v>232</v>
      </c>
      <c r="J6" s="52" t="s">
        <v>3</v>
      </c>
      <c r="K6" s="11" t="s">
        <v>12</v>
      </c>
      <c r="L6" s="12" t="s">
        <v>0</v>
      </c>
      <c r="M6" s="7" t="s">
        <v>1</v>
      </c>
      <c r="N6" s="8" t="s">
        <v>5</v>
      </c>
      <c r="O6" s="8" t="s">
        <v>7</v>
      </c>
      <c r="P6" s="1" t="s">
        <v>244</v>
      </c>
      <c r="Q6" s="1" t="s">
        <v>245</v>
      </c>
      <c r="X6" s="4"/>
      <c r="Y6" s="4"/>
    </row>
    <row r="7" spans="1:25" ht="12.75" thickTop="1" x14ac:dyDescent="0.2">
      <c r="A7" t="s">
        <v>697</v>
      </c>
      <c r="B7" t="s">
        <v>804</v>
      </c>
      <c r="C7" s="28">
        <v>99.95</v>
      </c>
      <c r="D7" t="s">
        <v>754</v>
      </c>
      <c r="E7" t="s">
        <v>755</v>
      </c>
      <c r="F7" s="28">
        <f ca="1">apuestas_jun24[[#This Row],[Apuesta Miniporra]]-$B$3</f>
        <v>47.900000000000006</v>
      </c>
      <c r="G7" s="68">
        <f ca="1">ABS(apuestas_jun24[[#This Row],[desvio]])/$B$3</f>
        <v>0.92026897214217118</v>
      </c>
      <c r="H7" s="4">
        <f ca="1">_xlfn.RANK.EQ(apuestas_jun24[[#This Row],[desvio %]],apuestas_jun24[desvio %],1)</f>
        <v>53</v>
      </c>
      <c r="J7" s="66" t="s">
        <v>697</v>
      </c>
      <c r="K7" s="10">
        <f ca="1">INDEX(apuestas_jun24[orden],MATCH(resultados_jun[Apuesta MiniPorra],apuestas_jun24[Apuesta Miniporra],0))</f>
        <v>53</v>
      </c>
      <c r="L7" s="6" t="str">
        <f>apuestas_jun24[[#This Row],[Nombre]]</f>
        <v>Jesús Aceituno López</v>
      </c>
      <c r="M7" s="14">
        <f>apuestas_jun24[[#This Row],[Apuesta Miniporra]]</f>
        <v>99.95</v>
      </c>
      <c r="N7" s="14">
        <f ca="1">INDEX(apuestas_jun24[desvio],MATCH(resultados_jun[[#This Row],[Apuesta MiniPorra]],apuestas_jun24[Apuesta Miniporra],0))</f>
        <v>47.900000000000006</v>
      </c>
      <c r="O7" s="13">
        <f ca="1">INDEX(apuestas_jun24[desvio %],MATCH(resultados_jun[[#This Row],[Apuesta MiniPorra]],apuestas_jun24[Apuesta Miniporra],0))</f>
        <v>0.92026897214217118</v>
      </c>
      <c r="P7" s="4">
        <v>1</v>
      </c>
      <c r="Q7" s="4">
        <f>IF(ISBLANK(omie!S5),"",omie!T5)</f>
        <v>1.76</v>
      </c>
      <c r="T7"/>
      <c r="U7"/>
      <c r="X7" s="4"/>
      <c r="Y7" s="4"/>
    </row>
    <row r="8" spans="1:25" x14ac:dyDescent="0.2">
      <c r="A8" t="s">
        <v>697</v>
      </c>
      <c r="B8" t="s">
        <v>652</v>
      </c>
      <c r="C8" s="28">
        <v>86.46</v>
      </c>
      <c r="D8" t="s">
        <v>118</v>
      </c>
      <c r="E8" t="s">
        <v>776</v>
      </c>
      <c r="F8" s="28">
        <f ca="1">apuestas_jun24[[#This Row],[Apuesta Miniporra]]-$B$3</f>
        <v>34.409999999999997</v>
      </c>
      <c r="G8" s="68">
        <f ca="1">ABS(apuestas_jun24[[#This Row],[desvio]])/$B$3</f>
        <v>0.66109510086455325</v>
      </c>
      <c r="H8" s="4">
        <f ca="1">_xlfn.RANK.EQ(apuestas_jun24[[#This Row],[desvio %]],apuestas_jun24[desvio %],1)</f>
        <v>52</v>
      </c>
      <c r="J8" s="66" t="s">
        <v>697</v>
      </c>
      <c r="K8" s="10">
        <f ca="1">INDEX(apuestas_jun24[orden],MATCH(resultados_jun[Apuesta MiniPorra],apuestas_jun24[Apuesta Miniporra],0))</f>
        <v>52</v>
      </c>
      <c r="L8" s="6" t="str">
        <f>apuestas_jun24[[#This Row],[Nombre]]</f>
        <v>Iñaki Moriana García</v>
      </c>
      <c r="M8" s="14">
        <f>apuestas_jun24[[#This Row],[Apuesta Miniporra]]</f>
        <v>86.46</v>
      </c>
      <c r="N8" s="14">
        <f ca="1">INDEX(apuestas_jun24[desvio],MATCH(resultados_jun[[#This Row],[Apuesta MiniPorra]],apuestas_jun24[Apuesta Miniporra],0))</f>
        <v>34.409999999999997</v>
      </c>
      <c r="O8" s="13">
        <f ca="1">INDEX(apuestas_jun24[desvio %],MATCH(resultados_jun[[#This Row],[Apuesta MiniPorra]],apuestas_jun24[Apuesta Miniporra],0))</f>
        <v>0.66109510086455325</v>
      </c>
      <c r="P8" s="4">
        <v>2</v>
      </c>
      <c r="Q8" s="4">
        <f>IF(ISBLANK(omie!S6),"",omie!T6)</f>
        <v>4.26</v>
      </c>
      <c r="R8" s="88"/>
      <c r="S8" s="88"/>
      <c r="T8"/>
      <c r="U8"/>
      <c r="X8" s="4"/>
      <c r="Y8" s="4"/>
    </row>
    <row r="9" spans="1:25" x14ac:dyDescent="0.2">
      <c r="A9" t="s">
        <v>697</v>
      </c>
      <c r="B9" t="s">
        <v>218</v>
      </c>
      <c r="C9" s="28">
        <v>69</v>
      </c>
      <c r="D9" t="s">
        <v>118</v>
      </c>
      <c r="E9" t="s">
        <v>464</v>
      </c>
      <c r="F9" s="28">
        <f ca="1">apuestas_jun24[[#This Row],[Apuesta Miniporra]]-$B$3</f>
        <v>16.950000000000003</v>
      </c>
      <c r="G9" s="68">
        <f ca="1">ABS(apuestas_jun24[[#This Row],[desvio]])/$B$3</f>
        <v>0.32564841498559083</v>
      </c>
      <c r="H9" s="4">
        <f ca="1">_xlfn.RANK.EQ(apuestas_jun24[[#This Row],[desvio %]],apuestas_jun24[desvio %],1)</f>
        <v>48</v>
      </c>
      <c r="J9" s="66" t="s">
        <v>697</v>
      </c>
      <c r="K9" s="10">
        <f ca="1">INDEX(apuestas_jun24[orden],MATCH(resultados_jun[Apuesta MiniPorra],apuestas_jun24[Apuesta Miniporra],0))</f>
        <v>48</v>
      </c>
      <c r="L9" s="6" t="str">
        <f>apuestas_jun24[[#This Row],[Nombre]]</f>
        <v>Jorge Antonio González Sánchez</v>
      </c>
      <c r="M9" s="14">
        <f>apuestas_jun24[[#This Row],[Apuesta Miniporra]]</f>
        <v>69</v>
      </c>
      <c r="N9" s="14">
        <f ca="1">INDEX(apuestas_jun24[desvio],MATCH(resultados_jun[[#This Row],[Apuesta MiniPorra]],apuestas_jun24[Apuesta Miniporra],0))</f>
        <v>16.950000000000003</v>
      </c>
      <c r="O9" s="13">
        <f ca="1">INDEX(apuestas_jun24[desvio %],MATCH(resultados_jun[[#This Row],[Apuesta MiniPorra]],apuestas_jun24[Apuesta Miniporra],0))</f>
        <v>0.32564841498559083</v>
      </c>
      <c r="P9" s="4">
        <v>3</v>
      </c>
      <c r="Q9" s="4">
        <f>IF(ISBLANK(omie!S7),"",omie!T7)</f>
        <v>28.56</v>
      </c>
      <c r="R9" s="88"/>
      <c r="S9" s="88"/>
      <c r="T9" s="28"/>
      <c r="U9"/>
      <c r="X9" s="4"/>
      <c r="Y9" s="4"/>
    </row>
    <row r="10" spans="1:25" x14ac:dyDescent="0.2">
      <c r="A10" t="s">
        <v>697</v>
      </c>
      <c r="B10" t="s">
        <v>803</v>
      </c>
      <c r="C10" s="28">
        <v>63.57</v>
      </c>
      <c r="D10" t="s">
        <v>748</v>
      </c>
      <c r="E10" t="s">
        <v>749</v>
      </c>
      <c r="F10" s="28">
        <f ca="1">apuestas_jun24[[#This Row],[Apuesta Miniporra]]-$B$3</f>
        <v>11.520000000000003</v>
      </c>
      <c r="G10" s="68">
        <f ca="1">ABS(apuestas_jun24[[#This Row],[desvio]])/$B$3</f>
        <v>0.22132564841498567</v>
      </c>
      <c r="H10" s="4">
        <f ca="1">_xlfn.RANK.EQ(apuestas_jun24[[#This Row],[desvio %]],apuestas_jun24[desvio %],1)</f>
        <v>41</v>
      </c>
      <c r="J10" s="66" t="s">
        <v>697</v>
      </c>
      <c r="K10" s="10">
        <f ca="1">INDEX(apuestas_jun24[orden],MATCH(resultados_jun[Apuesta MiniPorra],apuestas_jun24[Apuesta Miniporra],0))</f>
        <v>41</v>
      </c>
      <c r="L10" s="6" t="str">
        <f>apuestas_jun24[[#This Row],[Nombre]]</f>
        <v>Víctor Baeschlin Sánchez</v>
      </c>
      <c r="M10" s="14">
        <f>apuestas_jun24[[#This Row],[Apuesta Miniporra]]</f>
        <v>63.57</v>
      </c>
      <c r="N10" s="14">
        <f ca="1">INDEX(apuestas_jun24[desvio],MATCH(resultados_jun[[#This Row],[Apuesta MiniPorra]],apuestas_jun24[Apuesta Miniporra],0))</f>
        <v>11.520000000000003</v>
      </c>
      <c r="O10" s="13">
        <f ca="1">INDEX(apuestas_jun24[desvio %],MATCH(resultados_jun[[#This Row],[Apuesta MiniPorra]],apuestas_jun24[Apuesta Miniporra],0))</f>
        <v>0.22132564841498567</v>
      </c>
      <c r="P10" s="4">
        <v>4</v>
      </c>
      <c r="Q10" s="4">
        <f>IF(ISBLANK(omie!S8),"",omie!T8)</f>
        <v>87.64</v>
      </c>
      <c r="R10" s="88"/>
      <c r="S10" s="88"/>
      <c r="T10" s="28"/>
      <c r="U10"/>
      <c r="X10" s="4"/>
      <c r="Y10" s="4"/>
    </row>
    <row r="11" spans="1:25" x14ac:dyDescent="0.2">
      <c r="A11" t="s">
        <v>697</v>
      </c>
      <c r="B11" t="s">
        <v>822</v>
      </c>
      <c r="C11" s="28">
        <v>63.18</v>
      </c>
      <c r="D11" t="s">
        <v>823</v>
      </c>
      <c r="E11" t="s">
        <v>824</v>
      </c>
      <c r="F11" s="28">
        <f ca="1">apuestas_jun24[[#This Row],[Apuesta Miniporra]]-$B$3</f>
        <v>11.130000000000003</v>
      </c>
      <c r="G11" s="68">
        <f ca="1">ABS(apuestas_jun24[[#This Row],[desvio]])/$B$3</f>
        <v>0.21383285302593666</v>
      </c>
      <c r="H11" s="4">
        <f ca="1">_xlfn.RANK.EQ(apuestas_jun24[[#This Row],[desvio %]],apuestas_jun24[desvio %],1)</f>
        <v>40</v>
      </c>
      <c r="J11" s="66" t="s">
        <v>697</v>
      </c>
      <c r="K11" s="10">
        <f ca="1">INDEX(apuestas_jun24[orden],MATCH(resultados_jun[Apuesta MiniPorra],apuestas_jun24[Apuesta Miniporra],0))</f>
        <v>40</v>
      </c>
      <c r="L11" s="6" t="str">
        <f>apuestas_jun24[[#This Row],[Nombre]]</f>
        <v>Jorge González Arconada</v>
      </c>
      <c r="M11" s="14">
        <f>apuestas_jun24[[#This Row],[Apuesta Miniporra]]</f>
        <v>63.18</v>
      </c>
      <c r="N11" s="14">
        <f ca="1">INDEX(apuestas_jun24[desvio],MATCH(resultados_jun[[#This Row],[Apuesta MiniPorra]],apuestas_jun24[Apuesta Miniporra],0))</f>
        <v>11.130000000000003</v>
      </c>
      <c r="O11" s="13">
        <f ca="1">INDEX(apuestas_jun24[desvio %],MATCH(resultados_jun[[#This Row],[Apuesta MiniPorra]],apuestas_jun24[Apuesta Miniporra],0))</f>
        <v>0.21383285302593666</v>
      </c>
      <c r="P11" s="4">
        <v>5</v>
      </c>
      <c r="Q11" s="4">
        <f>IF(ISBLANK(omie!S9),"",omie!T9)</f>
        <v>93.26</v>
      </c>
      <c r="R11" s="88"/>
      <c r="S11" s="88"/>
      <c r="T11" s="28"/>
      <c r="U11"/>
    </row>
    <row r="12" spans="1:25" x14ac:dyDescent="0.2">
      <c r="A12" t="s">
        <v>697</v>
      </c>
      <c r="B12" t="s">
        <v>802</v>
      </c>
      <c r="C12" s="28">
        <v>60.31</v>
      </c>
      <c r="D12" t="s">
        <v>742</v>
      </c>
      <c r="E12" t="s">
        <v>743</v>
      </c>
      <c r="F12" s="28">
        <f ca="1">apuestas_jun24[[#This Row],[Apuesta Miniporra]]-$B$3</f>
        <v>8.2600000000000051</v>
      </c>
      <c r="G12" s="68">
        <f ca="1">ABS(apuestas_jun24[[#This Row],[desvio]])/$B$3</f>
        <v>0.15869356388088388</v>
      </c>
      <c r="H12" s="4">
        <f ca="1">_xlfn.RANK.EQ(apuestas_jun24[[#This Row],[desvio %]],apuestas_jun24[desvio %],1)</f>
        <v>31</v>
      </c>
      <c r="J12" s="66" t="s">
        <v>697</v>
      </c>
      <c r="K12" s="10">
        <f ca="1">INDEX(apuestas_jun24[orden],MATCH(resultados_jun[Apuesta MiniPorra],apuestas_jun24[Apuesta Miniporra],0))</f>
        <v>31</v>
      </c>
      <c r="L12" s="6" t="str">
        <f>apuestas_jun24[[#This Row],[Nombre]]</f>
        <v>Paco Cuadrado</v>
      </c>
      <c r="M12" s="14">
        <f>apuestas_jun24[[#This Row],[Apuesta Miniporra]]</f>
        <v>60.31</v>
      </c>
      <c r="N12" s="14">
        <f ca="1">INDEX(apuestas_jun24[desvio],MATCH(resultados_jun[[#This Row],[Apuesta MiniPorra]],apuestas_jun24[Apuesta Miniporra],0))</f>
        <v>8.2600000000000051</v>
      </c>
      <c r="O12" s="13">
        <f ca="1">INDEX(apuestas_jun24[desvio %],MATCH(resultados_jun[[#This Row],[Apuesta MiniPorra]],apuestas_jun24[Apuesta Miniporra],0))</f>
        <v>0.15869356388088388</v>
      </c>
      <c r="P12" s="4">
        <v>6</v>
      </c>
      <c r="Q12" s="4">
        <f>IF(ISBLANK(omie!S10),"",omie!T10)</f>
        <v>93.42</v>
      </c>
      <c r="R12" s="88"/>
      <c r="S12" s="88"/>
      <c r="T12" s="28"/>
      <c r="U12"/>
    </row>
    <row r="13" spans="1:25" x14ac:dyDescent="0.2">
      <c r="A13" t="s">
        <v>697</v>
      </c>
      <c r="B13" t="s">
        <v>403</v>
      </c>
      <c r="C13" s="28">
        <v>60.1</v>
      </c>
      <c r="D13" t="s">
        <v>781</v>
      </c>
      <c r="E13" t="s">
        <v>67</v>
      </c>
      <c r="F13" s="28">
        <f ca="1">apuestas_jun24[[#This Row],[Apuesta Miniporra]]-$B$3</f>
        <v>8.0500000000000043</v>
      </c>
      <c r="G13" s="68">
        <f ca="1">ABS(apuestas_jun24[[#This Row],[desvio]])/$B$3</f>
        <v>0.15465898174831902</v>
      </c>
      <c r="H13" s="4">
        <f ca="1">_xlfn.RANK.EQ(apuestas_jun24[[#This Row],[desvio %]],apuestas_jun24[desvio %],1)</f>
        <v>29</v>
      </c>
      <c r="J13" s="66" t="s">
        <v>697</v>
      </c>
      <c r="K13" s="10">
        <f ca="1">INDEX(apuestas_jun24[orden],MATCH(resultados_jun[Apuesta MiniPorra],apuestas_jun24[Apuesta Miniporra],0))</f>
        <v>29</v>
      </c>
      <c r="L13" s="6" t="str">
        <f>apuestas_jun24[[#This Row],[Nombre]]</f>
        <v>Luis Angel Garzon Velasco</v>
      </c>
      <c r="M13" s="14">
        <f>apuestas_jun24[[#This Row],[Apuesta Miniporra]]</f>
        <v>60.1</v>
      </c>
      <c r="N13" s="14">
        <f ca="1">INDEX(apuestas_jun24[desvio],MATCH(resultados_jun[[#This Row],[Apuesta MiniPorra]],apuestas_jun24[Apuesta Miniporra],0))</f>
        <v>8.0500000000000043</v>
      </c>
      <c r="O13" s="13">
        <f ca="1">INDEX(apuestas_jun24[desvio %],MATCH(resultados_jun[[#This Row],[Apuesta MiniPorra]],apuestas_jun24[Apuesta Miniporra],0))</f>
        <v>0.15465898174831902</v>
      </c>
      <c r="P13" s="4">
        <v>7</v>
      </c>
      <c r="Q13" s="4">
        <f>IF(ISBLANK(omie!S11),"",omie!T11)</f>
        <v>79.13</v>
      </c>
      <c r="R13" s="88"/>
      <c r="S13" s="88"/>
      <c r="T13" s="28"/>
      <c r="U13"/>
    </row>
    <row r="14" spans="1:25" x14ac:dyDescent="0.2">
      <c r="A14" t="s">
        <v>697</v>
      </c>
      <c r="B14" t="s">
        <v>328</v>
      </c>
      <c r="C14" s="28">
        <v>59</v>
      </c>
      <c r="D14" t="s">
        <v>118</v>
      </c>
      <c r="E14" t="s">
        <v>328</v>
      </c>
      <c r="F14" s="28">
        <f ca="1">apuestas_jun24[[#This Row],[Apuesta Miniporra]]-$B$3</f>
        <v>6.9500000000000028</v>
      </c>
      <c r="G14" s="68">
        <f ca="1">ABS(apuestas_jun24[[#This Row],[desvio]])/$B$3</f>
        <v>0.13352545629202697</v>
      </c>
      <c r="H14" s="4">
        <f ca="1">_xlfn.RANK.EQ(apuestas_jun24[[#This Row],[desvio %]],apuestas_jun24[desvio %],1)</f>
        <v>26</v>
      </c>
      <c r="J14" s="66" t="s">
        <v>697</v>
      </c>
      <c r="K14" s="10">
        <f ca="1">INDEX(apuestas_jun24[orden],MATCH(resultados_jun[Apuesta MiniPorra],apuestas_jun24[Apuesta Miniporra],0))</f>
        <v>26</v>
      </c>
      <c r="L14" s="6" t="str">
        <f>apuestas_jun24[[#This Row],[Nombre]]</f>
        <v>Aitor Folch</v>
      </c>
      <c r="M14" s="14">
        <f>apuestas_jun24[[#This Row],[Apuesta Miniporra]]</f>
        <v>59</v>
      </c>
      <c r="N14" s="14">
        <f ca="1">INDEX(apuestas_jun24[desvio],MATCH(resultados_jun[[#This Row],[Apuesta MiniPorra]],apuestas_jun24[Apuesta Miniporra],0))</f>
        <v>6.9500000000000028</v>
      </c>
      <c r="O14" s="13">
        <f ca="1">INDEX(apuestas_jun24[desvio %],MATCH(resultados_jun[[#This Row],[Apuesta MiniPorra]],apuestas_jun24[Apuesta Miniporra],0))</f>
        <v>0.13352545629202697</v>
      </c>
      <c r="P14" s="4">
        <v>8</v>
      </c>
      <c r="Q14" s="4">
        <f>IF(ISBLANK(omie!S12),"",omie!T12)</f>
        <v>71.42</v>
      </c>
      <c r="R14" s="88"/>
      <c r="S14" s="88"/>
      <c r="T14" s="28"/>
      <c r="U14"/>
    </row>
    <row r="15" spans="1:25" x14ac:dyDescent="0.2">
      <c r="A15" t="s">
        <v>697</v>
      </c>
      <c r="B15" t="s">
        <v>219</v>
      </c>
      <c r="C15" s="28">
        <v>58.88</v>
      </c>
      <c r="D15" t="s">
        <v>118</v>
      </c>
      <c r="E15" t="s">
        <v>142</v>
      </c>
      <c r="F15" s="28">
        <f ca="1">apuestas_jun24[[#This Row],[Apuesta Miniporra]]-$B$3</f>
        <v>6.8300000000000054</v>
      </c>
      <c r="G15" s="68">
        <f ca="1">ABS(apuestas_jun24[[#This Row],[desvio]])/$B$3</f>
        <v>0.13121998078770425</v>
      </c>
      <c r="H15" s="4">
        <f ca="1">_xlfn.RANK.EQ(apuestas_jun24[[#This Row],[desvio %]],apuestas_jun24[desvio %],1)</f>
        <v>25</v>
      </c>
      <c r="J15" s="66" t="s">
        <v>697</v>
      </c>
      <c r="K15" s="10">
        <f ca="1">INDEX(apuestas_jun24[orden],MATCH(resultados_jun[Apuesta MiniPorra],apuestas_jun24[Apuesta Miniporra],0))</f>
        <v>25</v>
      </c>
      <c r="L15" s="6" t="str">
        <f>apuestas_jun24[[#This Row],[Nombre]]</f>
        <v>Jaime Larrañaga Juez</v>
      </c>
      <c r="M15" s="14">
        <f>apuestas_jun24[[#This Row],[Apuesta Miniporra]]</f>
        <v>58.88</v>
      </c>
      <c r="N15" s="14">
        <f ca="1">INDEX(apuestas_jun24[desvio],MATCH(resultados_jun[[#This Row],[Apuesta MiniPorra]],apuestas_jun24[Apuesta Miniporra],0))</f>
        <v>6.8300000000000054</v>
      </c>
      <c r="O15" s="13">
        <f ca="1">INDEX(apuestas_jun24[desvio %],MATCH(resultados_jun[[#This Row],[Apuesta MiniPorra]],apuestas_jun24[Apuesta Miniporra],0))</f>
        <v>0.13121998078770425</v>
      </c>
      <c r="P15" s="4">
        <v>9</v>
      </c>
      <c r="Q15" s="4">
        <f>IF(ISBLANK(omie!S13),"",omie!T13)</f>
        <v>16.43</v>
      </c>
      <c r="R15" s="88"/>
      <c r="S15" s="88"/>
      <c r="T15" s="28"/>
      <c r="U15"/>
    </row>
    <row r="16" spans="1:25" x14ac:dyDescent="0.2">
      <c r="A16" t="s">
        <v>697</v>
      </c>
      <c r="B16" t="s">
        <v>807</v>
      </c>
      <c r="C16" s="28">
        <v>56.3</v>
      </c>
      <c r="D16" t="s">
        <v>118</v>
      </c>
      <c r="E16" t="s">
        <v>769</v>
      </c>
      <c r="F16" s="28">
        <f ca="1">apuestas_jun24[[#This Row],[Apuesta Miniporra]]-$B$3</f>
        <v>4.25</v>
      </c>
      <c r="G16" s="68">
        <f ca="1">ABS(apuestas_jun24[[#This Row],[desvio]])/$B$3</f>
        <v>8.1652257444764648E-2</v>
      </c>
      <c r="H16" s="4">
        <f ca="1">_xlfn.RANK.EQ(apuestas_jun24[[#This Row],[desvio %]],apuestas_jun24[desvio %],1)</f>
        <v>22</v>
      </c>
      <c r="J16" s="66" t="s">
        <v>697</v>
      </c>
      <c r="K16" s="10">
        <f ca="1">INDEX(apuestas_jun24[orden],MATCH(resultados_jun[Apuesta MiniPorra],apuestas_jun24[Apuesta Miniporra],0))</f>
        <v>22</v>
      </c>
      <c r="L16" s="6" t="str">
        <f>apuestas_jun24[[#This Row],[Nombre]]</f>
        <v>Javier Lazaro</v>
      </c>
      <c r="M16" s="14">
        <f>apuestas_jun24[[#This Row],[Apuesta Miniporra]]</f>
        <v>56.3</v>
      </c>
      <c r="N16" s="14">
        <f ca="1">INDEX(apuestas_jun24[desvio],MATCH(resultados_jun[[#This Row],[Apuesta MiniPorra]],apuestas_jun24[Apuesta Miniporra],0))</f>
        <v>4.25</v>
      </c>
      <c r="O16" s="13">
        <f ca="1">INDEX(apuestas_jun24[desvio %],MATCH(resultados_jun[[#This Row],[Apuesta MiniPorra]],apuestas_jun24[Apuesta Miniporra],0))</f>
        <v>8.1652257444764648E-2</v>
      </c>
      <c r="P16" s="4">
        <v>10</v>
      </c>
      <c r="Q16" s="4">
        <f>IF(ISBLANK(omie!S14),"",omie!T14)</f>
        <v>44.61</v>
      </c>
      <c r="R16" s="88"/>
      <c r="S16" s="88"/>
      <c r="T16" s="28"/>
      <c r="U16"/>
    </row>
    <row r="17" spans="1:23" x14ac:dyDescent="0.2">
      <c r="A17" t="s">
        <v>697</v>
      </c>
      <c r="B17" t="s">
        <v>809</v>
      </c>
      <c r="C17" s="28">
        <v>56.2</v>
      </c>
      <c r="D17" t="s">
        <v>118</v>
      </c>
      <c r="E17" t="s">
        <v>792</v>
      </c>
      <c r="F17" s="28">
        <f ca="1">apuestas_jun24[[#This Row],[Apuesta Miniporra]]-$B$3</f>
        <v>4.1500000000000057</v>
      </c>
      <c r="G17" s="68">
        <f ca="1">ABS(apuestas_jun24[[#This Row],[desvio]])/$B$3</f>
        <v>7.9731027857829123E-2</v>
      </c>
      <c r="H17" s="4">
        <f ca="1">_xlfn.RANK.EQ(apuestas_jun24[[#This Row],[desvio %]],apuestas_jun24[desvio %],1)</f>
        <v>20</v>
      </c>
      <c r="J17" s="66" t="s">
        <v>697</v>
      </c>
      <c r="K17" s="10">
        <f ca="1">INDEX(apuestas_jun24[orden],MATCH(resultados_jun[Apuesta MiniPorra],apuestas_jun24[Apuesta Miniporra],0))</f>
        <v>20</v>
      </c>
      <c r="L17" s="6" t="str">
        <f>apuestas_jun24[[#This Row],[Nombre]]</f>
        <v>Paco Luis Pérez Zarco</v>
      </c>
      <c r="M17" s="14">
        <f>apuestas_jun24[[#This Row],[Apuesta Miniporra]]</f>
        <v>56.2</v>
      </c>
      <c r="N17" s="14">
        <f ca="1">INDEX(apuestas_jun24[desvio],MATCH(resultados_jun[[#This Row],[Apuesta MiniPorra]],apuestas_jun24[Apuesta Miniporra],0))</f>
        <v>4.1500000000000057</v>
      </c>
      <c r="O17" s="13">
        <f ca="1">INDEX(apuestas_jun24[desvio %],MATCH(resultados_jun[[#This Row],[Apuesta MiniPorra]],apuestas_jun24[Apuesta Miniporra],0))</f>
        <v>7.9731027857829123E-2</v>
      </c>
      <c r="P17" s="4">
        <v>11</v>
      </c>
      <c r="Q17" s="4" t="str">
        <f>IF(ISBLANK(omie!S15),"",omie!T15)</f>
        <v/>
      </c>
      <c r="R17" s="88"/>
      <c r="S17" s="88"/>
      <c r="T17" s="28"/>
      <c r="U17"/>
    </row>
    <row r="18" spans="1:23" x14ac:dyDescent="0.2">
      <c r="A18" t="s">
        <v>697</v>
      </c>
      <c r="B18" t="s">
        <v>215</v>
      </c>
      <c r="C18" s="28">
        <v>55.55</v>
      </c>
      <c r="D18" t="s">
        <v>118</v>
      </c>
      <c r="E18" t="s">
        <v>103</v>
      </c>
      <c r="F18" s="28">
        <f ca="1">apuestas_jun24[[#This Row],[Apuesta Miniporra]]-$B$3</f>
        <v>3.5</v>
      </c>
      <c r="G18" s="68">
        <f ca="1">ABS(apuestas_jun24[[#This Row],[desvio]])/$B$3</f>
        <v>6.7243035542747367E-2</v>
      </c>
      <c r="H18" s="4">
        <f ca="1">_xlfn.RANK.EQ(apuestas_jun24[[#This Row],[desvio %]],apuestas_jun24[desvio %],1)</f>
        <v>18</v>
      </c>
      <c r="J18" s="66" t="s">
        <v>697</v>
      </c>
      <c r="K18" s="10">
        <f ca="1">INDEX(apuestas_jun24[orden],MATCH(resultados_jun[Apuesta MiniPorra],apuestas_jun24[Apuesta Miniporra],0))</f>
        <v>18</v>
      </c>
      <c r="L18" s="6" t="str">
        <f>apuestas_jun24[[#This Row],[Nombre]]</f>
        <v>Carles Estruch Puig</v>
      </c>
      <c r="M18" s="14">
        <f>apuestas_jun24[[#This Row],[Apuesta Miniporra]]</f>
        <v>55.55</v>
      </c>
      <c r="N18" s="14">
        <f ca="1">INDEX(apuestas_jun24[desvio],MATCH(resultados_jun[[#This Row],[Apuesta MiniPorra]],apuestas_jun24[Apuesta Miniporra],0))</f>
        <v>3.5</v>
      </c>
      <c r="O18" s="13">
        <f ca="1">INDEX(apuestas_jun24[desvio %],MATCH(resultados_jun[[#This Row],[Apuesta MiniPorra]],apuestas_jun24[Apuesta Miniporra],0))</f>
        <v>6.7243035542747367E-2</v>
      </c>
      <c r="P18" s="4">
        <v>12</v>
      </c>
      <c r="Q18" s="4" t="str">
        <f>IF(ISBLANK(omie!S16),"",omie!T16)</f>
        <v/>
      </c>
      <c r="R18" s="88"/>
      <c r="S18" s="88"/>
      <c r="T18" s="28"/>
      <c r="U18"/>
    </row>
    <row r="19" spans="1:23" x14ac:dyDescent="0.2">
      <c r="A19" t="s">
        <v>697</v>
      </c>
      <c r="B19" t="s">
        <v>655</v>
      </c>
      <c r="C19" s="28">
        <v>55.33</v>
      </c>
      <c r="D19" t="s">
        <v>118</v>
      </c>
      <c r="E19" t="s">
        <v>566</v>
      </c>
      <c r="F19" s="28">
        <f ca="1">apuestas_jun24[[#This Row],[Apuesta Miniporra]]-$B$3</f>
        <v>3.2800000000000011</v>
      </c>
      <c r="G19" s="68">
        <f ca="1">ABS(apuestas_jun24[[#This Row],[desvio]])/$B$3</f>
        <v>6.301633045148898E-2</v>
      </c>
      <c r="H19" s="4">
        <f ca="1">_xlfn.RANK.EQ(apuestas_jun24[[#This Row],[desvio %]],apuestas_jun24[desvio %],1)</f>
        <v>17</v>
      </c>
      <c r="J19" s="66" t="s">
        <v>697</v>
      </c>
      <c r="K19" s="10">
        <f ca="1">INDEX(apuestas_jun24[orden],MATCH(resultados_jun[Apuesta MiniPorra],apuestas_jun24[Apuesta Miniporra],0))</f>
        <v>17</v>
      </c>
      <c r="L19" s="6" t="str">
        <f>apuestas_jun24[[#This Row],[Nombre]]</f>
        <v>Sergio Gallego Bolaños</v>
      </c>
      <c r="M19" s="14">
        <f>apuestas_jun24[[#This Row],[Apuesta Miniporra]]</f>
        <v>55.33</v>
      </c>
      <c r="N19" s="14">
        <f ca="1">INDEX(apuestas_jun24[desvio],MATCH(resultados_jun[[#This Row],[Apuesta MiniPorra]],apuestas_jun24[Apuesta Miniporra],0))</f>
        <v>3.2800000000000011</v>
      </c>
      <c r="O19" s="13">
        <f ca="1">INDEX(apuestas_jun24[desvio %],MATCH(resultados_jun[[#This Row],[Apuesta MiniPorra]],apuestas_jun24[Apuesta Miniporra],0))</f>
        <v>6.301633045148898E-2</v>
      </c>
      <c r="P19" s="4">
        <v>13</v>
      </c>
      <c r="Q19" s="4" t="str">
        <f>IF(ISBLANK(omie!S17),"",omie!T17)</f>
        <v/>
      </c>
      <c r="R19" s="71"/>
      <c r="S19" s="71"/>
      <c r="T19" s="28"/>
      <c r="U19"/>
    </row>
    <row r="20" spans="1:23" x14ac:dyDescent="0.2">
      <c r="A20" t="s">
        <v>697</v>
      </c>
      <c r="B20" t="s">
        <v>808</v>
      </c>
      <c r="C20" s="28">
        <v>55.32</v>
      </c>
      <c r="D20" t="s">
        <v>787</v>
      </c>
      <c r="E20" t="s">
        <v>788</v>
      </c>
      <c r="F20" s="28">
        <f ca="1">apuestas_jun24[[#This Row],[Apuesta Miniporra]]-$B$3</f>
        <v>3.2700000000000031</v>
      </c>
      <c r="G20" s="68">
        <f ca="1">ABS(apuestas_jun24[[#This Row],[desvio]])/$B$3</f>
        <v>6.282420749279545E-2</v>
      </c>
      <c r="H20" s="4">
        <f ca="1">_xlfn.RANK.EQ(apuestas_jun24[[#This Row],[desvio %]],apuestas_jun24[desvio %],1)</f>
        <v>16</v>
      </c>
      <c r="J20" s="66" t="s">
        <v>697</v>
      </c>
      <c r="K20" s="10">
        <f ca="1">INDEX(apuestas_jun24[orden],MATCH(resultados_jun[Apuesta MiniPorra],apuestas_jun24[Apuesta Miniporra],0))</f>
        <v>16</v>
      </c>
      <c r="L20" s="6" t="str">
        <f>apuestas_jun24[[#This Row],[Nombre]]</f>
        <v>Ricardo Estevez</v>
      </c>
      <c r="M20" s="14">
        <f>apuestas_jun24[[#This Row],[Apuesta Miniporra]]</f>
        <v>55.32</v>
      </c>
      <c r="N20" s="14">
        <f ca="1">INDEX(apuestas_jun24[desvio],MATCH(resultados_jun[[#This Row],[Apuesta MiniPorra]],apuestas_jun24[Apuesta Miniporra],0))</f>
        <v>3.2700000000000031</v>
      </c>
      <c r="O20" s="13">
        <f ca="1">INDEX(apuestas_jun24[desvio %],MATCH(resultados_jun[[#This Row],[Apuesta MiniPorra]],apuestas_jun24[Apuesta Miniporra],0))</f>
        <v>6.282420749279545E-2</v>
      </c>
      <c r="P20" s="4">
        <v>14</v>
      </c>
      <c r="Q20" s="4" t="str">
        <f>IF(ISBLANK(omie!S18),"",omie!T18)</f>
        <v/>
      </c>
      <c r="T20" s="28"/>
      <c r="U20" s="97"/>
      <c r="V20" s="97"/>
      <c r="W20" s="97"/>
    </row>
    <row r="21" spans="1:23" x14ac:dyDescent="0.2">
      <c r="A21" t="s">
        <v>697</v>
      </c>
      <c r="B21" t="s">
        <v>810</v>
      </c>
      <c r="C21" s="28">
        <v>55.3</v>
      </c>
      <c r="D21" t="s">
        <v>118</v>
      </c>
      <c r="E21" t="s">
        <v>666</v>
      </c>
      <c r="F21" s="28">
        <f ca="1">apuestas_jun24[[#This Row],[Apuesta Miniporra]]-$B$3</f>
        <v>3.25</v>
      </c>
      <c r="G21" s="68">
        <f ca="1">ABS(apuestas_jun24[[#This Row],[desvio]])/$B$3</f>
        <v>6.2439961575408265E-2</v>
      </c>
      <c r="H21" s="4">
        <f ca="1">_xlfn.RANK.EQ(apuestas_jun24[[#This Row],[desvio %]],apuestas_jun24[desvio %],1)</f>
        <v>15</v>
      </c>
      <c r="J21" s="66" t="s">
        <v>697</v>
      </c>
      <c r="K21" s="10">
        <f ca="1">INDEX(apuestas_jun24[orden],MATCH(resultados_jun[Apuesta MiniPorra],apuestas_jun24[Apuesta Miniporra],0))</f>
        <v>15</v>
      </c>
      <c r="L21" s="6" t="str">
        <f>apuestas_jun24[[#This Row],[Nombre]]</f>
        <v>Gorka Arratibel Pastor</v>
      </c>
      <c r="M21" s="14">
        <f>apuestas_jun24[[#This Row],[Apuesta Miniporra]]</f>
        <v>55.3</v>
      </c>
      <c r="N21" s="14">
        <f ca="1">INDEX(apuestas_jun24[desvio],MATCH(resultados_jun[[#This Row],[Apuesta MiniPorra]],apuestas_jun24[Apuesta Miniporra],0))</f>
        <v>3.25</v>
      </c>
      <c r="O21" s="13">
        <f ca="1">INDEX(apuestas_jun24[desvio %],MATCH(resultados_jun[[#This Row],[Apuesta MiniPorra]],apuestas_jun24[Apuesta Miniporra],0))</f>
        <v>6.2439961575408265E-2</v>
      </c>
      <c r="P21" s="4">
        <v>15</v>
      </c>
      <c r="Q21" s="4" t="str">
        <f>IF(ISBLANK(omie!S19),"",omie!T19)</f>
        <v/>
      </c>
      <c r="T21" s="28"/>
      <c r="U21" s="97"/>
      <c r="V21" s="97"/>
      <c r="W21" s="97"/>
    </row>
    <row r="22" spans="1:23" x14ac:dyDescent="0.2">
      <c r="A22" t="s">
        <v>697</v>
      </c>
      <c r="B22" t="s">
        <v>406</v>
      </c>
      <c r="C22" s="28">
        <v>55</v>
      </c>
      <c r="D22" t="s">
        <v>762</v>
      </c>
      <c r="E22" t="s">
        <v>271</v>
      </c>
      <c r="F22" s="28">
        <f ca="1">apuestas_jun24[[#This Row],[Apuesta Miniporra]]-$B$3</f>
        <v>2.9500000000000028</v>
      </c>
      <c r="G22" s="68">
        <f ca="1">ABS(apuestas_jun24[[#This Row],[desvio]])/$B$3</f>
        <v>5.66762728146014E-2</v>
      </c>
      <c r="H22" s="4">
        <f ca="1">_xlfn.RANK.EQ(apuestas_jun24[[#This Row],[desvio %]],apuestas_jun24[desvio %],1)</f>
        <v>14</v>
      </c>
      <c r="J22" s="66" t="s">
        <v>697</v>
      </c>
      <c r="K22" s="10">
        <f ca="1">INDEX(apuestas_jun24[orden],MATCH(resultados_jun[Apuesta MiniPorra],apuestas_jun24[Apuesta Miniporra],0))</f>
        <v>14</v>
      </c>
      <c r="L22" s="6" t="str">
        <f>apuestas_jun24[[#This Row],[Nombre]]</f>
        <v>Javier Pérez Salazar</v>
      </c>
      <c r="M22" s="14">
        <f>apuestas_jun24[[#This Row],[Apuesta Miniporra]]</f>
        <v>55</v>
      </c>
      <c r="N22" s="14">
        <f ca="1">INDEX(apuestas_jun24[desvio],MATCH(resultados_jun[[#This Row],[Apuesta MiniPorra]],apuestas_jun24[Apuesta Miniporra],0))</f>
        <v>2.9500000000000028</v>
      </c>
      <c r="O22" s="13">
        <f ca="1">INDEX(apuestas_jun24[desvio %],MATCH(resultados_jun[[#This Row],[Apuesta MiniPorra]],apuestas_jun24[Apuesta Miniporra],0))</f>
        <v>5.66762728146014E-2</v>
      </c>
      <c r="P22" s="4">
        <v>16</v>
      </c>
      <c r="Q22" s="4" t="str">
        <f>IF(ISBLANK(omie!S20),"",omie!T20)</f>
        <v/>
      </c>
      <c r="T22" s="28"/>
      <c r="U22" s="97"/>
      <c r="V22" s="97"/>
      <c r="W22" s="97"/>
    </row>
    <row r="23" spans="1:23" x14ac:dyDescent="0.2">
      <c r="A23" t="s">
        <v>697</v>
      </c>
      <c r="B23" t="s">
        <v>401</v>
      </c>
      <c r="C23" s="28">
        <v>54.56</v>
      </c>
      <c r="D23" t="s">
        <v>118</v>
      </c>
      <c r="E23" t="s">
        <v>331</v>
      </c>
      <c r="F23" s="28">
        <f ca="1">apuestas_jun24[[#This Row],[Apuesta Miniporra]]-$B$3</f>
        <v>2.5100000000000051</v>
      </c>
      <c r="G23" s="68">
        <f ca="1">ABS(apuestas_jun24[[#This Row],[desvio]])/$B$3</f>
        <v>4.8222862632084633E-2</v>
      </c>
      <c r="H23" s="4">
        <f ca="1">_xlfn.RANK.EQ(apuestas_jun24[[#This Row],[desvio %]],apuestas_jun24[desvio %],1)</f>
        <v>12</v>
      </c>
      <c r="J23" s="66" t="s">
        <v>697</v>
      </c>
      <c r="K23" s="10">
        <f ca="1">INDEX(apuestas_jun24[orden],MATCH(resultados_jun[Apuesta MiniPorra],apuestas_jun24[Apuesta Miniporra],0))</f>
        <v>12</v>
      </c>
      <c r="L23" s="6" t="str">
        <f>apuestas_jun24[[#This Row],[Nombre]]</f>
        <v>Juan Pedro Conejo Sanchez</v>
      </c>
      <c r="M23" s="14">
        <f>apuestas_jun24[[#This Row],[Apuesta Miniporra]]</f>
        <v>54.56</v>
      </c>
      <c r="N23" s="14">
        <f ca="1">INDEX(apuestas_jun24[desvio],MATCH(resultados_jun[[#This Row],[Apuesta MiniPorra]],apuestas_jun24[Apuesta Miniporra],0))</f>
        <v>2.5100000000000051</v>
      </c>
      <c r="O23" s="13">
        <f ca="1">INDEX(apuestas_jun24[desvio %],MATCH(resultados_jun[[#This Row],[Apuesta MiniPorra]],apuestas_jun24[Apuesta Miniporra],0))</f>
        <v>4.8222862632084633E-2</v>
      </c>
      <c r="P23" s="4">
        <v>17</v>
      </c>
      <c r="Q23" s="4" t="str">
        <f>IF(ISBLANK(omie!S21),"",omie!T21)</f>
        <v/>
      </c>
      <c r="T23" s="28"/>
      <c r="U23"/>
    </row>
    <row r="24" spans="1:23" x14ac:dyDescent="0.2">
      <c r="A24" t="s">
        <v>697</v>
      </c>
      <c r="B24" t="s">
        <v>412</v>
      </c>
      <c r="C24" s="28">
        <v>54.22</v>
      </c>
      <c r="D24" t="s">
        <v>118</v>
      </c>
      <c r="E24" t="s">
        <v>761</v>
      </c>
      <c r="F24" s="28">
        <f ca="1">apuestas_jun24[[#This Row],[Apuesta Miniporra]]-$B$3</f>
        <v>2.1700000000000017</v>
      </c>
      <c r="G24" s="68">
        <f ca="1">ABS(apuestas_jun24[[#This Row],[desvio]])/$B$3</f>
        <v>4.1690682036503397E-2</v>
      </c>
      <c r="H24" s="4">
        <f ca="1">_xlfn.RANK.EQ(apuestas_jun24[[#This Row],[desvio %]],apuestas_jun24[desvio %],1)</f>
        <v>11</v>
      </c>
      <c r="J24" s="66" t="s">
        <v>697</v>
      </c>
      <c r="K24" s="10">
        <f ca="1">INDEX(apuestas_jun24[orden],MATCH(resultados_jun[Apuesta MiniPorra],apuestas_jun24[Apuesta Miniporra],0))</f>
        <v>11</v>
      </c>
      <c r="L24" s="6" t="str">
        <f>apuestas_jun24[[#This Row],[Nombre]]</f>
        <v>Jose Manuel Otero López</v>
      </c>
      <c r="M24" s="14">
        <f>apuestas_jun24[[#This Row],[Apuesta Miniporra]]</f>
        <v>54.22</v>
      </c>
      <c r="N24" s="14">
        <f ca="1">INDEX(apuestas_jun24[desvio],MATCH(resultados_jun[[#This Row],[Apuesta MiniPorra]],apuestas_jun24[Apuesta Miniporra],0))</f>
        <v>2.1700000000000017</v>
      </c>
      <c r="O24" s="13">
        <f ca="1">INDEX(apuestas_jun24[desvio %],MATCH(resultados_jun[[#This Row],[Apuesta MiniPorra]],apuestas_jun24[Apuesta Miniporra],0))</f>
        <v>4.1690682036503397E-2</v>
      </c>
      <c r="P24" s="4">
        <v>18</v>
      </c>
      <c r="Q24" s="4" t="str">
        <f>IF(ISBLANK(omie!S22),"",omie!T22)</f>
        <v/>
      </c>
      <c r="T24" s="28"/>
      <c r="U24"/>
    </row>
    <row r="25" spans="1:23" x14ac:dyDescent="0.2">
      <c r="A25" t="s">
        <v>697</v>
      </c>
      <c r="B25" t="s">
        <v>805</v>
      </c>
      <c r="C25" s="28">
        <v>53.41</v>
      </c>
      <c r="D25" t="s">
        <v>118</v>
      </c>
      <c r="E25" t="s">
        <v>203</v>
      </c>
      <c r="F25" s="28">
        <f ca="1">apuestas_jun24[[#This Row],[Apuesta Miniporra]]-$B$3</f>
        <v>1.3599999999999994</v>
      </c>
      <c r="G25" s="68">
        <f ca="1">ABS(apuestas_jun24[[#This Row],[desvio]])/$B$3</f>
        <v>2.6128722382324679E-2</v>
      </c>
      <c r="H25" s="4">
        <f ca="1">_xlfn.RANK.EQ(apuestas_jun24[[#This Row],[desvio %]],apuestas_jun24[desvio %],1)</f>
        <v>10</v>
      </c>
      <c r="J25" s="66" t="s">
        <v>697</v>
      </c>
      <c r="K25" s="10">
        <f ca="1">INDEX(apuestas_jun24[orden],MATCH(resultados_jun[Apuesta MiniPorra],apuestas_jun24[Apuesta Miniporra],0))</f>
        <v>10</v>
      </c>
      <c r="L25" s="6" t="str">
        <f>apuestas_jun24[[#This Row],[Nombre]]</f>
        <v>Alejandro Lopez Fernandez</v>
      </c>
      <c r="M25" s="14">
        <f>apuestas_jun24[[#This Row],[Apuesta Miniporra]]</f>
        <v>53.41</v>
      </c>
      <c r="N25" s="14">
        <f ca="1">INDEX(apuestas_jun24[desvio],MATCH(resultados_jun[[#This Row],[Apuesta MiniPorra]],apuestas_jun24[Apuesta Miniporra],0))</f>
        <v>1.3599999999999994</v>
      </c>
      <c r="O25" s="13">
        <f ca="1">INDEX(apuestas_jun24[desvio %],MATCH(resultados_jun[[#This Row],[Apuesta MiniPorra]],apuestas_jun24[Apuesta Miniporra],0))</f>
        <v>2.6128722382324679E-2</v>
      </c>
      <c r="P25" s="4">
        <v>19</v>
      </c>
      <c r="Q25" s="4" t="str">
        <f>IF(ISBLANK(omie!S23),"",omie!T23)</f>
        <v/>
      </c>
      <c r="T25" s="28"/>
      <c r="U25"/>
    </row>
    <row r="26" spans="1:23" x14ac:dyDescent="0.2">
      <c r="A26" t="s">
        <v>697</v>
      </c>
      <c r="B26" t="s">
        <v>806</v>
      </c>
      <c r="C26" s="28">
        <v>53.4</v>
      </c>
      <c r="D26" t="s">
        <v>118</v>
      </c>
      <c r="E26" t="s">
        <v>764</v>
      </c>
      <c r="F26" s="28">
        <f ca="1">apuestas_jun24[[#This Row],[Apuesta Miniporra]]-$B$3</f>
        <v>1.3500000000000014</v>
      </c>
      <c r="G26" s="68">
        <f ca="1">ABS(apuestas_jun24[[#This Row],[desvio]])/$B$3</f>
        <v>2.5936599423631152E-2</v>
      </c>
      <c r="H26" s="4">
        <f ca="1">_xlfn.RANK.EQ(apuestas_jun24[[#This Row],[desvio %]],apuestas_jun24[desvio %],1)</f>
        <v>9</v>
      </c>
      <c r="J26" s="66" t="s">
        <v>697</v>
      </c>
      <c r="K26" s="10">
        <f ca="1">INDEX(apuestas_jun24[orden],MATCH(resultados_jun[Apuesta MiniPorra],apuestas_jun24[Apuesta Miniporra],0))</f>
        <v>9</v>
      </c>
      <c r="L26" s="6" t="str">
        <f>apuestas_jun24[[#This Row],[Nombre]]</f>
        <v>Gabino Jiménez-Castillo</v>
      </c>
      <c r="M26" s="14">
        <f>apuestas_jun24[[#This Row],[Apuesta Miniporra]]</f>
        <v>53.4</v>
      </c>
      <c r="N26" s="14">
        <f ca="1">INDEX(apuestas_jun24[desvio],MATCH(resultados_jun[[#This Row],[Apuesta MiniPorra]],apuestas_jun24[Apuesta Miniporra],0))</f>
        <v>1.3500000000000014</v>
      </c>
      <c r="O26" s="13">
        <f ca="1">INDEX(apuestas_jun24[desvio %],MATCH(resultados_jun[[#This Row],[Apuesta MiniPorra]],apuestas_jun24[Apuesta Miniporra],0))</f>
        <v>2.5936599423631152E-2</v>
      </c>
      <c r="P26" s="4">
        <v>20</v>
      </c>
      <c r="Q26" s="4" t="str">
        <f>IF(ISBLANK(omie!S24),"",omie!T24)</f>
        <v/>
      </c>
      <c r="T26" s="28"/>
      <c r="U26"/>
    </row>
    <row r="27" spans="1:23" x14ac:dyDescent="0.2">
      <c r="A27" t="s">
        <v>697</v>
      </c>
      <c r="B27" t="s">
        <v>335</v>
      </c>
      <c r="C27" s="28">
        <v>53.21</v>
      </c>
      <c r="D27" t="s">
        <v>773</v>
      </c>
      <c r="E27" t="s">
        <v>774</v>
      </c>
      <c r="F27" s="28">
        <f ca="1">apuestas_jun24[[#This Row],[Apuesta Miniporra]]-$B$3</f>
        <v>1.1600000000000037</v>
      </c>
      <c r="G27" s="68">
        <f ca="1">ABS(apuestas_jun24[[#This Row],[desvio]])/$B$3</f>
        <v>2.2286263208453481E-2</v>
      </c>
      <c r="H27" s="4">
        <f ca="1">_xlfn.RANK.EQ(apuestas_jun24[[#This Row],[desvio %]],apuestas_jun24[desvio %],1)</f>
        <v>7</v>
      </c>
      <c r="J27" s="66" t="s">
        <v>697</v>
      </c>
      <c r="K27" s="10">
        <f ca="1">INDEX(apuestas_jun24[orden],MATCH(resultados_jun[Apuesta MiniPorra],apuestas_jun24[Apuesta Miniporra],0))</f>
        <v>7</v>
      </c>
      <c r="L27" s="6" t="str">
        <f>apuestas_jun24[[#This Row],[Nombre]]</f>
        <v>Carlos Callejón</v>
      </c>
      <c r="M27" s="14">
        <f>apuestas_jun24[[#This Row],[Apuesta Miniporra]]</f>
        <v>53.21</v>
      </c>
      <c r="N27" s="14">
        <f ca="1">INDEX(apuestas_jun24[desvio],MATCH(resultados_jun[[#This Row],[Apuesta MiniPorra]],apuestas_jun24[Apuesta Miniporra],0))</f>
        <v>1.1600000000000037</v>
      </c>
      <c r="O27" s="13">
        <f ca="1">INDEX(apuestas_jun24[desvio %],MATCH(resultados_jun[[#This Row],[Apuesta MiniPorra]],apuestas_jun24[Apuesta Miniporra],0))</f>
        <v>2.2286263208453481E-2</v>
      </c>
      <c r="P27" s="4">
        <v>21</v>
      </c>
      <c r="Q27" s="4" t="str">
        <f>IF(ISBLANK(omie!S25),"",omie!T25)</f>
        <v/>
      </c>
      <c r="T27" s="28"/>
      <c r="U27"/>
    </row>
    <row r="28" spans="1:23" x14ac:dyDescent="0.2">
      <c r="A28" t="s">
        <v>697</v>
      </c>
      <c r="B28" t="s">
        <v>414</v>
      </c>
      <c r="C28" s="28">
        <v>53.2</v>
      </c>
      <c r="D28" t="s">
        <v>118</v>
      </c>
      <c r="E28" t="s">
        <v>300</v>
      </c>
      <c r="F28" s="28">
        <f ca="1">apuestas_jun24[[#This Row],[Apuesta Miniporra]]-$B$3</f>
        <v>1.1500000000000057</v>
      </c>
      <c r="G28" s="68">
        <f ca="1">ABS(apuestas_jun24[[#This Row],[desvio]])/$B$3</f>
        <v>2.2094140249759957E-2</v>
      </c>
      <c r="H28" s="4">
        <f ca="1">_xlfn.RANK.EQ(apuestas_jun24[[#This Row],[desvio %]],apuestas_jun24[desvio %],1)</f>
        <v>6</v>
      </c>
      <c r="J28" s="66" t="s">
        <v>697</v>
      </c>
      <c r="K28" s="10">
        <f ca="1">INDEX(apuestas_jun24[orden],MATCH(resultados_jun[Apuesta MiniPorra],apuestas_jun24[Apuesta Miniporra],0))</f>
        <v>6</v>
      </c>
      <c r="L28" s="6" t="str">
        <f>apuestas_jun24[[#This Row],[Nombre]]</f>
        <v>Laura Gómez López</v>
      </c>
      <c r="M28" s="14">
        <f>apuestas_jun24[[#This Row],[Apuesta Miniporra]]</f>
        <v>53.2</v>
      </c>
      <c r="N28" s="14">
        <f ca="1">INDEX(apuestas_jun24[desvio],MATCH(resultados_jun[[#This Row],[Apuesta MiniPorra]],apuestas_jun24[Apuesta Miniporra],0))</f>
        <v>1.1500000000000057</v>
      </c>
      <c r="O28" s="13">
        <f ca="1">INDEX(apuestas_jun24[desvio %],MATCH(resultados_jun[[#This Row],[Apuesta MiniPorra]],apuestas_jun24[Apuesta Miniporra],0))</f>
        <v>2.2094140249759957E-2</v>
      </c>
      <c r="P28" s="4">
        <v>22</v>
      </c>
      <c r="Q28" s="4" t="str">
        <f>IF(ISBLANK(omie!S26),"",omie!T26)</f>
        <v/>
      </c>
      <c r="T28" s="28"/>
      <c r="U28"/>
    </row>
    <row r="29" spans="1:23" x14ac:dyDescent="0.2">
      <c r="A29" t="s">
        <v>697</v>
      </c>
      <c r="B29" t="s">
        <v>381</v>
      </c>
      <c r="C29" s="28">
        <v>52.95</v>
      </c>
      <c r="D29" t="s">
        <v>710</v>
      </c>
      <c r="E29" t="s">
        <v>37</v>
      </c>
      <c r="F29" s="28">
        <f ca="1">apuestas_jun24[[#This Row],[Apuesta Miniporra]]-$B$3</f>
        <v>0.90000000000000568</v>
      </c>
      <c r="G29" s="68">
        <f ca="1">ABS(apuestas_jun24[[#This Row],[desvio]])/$B$3</f>
        <v>1.7291066282420858E-2</v>
      </c>
      <c r="H29" s="4">
        <f ca="1">_xlfn.RANK.EQ(apuestas_jun24[[#This Row],[desvio %]],apuestas_jun24[desvio %],1)</f>
        <v>5</v>
      </c>
      <c r="J29" s="66" t="s">
        <v>697</v>
      </c>
      <c r="K29" s="10">
        <f ca="1">INDEX(apuestas_jun24[orden],MATCH(resultados_jun[Apuesta MiniPorra],apuestas_jun24[Apuesta Miniporra],0))</f>
        <v>5</v>
      </c>
      <c r="L29" s="6" t="str">
        <f>apuestas_jun24[[#This Row],[Nombre]]</f>
        <v>Roberto Cavero García</v>
      </c>
      <c r="M29" s="14">
        <f>apuestas_jun24[[#This Row],[Apuesta Miniporra]]</f>
        <v>52.95</v>
      </c>
      <c r="N29" s="14">
        <f ca="1">INDEX(apuestas_jun24[desvio],MATCH(resultados_jun[[#This Row],[Apuesta MiniPorra]],apuestas_jun24[Apuesta Miniporra],0))</f>
        <v>0.90000000000000568</v>
      </c>
      <c r="O29" s="13">
        <f ca="1">INDEX(apuestas_jun24[desvio %],MATCH(resultados_jun[[#This Row],[Apuesta MiniPorra]],apuestas_jun24[Apuesta Miniporra],0))</f>
        <v>1.7291066282420858E-2</v>
      </c>
      <c r="P29" s="4">
        <v>23</v>
      </c>
      <c r="Q29" s="4" t="str">
        <f>IF(ISBLANK(omie!S27),"",omie!T27)</f>
        <v/>
      </c>
      <c r="T29" s="28"/>
      <c r="U29"/>
    </row>
    <row r="30" spans="1:23" x14ac:dyDescent="0.2">
      <c r="A30" t="s">
        <v>697</v>
      </c>
      <c r="B30" t="s">
        <v>409</v>
      </c>
      <c r="C30" s="28">
        <v>52.5</v>
      </c>
      <c r="D30" t="s">
        <v>778</v>
      </c>
      <c r="E30" t="s">
        <v>462</v>
      </c>
      <c r="F30" s="28">
        <f ca="1">apuestas_jun24[[#This Row],[Apuesta Miniporra]]-$B$3</f>
        <v>0.45000000000000284</v>
      </c>
      <c r="G30" s="68">
        <f ca="1">ABS(apuestas_jun24[[#This Row],[desvio]])/$B$3</f>
        <v>8.6455331412104292E-3</v>
      </c>
      <c r="H30" s="4">
        <f ca="1">_xlfn.RANK.EQ(apuestas_jun24[[#This Row],[desvio %]],apuestas_jun24[desvio %],1)</f>
        <v>2</v>
      </c>
      <c r="J30" s="66" t="s">
        <v>697</v>
      </c>
      <c r="K30" s="10">
        <f ca="1">INDEX(apuestas_jun24[orden],MATCH(resultados_jun[Apuesta MiniPorra],apuestas_jun24[Apuesta Miniporra],0))</f>
        <v>2</v>
      </c>
      <c r="L30" s="6" t="str">
        <f>apuestas_jun24[[#This Row],[Nombre]]</f>
        <v>Gladys Rocha Blanco</v>
      </c>
      <c r="M30" s="14">
        <f>apuestas_jun24[[#This Row],[Apuesta Miniporra]]</f>
        <v>52.5</v>
      </c>
      <c r="N30" s="14">
        <f ca="1">INDEX(apuestas_jun24[desvio],MATCH(resultados_jun[[#This Row],[Apuesta MiniPorra]],apuestas_jun24[Apuesta Miniporra],0))</f>
        <v>0.45000000000000284</v>
      </c>
      <c r="O30" s="13">
        <f ca="1">INDEX(apuestas_jun24[desvio %],MATCH(resultados_jun[[#This Row],[Apuesta MiniPorra]],apuestas_jun24[Apuesta Miniporra],0))</f>
        <v>8.6455331412104292E-3</v>
      </c>
      <c r="P30" s="4">
        <v>24</v>
      </c>
      <c r="Q30" s="4" t="str">
        <f>IF(ISBLANK(omie!S28),"",omie!T28)</f>
        <v/>
      </c>
      <c r="T30" s="28"/>
      <c r="U30"/>
    </row>
    <row r="31" spans="1:23" x14ac:dyDescent="0.2">
      <c r="A31" t="s">
        <v>697</v>
      </c>
      <c r="B31" t="s">
        <v>404</v>
      </c>
      <c r="C31" s="28">
        <v>52.24</v>
      </c>
      <c r="D31" t="s">
        <v>820</v>
      </c>
      <c r="E31" t="s">
        <v>821</v>
      </c>
      <c r="F31" s="28">
        <f ca="1">apuestas_jun24[[#This Row],[Apuesta Miniporra]]-$B$3</f>
        <v>0.19000000000000483</v>
      </c>
      <c r="G31" s="68">
        <f ca="1">ABS(apuestas_jun24[[#This Row],[desvio]])/$B$3</f>
        <v>3.6503362151778067E-3</v>
      </c>
      <c r="H31" s="4">
        <f ca="1">_xlfn.RANK.EQ(apuestas_jun24[[#This Row],[desvio %]],apuestas_jun24[desvio %],1)</f>
        <v>1</v>
      </c>
      <c r="J31" s="66" t="s">
        <v>697</v>
      </c>
      <c r="K31" s="10">
        <f ca="1">INDEX(apuestas_jun24[orden],MATCH(resultados_jun[Apuesta MiniPorra],apuestas_jun24[Apuesta Miniporra],0))</f>
        <v>1</v>
      </c>
      <c r="L31" s="6" t="str">
        <f>apuestas_jun24[[#This Row],[Nombre]]</f>
        <v>Juan Luis Jarillo Gómez</v>
      </c>
      <c r="M31" s="14">
        <f>apuestas_jun24[[#This Row],[Apuesta Miniporra]]</f>
        <v>52.24</v>
      </c>
      <c r="N31" s="14">
        <f ca="1">INDEX(apuestas_jun24[desvio],MATCH(resultados_jun[[#This Row],[Apuesta MiniPorra]],apuestas_jun24[Apuesta Miniporra],0))</f>
        <v>0.19000000000000483</v>
      </c>
      <c r="O31" s="13">
        <f ca="1">INDEX(apuestas_jun24[desvio %],MATCH(resultados_jun[[#This Row],[Apuesta MiniPorra]],apuestas_jun24[Apuesta Miniporra],0))</f>
        <v>3.6503362151778067E-3</v>
      </c>
      <c r="P31" s="4">
        <v>25</v>
      </c>
      <c r="Q31" s="4" t="str">
        <f>IF(ISBLANK(omie!S29),"",omie!T29)</f>
        <v/>
      </c>
      <c r="T31" s="28"/>
      <c r="U31"/>
    </row>
    <row r="32" spans="1:23" x14ac:dyDescent="0.2">
      <c r="A32" t="s">
        <v>697</v>
      </c>
      <c r="B32" t="s">
        <v>654</v>
      </c>
      <c r="C32" s="28">
        <v>51.49</v>
      </c>
      <c r="D32" t="s">
        <v>118</v>
      </c>
      <c r="E32" t="s">
        <v>639</v>
      </c>
      <c r="F32" s="28">
        <f ca="1">apuestas_jun24[[#This Row],[Apuesta Miniporra]]-$B$3</f>
        <v>-0.55999999999999517</v>
      </c>
      <c r="G32" s="68">
        <f ca="1">ABS(apuestas_jun24[[#This Row],[desvio]])/$B$3</f>
        <v>1.0758885686839486E-2</v>
      </c>
      <c r="H32" s="4">
        <f ca="1">_xlfn.RANK.EQ(apuestas_jun24[[#This Row],[desvio %]],apuestas_jun24[desvio %],1)</f>
        <v>3</v>
      </c>
      <c r="J32" s="66" t="s">
        <v>697</v>
      </c>
      <c r="K32" s="10">
        <f ca="1">INDEX(apuestas_jun24[orden],MATCH(resultados_jun[Apuesta MiniPorra],apuestas_jun24[Apuesta Miniporra],0))</f>
        <v>3</v>
      </c>
      <c r="L32" s="6" t="str">
        <f>apuestas_jun24[[#This Row],[Nombre]]</f>
        <v>Carlos Martin</v>
      </c>
      <c r="M32" s="14">
        <f>apuestas_jun24[[#This Row],[Apuesta Miniporra]]</f>
        <v>51.49</v>
      </c>
      <c r="N32" s="14">
        <f ca="1">INDEX(apuestas_jun24[desvio],MATCH(resultados_jun[[#This Row],[Apuesta MiniPorra]],apuestas_jun24[Apuesta Miniporra],0))</f>
        <v>-0.55999999999999517</v>
      </c>
      <c r="O32" s="13">
        <f ca="1">INDEX(apuestas_jun24[desvio %],MATCH(resultados_jun[[#This Row],[Apuesta MiniPorra]],apuestas_jun24[Apuesta Miniporra],0))</f>
        <v>1.0758885686839486E-2</v>
      </c>
      <c r="P32" s="4">
        <v>26</v>
      </c>
      <c r="Q32" s="4" t="str">
        <f>IF(ISBLANK(omie!S30),"",omie!T30)</f>
        <v/>
      </c>
      <c r="T32" s="28"/>
      <c r="U32"/>
    </row>
    <row r="33" spans="1:21" x14ac:dyDescent="0.2">
      <c r="A33" t="s">
        <v>697</v>
      </c>
      <c r="B33" t="s">
        <v>336</v>
      </c>
      <c r="C33" s="28">
        <v>51.4</v>
      </c>
      <c r="D33" t="s">
        <v>826</v>
      </c>
      <c r="E33" t="s">
        <v>2</v>
      </c>
      <c r="F33" s="28">
        <f ca="1">apuestas_jun24[[#This Row],[Apuesta Miniporra]]-$B$3</f>
        <v>-0.64999999999999858</v>
      </c>
      <c r="G33" s="68">
        <f ca="1">ABS(apuestas_jun24[[#This Row],[desvio]])/$B$3</f>
        <v>1.2487992315081626E-2</v>
      </c>
      <c r="H33" s="4">
        <f ca="1">_xlfn.RANK.EQ(apuestas_jun24[[#This Row],[desvio %]],apuestas_jun24[desvio %],1)</f>
        <v>4</v>
      </c>
      <c r="J33" s="66" t="s">
        <v>697</v>
      </c>
      <c r="K33" s="10">
        <f ca="1">INDEX(apuestas_jun24[orden],MATCH(resultados_jun[Apuesta MiniPorra],apuestas_jun24[Apuesta Miniporra],0))</f>
        <v>4</v>
      </c>
      <c r="L33" s="6" t="str">
        <f>apuestas_jun24[[#This Row],[Nombre]]</f>
        <v>Javier Revuelta Alonso</v>
      </c>
      <c r="M33" s="14">
        <f>apuestas_jun24[[#This Row],[Apuesta Miniporra]]</f>
        <v>51.4</v>
      </c>
      <c r="N33" s="14">
        <f ca="1">INDEX(apuestas_jun24[desvio],MATCH(resultados_jun[[#This Row],[Apuesta MiniPorra]],apuestas_jun24[Apuesta Miniporra],0))</f>
        <v>-0.64999999999999858</v>
      </c>
      <c r="O33" s="13">
        <f ca="1">INDEX(apuestas_jun24[desvio %],MATCH(resultados_jun[[#This Row],[Apuesta MiniPorra]],apuestas_jun24[Apuesta Miniporra],0))</f>
        <v>1.2487992315081626E-2</v>
      </c>
      <c r="P33" s="4">
        <v>27</v>
      </c>
      <c r="Q33" s="4" t="str">
        <f>IF(ISBLANK(omie!S31),"",omie!T31)</f>
        <v/>
      </c>
      <c r="T33" s="28"/>
      <c r="U33"/>
    </row>
    <row r="34" spans="1:21" x14ac:dyDescent="0.2">
      <c r="A34" t="s">
        <v>697</v>
      </c>
      <c r="B34" t="s">
        <v>225</v>
      </c>
      <c r="C34" s="28">
        <v>50.8</v>
      </c>
      <c r="D34" t="s">
        <v>780</v>
      </c>
      <c r="E34" t="s">
        <v>199</v>
      </c>
      <c r="F34" s="28">
        <f ca="1">apuestas_jun24[[#This Row],[Apuesta Miniporra]]-$B$3</f>
        <v>-1.25</v>
      </c>
      <c r="G34" s="68">
        <f ca="1">ABS(apuestas_jun24[[#This Row],[desvio]])/$B$3</f>
        <v>2.4015369836695485E-2</v>
      </c>
      <c r="H34" s="4">
        <f ca="1">_xlfn.RANK.EQ(apuestas_jun24[[#This Row],[desvio %]],apuestas_jun24[desvio %],1)</f>
        <v>8</v>
      </c>
      <c r="J34" s="66" t="s">
        <v>697</v>
      </c>
      <c r="K34" s="10">
        <f ca="1">INDEX(apuestas_jun24[orden],MATCH(resultados_jun[Apuesta MiniPorra],apuestas_jun24[Apuesta Miniporra],0))</f>
        <v>8</v>
      </c>
      <c r="L34" s="6" t="str">
        <f>apuestas_jun24[[#This Row],[Nombre]]</f>
        <v>Elena Muñoz Vioque</v>
      </c>
      <c r="M34" s="14">
        <f>apuestas_jun24[[#This Row],[Apuesta Miniporra]]</f>
        <v>50.8</v>
      </c>
      <c r="N34" s="14">
        <f ca="1">INDEX(apuestas_jun24[desvio],MATCH(resultados_jun[[#This Row],[Apuesta MiniPorra]],apuestas_jun24[Apuesta Miniporra],0))</f>
        <v>-1.25</v>
      </c>
      <c r="O34" s="13">
        <f ca="1">INDEX(apuestas_jun24[desvio %],MATCH(resultados_jun[[#This Row],[Apuesta MiniPorra]],apuestas_jun24[Apuesta Miniporra],0))</f>
        <v>2.4015369836695485E-2</v>
      </c>
      <c r="P34" s="4">
        <v>28</v>
      </c>
      <c r="Q34" s="4" t="str">
        <f>IF(ISBLANK(omie!S32),"",omie!T32)</f>
        <v/>
      </c>
      <c r="T34" s="28"/>
      <c r="U34"/>
    </row>
    <row r="35" spans="1:21" x14ac:dyDescent="0.2">
      <c r="A35" t="s">
        <v>697</v>
      </c>
      <c r="B35" t="s">
        <v>543</v>
      </c>
      <c r="C35" s="28">
        <v>49.29</v>
      </c>
      <c r="D35" t="s">
        <v>825</v>
      </c>
      <c r="E35" t="s">
        <v>351</v>
      </c>
      <c r="F35" s="28">
        <f ca="1">apuestas_jun24[[#This Row],[Apuesta Miniporra]]-$B$3</f>
        <v>-2.759999999999998</v>
      </c>
      <c r="G35" s="68">
        <f ca="1">ABS(apuestas_jun24[[#This Row],[desvio]])/$B$3</f>
        <v>5.3025936599423597E-2</v>
      </c>
      <c r="H35" s="4">
        <f ca="1">_xlfn.RANK.EQ(apuestas_jun24[[#This Row],[desvio %]],apuestas_jun24[desvio %],1)</f>
        <v>13</v>
      </c>
      <c r="J35" s="66" t="s">
        <v>697</v>
      </c>
      <c r="K35" s="10">
        <f ca="1">INDEX(apuestas_jun24[orden],MATCH(resultados_jun[Apuesta MiniPorra],apuestas_jun24[Apuesta Miniporra],0))</f>
        <v>13</v>
      </c>
      <c r="L35" s="6" t="str">
        <f>apuestas_jun24[[#This Row],[Nombre]]</f>
        <v>Roberto Parro Cortés</v>
      </c>
      <c r="M35" s="14">
        <f>apuestas_jun24[[#This Row],[Apuesta Miniporra]]</f>
        <v>49.29</v>
      </c>
      <c r="N35" s="14">
        <f ca="1">INDEX(apuestas_jun24[desvio],MATCH(resultados_jun[[#This Row],[Apuesta MiniPorra]],apuestas_jun24[Apuesta Miniporra],0))</f>
        <v>-2.759999999999998</v>
      </c>
      <c r="O35" s="13">
        <f ca="1">INDEX(apuestas_jun24[desvio %],MATCH(resultados_jun[[#This Row],[Apuesta MiniPorra]],apuestas_jun24[Apuesta Miniporra],0))</f>
        <v>5.3025936599423597E-2</v>
      </c>
      <c r="P35" s="4">
        <v>29</v>
      </c>
      <c r="Q35" s="4" t="str">
        <f>IF(ISBLANK(omie!S33),"",omie!T33)</f>
        <v/>
      </c>
      <c r="T35" s="28"/>
      <c r="U35"/>
    </row>
    <row r="36" spans="1:21" x14ac:dyDescent="0.2">
      <c r="A36" t="s">
        <v>697</v>
      </c>
      <c r="B36" t="s">
        <v>364</v>
      </c>
      <c r="C36" s="28">
        <v>48.01</v>
      </c>
      <c r="D36" t="s">
        <v>118</v>
      </c>
      <c r="E36" t="s">
        <v>357</v>
      </c>
      <c r="F36" s="28">
        <f ca="1">apuestas_jun24[[#This Row],[Apuesta Miniporra]]-$B$3</f>
        <v>-4.0399999999999991</v>
      </c>
      <c r="G36" s="68">
        <f ca="1">ABS(apuestas_jun24[[#This Row],[desvio]])/$B$3</f>
        <v>7.7617675312199791E-2</v>
      </c>
      <c r="H36" s="4">
        <f ca="1">_xlfn.RANK.EQ(apuestas_jun24[[#This Row],[desvio %]],apuestas_jun24[desvio %],1)</f>
        <v>19</v>
      </c>
      <c r="J36" s="66" t="s">
        <v>697</v>
      </c>
      <c r="K36" s="4">
        <f ca="1">INDEX(apuestas_jun24[orden],MATCH(resultados_jun[Apuesta MiniPorra],apuestas_jun24[Apuesta Miniporra],0))</f>
        <v>19</v>
      </c>
      <c r="L36" s="63" t="str">
        <f>apuestas_jun24[[#This Row],[Nombre]]</f>
        <v>Marcos Fortea Escolano</v>
      </c>
      <c r="M36" s="28">
        <f>apuestas_jun24[[#This Row],[Apuesta Miniporra]]</f>
        <v>48.01</v>
      </c>
      <c r="N36" s="4">
        <f ca="1">INDEX(apuestas_jun24[desvio],MATCH(resultados_jun[[#This Row],[Apuesta MiniPorra]],apuestas_jun24[Apuesta Miniporra],0))</f>
        <v>-4.0399999999999991</v>
      </c>
      <c r="O36" s="13">
        <f ca="1">INDEX(apuestas_jun24[desvio %],MATCH(resultados_jun[[#This Row],[Apuesta MiniPorra]],apuestas_jun24[Apuesta Miniporra],0))</f>
        <v>7.7617675312199791E-2</v>
      </c>
      <c r="P36" s="4">
        <v>30</v>
      </c>
      <c r="Q36" s="4" t="str">
        <f>IF(ISBLANK(omie!S34),"",omie!T34)</f>
        <v/>
      </c>
      <c r="T36"/>
      <c r="U36"/>
    </row>
    <row r="37" spans="1:21" x14ac:dyDescent="0.2">
      <c r="A37" t="s">
        <v>697</v>
      </c>
      <c r="B37" t="s">
        <v>222</v>
      </c>
      <c r="C37" s="28">
        <v>47.82</v>
      </c>
      <c r="D37" t="s">
        <v>817</v>
      </c>
      <c r="E37" t="s">
        <v>178</v>
      </c>
      <c r="F37" s="28">
        <f ca="1">apuestas_jun24[[#This Row],[Apuesta Miniporra]]-$B$3</f>
        <v>-4.2299999999999969</v>
      </c>
      <c r="G37" s="68">
        <f ca="1">ABS(apuestas_jun24[[#This Row],[desvio]])/$B$3</f>
        <v>8.1268011527377462E-2</v>
      </c>
      <c r="H37" s="4">
        <f ca="1">_xlfn.RANK.EQ(apuestas_jun24[[#This Row],[desvio %]],apuestas_jun24[desvio %],1)</f>
        <v>21</v>
      </c>
      <c r="J37" s="66" t="s">
        <v>697</v>
      </c>
      <c r="K37" s="4">
        <f ca="1">INDEX(apuestas_jun24[orden],MATCH(resultados_jun[Apuesta MiniPorra],apuestas_jun24[Apuesta Miniporra],0))</f>
        <v>21</v>
      </c>
      <c r="L37" s="63" t="str">
        <f>apuestas_jun24[[#This Row],[Nombre]]</f>
        <v>Jose F Vidal</v>
      </c>
      <c r="M37" s="28">
        <f>apuestas_jun24[[#This Row],[Apuesta Miniporra]]</f>
        <v>47.82</v>
      </c>
      <c r="N37" s="4">
        <f ca="1">INDEX(apuestas_jun24[desvio],MATCH(resultados_jun[[#This Row],[Apuesta MiniPorra]],apuestas_jun24[Apuesta Miniporra],0))</f>
        <v>-4.2299999999999969</v>
      </c>
      <c r="O37" s="13">
        <f ca="1">INDEX(apuestas_jun24[desvio %],MATCH(resultados_jun[[#This Row],[Apuesta MiniPorra]],apuestas_jun24[Apuesta Miniporra],0))</f>
        <v>8.1268011527377462E-2</v>
      </c>
      <c r="Q37" s="88"/>
      <c r="T37"/>
      <c r="U37"/>
    </row>
    <row r="38" spans="1:21" x14ac:dyDescent="0.2">
      <c r="A38" t="s">
        <v>697</v>
      </c>
      <c r="B38" t="s">
        <v>407</v>
      </c>
      <c r="C38" s="28">
        <v>46.66</v>
      </c>
      <c r="D38" t="s">
        <v>118</v>
      </c>
      <c r="E38" t="s">
        <v>151</v>
      </c>
      <c r="F38" s="28">
        <f ca="1">apuestas_jun24[[#This Row],[Apuesta Miniporra]]-$B$3</f>
        <v>-5.3900000000000006</v>
      </c>
      <c r="G38" s="68">
        <f ca="1">ABS(apuestas_jun24[[#This Row],[desvio]])/$B$3</f>
        <v>0.10355427473583095</v>
      </c>
      <c r="H38" s="4">
        <f ca="1">_xlfn.RANK.EQ(apuestas_jun24[[#This Row],[desvio %]],apuestas_jun24[desvio %],1)</f>
        <v>23</v>
      </c>
      <c r="J38" s="66" t="s">
        <v>697</v>
      </c>
      <c r="K38" s="4">
        <f ca="1">INDEX(apuestas_jun24[orden],MATCH(resultados_jun[Apuesta MiniPorra],apuestas_jun24[Apuesta Miniporra],0))</f>
        <v>23</v>
      </c>
      <c r="L38" s="63" t="str">
        <f>apuestas_jun24[[#This Row],[Nombre]]</f>
        <v>Vicente Fayos Gavila</v>
      </c>
      <c r="M38" s="28">
        <f>apuestas_jun24[[#This Row],[Apuesta Miniporra]]</f>
        <v>46.66</v>
      </c>
      <c r="N38" s="4">
        <f ca="1">INDEX(apuestas_jun24[desvio],MATCH(resultados_jun[[#This Row],[Apuesta MiniPorra]],apuestas_jun24[Apuesta Miniporra],0))</f>
        <v>-5.3900000000000006</v>
      </c>
      <c r="O38" s="13">
        <f ca="1">INDEX(apuestas_jun24[desvio %],MATCH(resultados_jun[[#This Row],[Apuesta MiniPorra]],apuestas_jun24[Apuesta Miniporra],0))</f>
        <v>0.10355427473583095</v>
      </c>
      <c r="P38" s="88"/>
      <c r="Q38" s="88"/>
      <c r="U38" s="42"/>
    </row>
    <row r="39" spans="1:21" x14ac:dyDescent="0.2">
      <c r="A39" t="s">
        <v>697</v>
      </c>
      <c r="B39" t="s">
        <v>242</v>
      </c>
      <c r="C39" s="28">
        <v>46.5</v>
      </c>
      <c r="D39" t="s">
        <v>727</v>
      </c>
      <c r="E39" t="s">
        <v>242</v>
      </c>
      <c r="F39" s="28">
        <f ca="1">apuestas_jun24[[#This Row],[Apuesta Miniporra]]-$B$3</f>
        <v>-5.5499999999999972</v>
      </c>
      <c r="G39" s="68">
        <f ca="1">ABS(apuestas_jun24[[#This Row],[desvio]])/$B$3</f>
        <v>0.10662824207492791</v>
      </c>
      <c r="H39" s="4">
        <f ca="1">_xlfn.RANK.EQ(apuestas_jun24[[#This Row],[desvio %]],apuestas_jun24[desvio %],1)</f>
        <v>24</v>
      </c>
      <c r="J39" s="66" t="s">
        <v>697</v>
      </c>
      <c r="K39" s="4">
        <f ca="1">INDEX(apuestas_jun24[orden],MATCH(resultados_jun[Apuesta MiniPorra],apuestas_jun24[Apuesta Miniporra],0))</f>
        <v>24</v>
      </c>
      <c r="L39" s="63" t="str">
        <f>apuestas_jun24[[#This Row],[Nombre]]</f>
        <v>Javier Espelta</v>
      </c>
      <c r="M39" s="28">
        <f>apuestas_jun24[[#This Row],[Apuesta Miniporra]]</f>
        <v>46.5</v>
      </c>
      <c r="N39" s="4">
        <f ca="1">INDEX(apuestas_jun24[desvio],MATCH(resultados_jun[[#This Row],[Apuesta MiniPorra]],apuestas_jun24[Apuesta Miniporra],0))</f>
        <v>-5.5499999999999972</v>
      </c>
      <c r="O39" s="13">
        <f ca="1">INDEX(apuestas_jun24[desvio %],MATCH(resultados_jun[[#This Row],[Apuesta MiniPorra]],apuestas_jun24[Apuesta Miniporra],0))</f>
        <v>0.10662824207492791</v>
      </c>
      <c r="P39" s="88"/>
      <c r="Q39" s="88"/>
      <c r="U39" s="42"/>
    </row>
    <row r="40" spans="1:21" x14ac:dyDescent="0.2">
      <c r="A40" t="s">
        <v>697</v>
      </c>
      <c r="B40" t="s">
        <v>542</v>
      </c>
      <c r="C40" s="28">
        <v>44.45</v>
      </c>
      <c r="D40" t="s">
        <v>731</v>
      </c>
      <c r="E40" t="s">
        <v>542</v>
      </c>
      <c r="F40" s="28">
        <f ca="1">apuestas_jun24[[#This Row],[Apuesta Miniporra]]-$B$3</f>
        <v>-7.5999999999999943</v>
      </c>
      <c r="G40" s="68">
        <f ca="1">ABS(apuestas_jun24[[#This Row],[desvio]])/$B$3</f>
        <v>0.14601344860710844</v>
      </c>
      <c r="H40" s="4">
        <f ca="1">_xlfn.RANK.EQ(apuestas_jun24[[#This Row],[desvio %]],apuestas_jun24[desvio %],1)</f>
        <v>27</v>
      </c>
      <c r="J40" s="66" t="s">
        <v>697</v>
      </c>
      <c r="K40" s="4">
        <f ca="1">INDEX(apuestas_jun24[orden],MATCH(resultados_jun[Apuesta MiniPorra],apuestas_jun24[Apuesta Miniporra],0))</f>
        <v>27</v>
      </c>
      <c r="L40" s="63" t="str">
        <f>apuestas_jun24[[#This Row],[Nombre]]</f>
        <v>Sergio Alfonso</v>
      </c>
      <c r="M40" s="28">
        <f>apuestas_jun24[[#This Row],[Apuesta Miniporra]]</f>
        <v>44.45</v>
      </c>
      <c r="N40" s="4">
        <f ca="1">INDEX(apuestas_jun24[desvio],MATCH(resultados_jun[[#This Row],[Apuesta MiniPorra]],apuestas_jun24[Apuesta Miniporra],0))</f>
        <v>-7.5999999999999943</v>
      </c>
      <c r="O40" s="13">
        <f ca="1">INDEX(apuestas_jun24[desvio %],MATCH(resultados_jun[[#This Row],[Apuesta MiniPorra]],apuestas_jun24[Apuesta Miniporra],0))</f>
        <v>0.14601344860710844</v>
      </c>
      <c r="P40" s="88"/>
      <c r="Q40" s="88"/>
      <c r="U40" s="42"/>
    </row>
    <row r="41" spans="1:21" x14ac:dyDescent="0.2">
      <c r="A41" t="s">
        <v>697</v>
      </c>
      <c r="B41" t="s">
        <v>337</v>
      </c>
      <c r="C41" s="28">
        <v>44.44</v>
      </c>
      <c r="D41" t="s">
        <v>744</v>
      </c>
      <c r="E41" t="s">
        <v>309</v>
      </c>
      <c r="F41" s="28">
        <f ca="1">apuestas_jun24[[#This Row],[Apuesta Miniporra]]-$B$3</f>
        <v>-7.6099999999999994</v>
      </c>
      <c r="G41" s="68">
        <f ca="1">ABS(apuestas_jun24[[#This Row],[desvio]])/$B$3</f>
        <v>0.14620557156580211</v>
      </c>
      <c r="H41" s="4">
        <f ca="1">_xlfn.RANK.EQ(apuestas_jun24[[#This Row],[desvio %]],apuestas_jun24[desvio %],1)</f>
        <v>28</v>
      </c>
      <c r="J41" s="66" t="s">
        <v>697</v>
      </c>
      <c r="K41" s="4">
        <f ca="1">INDEX(apuestas_jun24[orden],MATCH(resultados_jun[Apuesta MiniPorra],apuestas_jun24[Apuesta Miniporra],0))</f>
        <v>28</v>
      </c>
      <c r="L41" s="63" t="str">
        <f>apuestas_jun24[[#This Row],[Nombre]]</f>
        <v>Francisco Valverde Sánchez</v>
      </c>
      <c r="M41" s="28">
        <f>apuestas_jun24[[#This Row],[Apuesta Miniporra]]</f>
        <v>44.44</v>
      </c>
      <c r="N41" s="4">
        <f ca="1">INDEX(apuestas_jun24[desvio],MATCH(resultados_jun[[#This Row],[Apuesta MiniPorra]],apuestas_jun24[Apuesta Miniporra],0))</f>
        <v>-7.6099999999999994</v>
      </c>
      <c r="O41" s="13">
        <f ca="1">INDEX(apuestas_jun24[desvio %],MATCH(resultados_jun[[#This Row],[Apuesta MiniPorra]],apuestas_jun24[Apuesta Miniporra],0))</f>
        <v>0.14620557156580211</v>
      </c>
      <c r="P41" s="88"/>
      <c r="Q41" s="88"/>
      <c r="U41" s="42"/>
    </row>
    <row r="42" spans="1:21" x14ac:dyDescent="0.2">
      <c r="A42" t="s">
        <v>697</v>
      </c>
      <c r="B42" t="s">
        <v>292</v>
      </c>
      <c r="C42" s="28">
        <v>43.83</v>
      </c>
      <c r="D42" t="s">
        <v>118</v>
      </c>
      <c r="E42" t="s">
        <v>531</v>
      </c>
      <c r="F42" s="28">
        <f ca="1">apuestas_jun24[[#This Row],[Apuesta Miniporra]]-$B$3</f>
        <v>-8.2199999999999989</v>
      </c>
      <c r="G42" s="68">
        <f ca="1">ABS(apuestas_jun24[[#This Row],[desvio]])/$B$3</f>
        <v>0.1579250720461095</v>
      </c>
      <c r="H42" s="4">
        <f ca="1">_xlfn.RANK.EQ(apuestas_jun24[[#This Row],[desvio %]],apuestas_jun24[desvio %],1)</f>
        <v>30</v>
      </c>
      <c r="J42" s="66" t="s">
        <v>697</v>
      </c>
      <c r="K42" s="4">
        <f ca="1">INDEX(apuestas_jun24[orden],MATCH(resultados_jun[Apuesta MiniPorra],apuestas_jun24[Apuesta Miniporra],0))</f>
        <v>30</v>
      </c>
      <c r="L42" t="str">
        <f>apuestas_jun24[[#This Row],[Nombre]]</f>
        <v>Oscar Mulas Crespo</v>
      </c>
      <c r="M42" s="28">
        <f>apuestas_jun24[[#This Row],[Apuesta Miniporra]]</f>
        <v>43.83</v>
      </c>
      <c r="N42" s="4">
        <f ca="1">INDEX(apuestas_jun24[desvio],MATCH(resultados_jun[[#This Row],[Apuesta MiniPorra]],apuestas_jun24[Apuesta Miniporra],0))</f>
        <v>-8.2199999999999989</v>
      </c>
      <c r="O42" s="13">
        <f ca="1">INDEX(apuestas_jun24[desvio %],MATCH(resultados_jun[[#This Row],[Apuesta MiniPorra]],apuestas_jun24[Apuesta Miniporra],0))</f>
        <v>0.1579250720461095</v>
      </c>
      <c r="P42" s="88"/>
      <c r="Q42" s="88"/>
      <c r="U42" s="42"/>
    </row>
    <row r="43" spans="1:21" x14ac:dyDescent="0.2">
      <c r="A43" t="s">
        <v>697</v>
      </c>
      <c r="B43" t="s">
        <v>800</v>
      </c>
      <c r="C43" s="28">
        <v>43.73</v>
      </c>
      <c r="D43" t="s">
        <v>118</v>
      </c>
      <c r="E43" t="s">
        <v>725</v>
      </c>
      <c r="F43" s="28">
        <f ca="1">apuestas_jun24[[#This Row],[Apuesta Miniporra]]-$B$3</f>
        <v>-8.32</v>
      </c>
      <c r="G43" s="68">
        <f ca="1">ABS(apuestas_jun24[[#This Row],[desvio]])/$B$3</f>
        <v>0.15984630163304517</v>
      </c>
      <c r="H43" s="4">
        <f ca="1">_xlfn.RANK.EQ(apuestas_jun24[[#This Row],[desvio %]],apuestas_jun24[desvio %],1)</f>
        <v>32</v>
      </c>
      <c r="J43" s="66" t="s">
        <v>697</v>
      </c>
      <c r="K43" s="4">
        <f ca="1">INDEX(apuestas_jun24[orden],MATCH(resultados_jun[Apuesta MiniPorra],apuestas_jun24[Apuesta Miniporra],0))</f>
        <v>32</v>
      </c>
      <c r="L43" t="str">
        <f>apuestas_jun24[[#This Row],[Nombre]]</f>
        <v>Sergio García Sanz</v>
      </c>
      <c r="M43" s="28">
        <f>apuestas_jun24[[#This Row],[Apuesta Miniporra]]</f>
        <v>43.73</v>
      </c>
      <c r="N43" s="4">
        <f ca="1">INDEX(apuestas_jun24[desvio],MATCH(resultados_jun[[#This Row],[Apuesta MiniPorra]],apuestas_jun24[Apuesta Miniporra],0))</f>
        <v>-8.32</v>
      </c>
      <c r="O43" s="13">
        <f ca="1">INDEX(apuestas_jun24[desvio %],MATCH(resultados_jun[[#This Row],[Apuesta MiniPorra]],apuestas_jun24[Apuesta Miniporra],0))</f>
        <v>0.15984630163304517</v>
      </c>
      <c r="P43" s="88"/>
      <c r="Q43" s="88"/>
      <c r="U43" s="42"/>
    </row>
    <row r="44" spans="1:21" x14ac:dyDescent="0.2">
      <c r="A44" t="s">
        <v>697</v>
      </c>
      <c r="B44" t="s">
        <v>647</v>
      </c>
      <c r="C44" s="28">
        <v>43.71</v>
      </c>
      <c r="D44" t="s">
        <v>758</v>
      </c>
      <c r="E44" t="s">
        <v>581</v>
      </c>
      <c r="F44" s="28">
        <f ca="1">apuestas_jun24[[#This Row],[Apuesta Miniporra]]-$B$3</f>
        <v>-8.3399999999999963</v>
      </c>
      <c r="G44" s="68">
        <f ca="1">ABS(apuestas_jun24[[#This Row],[desvio]])/$B$3</f>
        <v>0.1602305475504322</v>
      </c>
      <c r="H44" s="4">
        <f ca="1">_xlfn.RANK.EQ(apuestas_jun24[[#This Row],[desvio %]],apuestas_jun24[desvio %],1)</f>
        <v>33</v>
      </c>
      <c r="J44" s="66" t="s">
        <v>697</v>
      </c>
      <c r="K44" s="4">
        <f ca="1">INDEX(apuestas_jun24[orden],MATCH(resultados_jun[Apuesta MiniPorra],apuestas_jun24[Apuesta Miniporra],0))</f>
        <v>33</v>
      </c>
      <c r="L44" t="str">
        <f>apuestas_jun24[[#This Row],[Nombre]]</f>
        <v>Jose Antonio Quidiello Antuña</v>
      </c>
      <c r="M44" s="28">
        <f>apuestas_jun24[[#This Row],[Apuesta Miniporra]]</f>
        <v>43.71</v>
      </c>
      <c r="N44" s="4">
        <f ca="1">INDEX(apuestas_jun24[desvio],MATCH(resultados_jun[[#This Row],[Apuesta MiniPorra]],apuestas_jun24[Apuesta Miniporra],0))</f>
        <v>-8.3399999999999963</v>
      </c>
      <c r="O44" s="13">
        <f ca="1">INDEX(apuestas_jun24[desvio %],MATCH(resultados_jun[[#This Row],[Apuesta MiniPorra]],apuestas_jun24[Apuesta Miniporra],0))</f>
        <v>0.1602305475504322</v>
      </c>
      <c r="P44" s="88"/>
      <c r="Q44" s="88"/>
      <c r="U44" s="42"/>
    </row>
    <row r="45" spans="1:21" x14ac:dyDescent="0.2">
      <c r="A45" t="s">
        <v>697</v>
      </c>
      <c r="B45" t="s">
        <v>796</v>
      </c>
      <c r="C45" s="28">
        <v>43.28</v>
      </c>
      <c r="D45" t="s">
        <v>703</v>
      </c>
      <c r="E45" t="s">
        <v>704</v>
      </c>
      <c r="F45" s="28">
        <f ca="1">apuestas_jun24[[#This Row],[Apuesta Miniporra]]-$B$3</f>
        <v>-8.769999999999996</v>
      </c>
      <c r="G45" s="68">
        <f ca="1">ABS(apuestas_jun24[[#This Row],[desvio]])/$B$3</f>
        <v>0.16849183477425544</v>
      </c>
      <c r="H45" s="4">
        <f ca="1">_xlfn.RANK.EQ(apuestas_jun24[[#This Row],[desvio %]],apuestas_jun24[desvio %],1)</f>
        <v>34</v>
      </c>
      <c r="J45" s="66" t="s">
        <v>697</v>
      </c>
      <c r="K45" s="4">
        <f ca="1">INDEX(apuestas_jun24[orden],MATCH(resultados_jun[Apuesta MiniPorra],apuestas_jun24[Apuesta Miniporra],0))</f>
        <v>34</v>
      </c>
      <c r="L45" t="str">
        <f>apuestas_jun24[[#This Row],[Nombre]]</f>
        <v>Javier Fernandez Maza</v>
      </c>
      <c r="M45" s="28">
        <f>apuestas_jun24[[#This Row],[Apuesta Miniporra]]</f>
        <v>43.28</v>
      </c>
      <c r="N45" s="4">
        <f ca="1">INDEX(apuestas_jun24[desvio],MATCH(resultados_jun[[#This Row],[Apuesta MiniPorra]],apuestas_jun24[Apuesta Miniporra],0))</f>
        <v>-8.769999999999996</v>
      </c>
      <c r="O45" s="13">
        <f ca="1">INDEX(apuestas_jun24[desvio %],MATCH(resultados_jun[[#This Row],[Apuesta MiniPorra]],apuestas_jun24[Apuesta Miniporra],0))</f>
        <v>0.16849183477425544</v>
      </c>
      <c r="P45" s="88"/>
      <c r="Q45" s="88"/>
      <c r="U45" s="42"/>
    </row>
    <row r="46" spans="1:21" x14ac:dyDescent="0.2">
      <c r="A46" t="s">
        <v>697</v>
      </c>
      <c r="B46" t="s">
        <v>399</v>
      </c>
      <c r="C46" s="28">
        <v>43.2</v>
      </c>
      <c r="D46" t="s">
        <v>715</v>
      </c>
      <c r="E46" t="s">
        <v>716</v>
      </c>
      <c r="F46" s="28">
        <f ca="1">apuestas_jun24[[#This Row],[Apuesta Miniporra]]-$B$3</f>
        <v>-8.8499999999999943</v>
      </c>
      <c r="G46" s="68">
        <f ca="1">ABS(apuestas_jun24[[#This Row],[desvio]])/$B$3</f>
        <v>0.17002881844380394</v>
      </c>
      <c r="H46" s="4">
        <f ca="1">_xlfn.RANK.EQ(apuestas_jun24[[#This Row],[desvio %]],apuestas_jun24[desvio %],1)</f>
        <v>35</v>
      </c>
      <c r="J46" s="66" t="s">
        <v>697</v>
      </c>
      <c r="K46" s="4">
        <f ca="1">INDEX(apuestas_jun24[orden],MATCH(resultados_jun[Apuesta MiniPorra],apuestas_jun24[Apuesta Miniporra],0))</f>
        <v>35</v>
      </c>
      <c r="L46" t="str">
        <f>apuestas_jun24[[#This Row],[Nombre]]</f>
        <v>Sergio Lopez Oliver</v>
      </c>
      <c r="M46" s="28">
        <f>apuestas_jun24[[#This Row],[Apuesta Miniporra]]</f>
        <v>43.2</v>
      </c>
      <c r="N46" s="4">
        <f ca="1">INDEX(apuestas_jun24[desvio],MATCH(resultados_jun[[#This Row],[Apuesta MiniPorra]],apuestas_jun24[Apuesta Miniporra],0))</f>
        <v>-8.8499999999999943</v>
      </c>
      <c r="O46" s="13">
        <f ca="1">INDEX(apuestas_jun24[desvio %],MATCH(resultados_jun[[#This Row],[Apuesta MiniPorra]],apuestas_jun24[Apuesta Miniporra],0))</f>
        <v>0.17002881844380394</v>
      </c>
      <c r="P46" s="88"/>
      <c r="Q46" s="88"/>
      <c r="U46" s="42"/>
    </row>
    <row r="47" spans="1:21" x14ac:dyDescent="0.2">
      <c r="A47" t="s">
        <v>697</v>
      </c>
      <c r="B47" t="s">
        <v>474</v>
      </c>
      <c r="C47" s="28">
        <v>42.25</v>
      </c>
      <c r="D47" t="s">
        <v>118</v>
      </c>
      <c r="E47" t="s">
        <v>535</v>
      </c>
      <c r="F47" s="28">
        <f ca="1">apuestas_jun24[[#This Row],[Apuesta Miniporra]]-$B$3</f>
        <v>-9.7999999999999972</v>
      </c>
      <c r="G47" s="68">
        <f ca="1">ABS(apuestas_jun24[[#This Row],[desvio]])/$B$3</f>
        <v>0.18828049951969256</v>
      </c>
      <c r="H47" s="4">
        <f ca="1">_xlfn.RANK.EQ(apuestas_jun24[[#This Row],[desvio %]],apuestas_jun24[desvio %],1)</f>
        <v>36</v>
      </c>
      <c r="J47" s="66" t="s">
        <v>697</v>
      </c>
      <c r="K47" s="4">
        <f ca="1">INDEX(apuestas_jun24[orden],MATCH(resultados_jun[Apuesta MiniPorra],apuestas_jun24[Apuesta Miniporra],0))</f>
        <v>36</v>
      </c>
      <c r="L47" t="str">
        <f>apuestas_jun24[[#This Row],[Nombre]]</f>
        <v>Javier Colón Cortegoso</v>
      </c>
      <c r="M47" s="28">
        <f>apuestas_jun24[[#This Row],[Apuesta Miniporra]]</f>
        <v>42.25</v>
      </c>
      <c r="N47" s="4">
        <f ca="1">INDEX(apuestas_jun24[desvio],MATCH(resultados_jun[[#This Row],[Apuesta MiniPorra]],apuestas_jun24[Apuesta Miniporra],0))</f>
        <v>-9.7999999999999972</v>
      </c>
      <c r="O47" s="13">
        <f ca="1">INDEX(apuestas_jun24[desvio %],MATCH(resultados_jun[[#This Row],[Apuesta MiniPorra]],apuestas_jun24[Apuesta Miniporra],0))</f>
        <v>0.18828049951969256</v>
      </c>
      <c r="P47" s="88"/>
      <c r="Q47" s="88"/>
      <c r="U47" s="42"/>
    </row>
    <row r="48" spans="1:21" x14ac:dyDescent="0.2">
      <c r="A48" t="s">
        <v>697</v>
      </c>
      <c r="B48" t="s">
        <v>362</v>
      </c>
      <c r="C48" s="28">
        <v>42.11</v>
      </c>
      <c r="D48" t="s">
        <v>118</v>
      </c>
      <c r="E48" t="s">
        <v>213</v>
      </c>
      <c r="F48" s="28">
        <f ca="1">apuestas_jun24[[#This Row],[Apuesta Miniporra]]-$B$3</f>
        <v>-9.9399999999999977</v>
      </c>
      <c r="G48" s="68">
        <f ca="1">ABS(apuestas_jun24[[#This Row],[desvio]])/$B$3</f>
        <v>0.19097022094140245</v>
      </c>
      <c r="H48" s="4">
        <f ca="1">_xlfn.RANK.EQ(apuestas_jun24[[#This Row],[desvio %]],apuestas_jun24[desvio %],1)</f>
        <v>37</v>
      </c>
      <c r="J48" s="66" t="s">
        <v>697</v>
      </c>
      <c r="K48" s="4">
        <f ca="1">INDEX(apuestas_jun24[orden],MATCH(resultados_jun[Apuesta MiniPorra],apuestas_jun24[Apuesta Miniporra],0))</f>
        <v>37</v>
      </c>
      <c r="L48" t="str">
        <f>apuestas_jun24[[#This Row],[Nombre]]</f>
        <v>Inés Monroy</v>
      </c>
      <c r="M48" s="28">
        <f>apuestas_jun24[[#This Row],[Apuesta Miniporra]]</f>
        <v>42.11</v>
      </c>
      <c r="N48" s="4">
        <f ca="1">INDEX(apuestas_jun24[desvio],MATCH(resultados_jun[[#This Row],[Apuesta MiniPorra]],apuestas_jun24[Apuesta Miniporra],0))</f>
        <v>-9.9399999999999977</v>
      </c>
      <c r="O48" s="13">
        <f ca="1">INDEX(apuestas_jun24[desvio %],MATCH(resultados_jun[[#This Row],[Apuesta MiniPorra]],apuestas_jun24[Apuesta Miniporra],0))</f>
        <v>0.19097022094140245</v>
      </c>
      <c r="P48" s="88"/>
      <c r="Q48" s="88"/>
      <c r="U48" s="42"/>
    </row>
    <row r="49" spans="1:21" x14ac:dyDescent="0.2">
      <c r="A49" t="s">
        <v>697</v>
      </c>
      <c r="B49" t="s">
        <v>363</v>
      </c>
      <c r="C49" s="28">
        <v>42.1</v>
      </c>
      <c r="D49" t="s">
        <v>118</v>
      </c>
      <c r="E49" t="s">
        <v>76</v>
      </c>
      <c r="F49" s="28">
        <f ca="1">apuestas_jun24[[#This Row],[Apuesta Miniporra]]-$B$3</f>
        <v>-9.9499999999999957</v>
      </c>
      <c r="G49" s="68">
        <f ca="1">ABS(apuestas_jun24[[#This Row],[desvio]])/$B$3</f>
        <v>0.19116234390009598</v>
      </c>
      <c r="H49" s="4">
        <f ca="1">_xlfn.RANK.EQ(apuestas_jun24[[#This Row],[desvio %]],apuestas_jun24[desvio %],1)</f>
        <v>38</v>
      </c>
      <c r="J49" s="66" t="s">
        <v>697</v>
      </c>
      <c r="K49" s="4">
        <f ca="1">INDEX(apuestas_jun24[orden],MATCH(resultados_jun[Apuesta MiniPorra],apuestas_jun24[Apuesta Miniporra],0))</f>
        <v>38</v>
      </c>
      <c r="L49" t="str">
        <f>apuestas_jun24[[#This Row],[Nombre]]</f>
        <v>Roque Alonso Alonso</v>
      </c>
      <c r="M49" s="28">
        <f>apuestas_jun24[[#This Row],[Apuesta Miniporra]]</f>
        <v>42.1</v>
      </c>
      <c r="N49" s="4">
        <f ca="1">INDEX(apuestas_jun24[desvio],MATCH(resultados_jun[[#This Row],[Apuesta MiniPorra]],apuestas_jun24[Apuesta Miniporra],0))</f>
        <v>-9.9499999999999957</v>
      </c>
      <c r="O49" s="71">
        <f ca="1">INDEX(apuestas_jun24[desvio %],MATCH(resultados_jun[[#This Row],[Apuesta MiniPorra]],apuestas_jun24[Apuesta Miniporra],0))</f>
        <v>0.19116234390009598</v>
      </c>
      <c r="P49" s="88"/>
      <c r="Q49" s="88"/>
      <c r="U49" s="42"/>
    </row>
    <row r="50" spans="1:21" x14ac:dyDescent="0.2">
      <c r="A50" t="s">
        <v>697</v>
      </c>
      <c r="B50" t="s">
        <v>408</v>
      </c>
      <c r="C50" s="28">
        <v>41.91</v>
      </c>
      <c r="D50" t="s">
        <v>700</v>
      </c>
      <c r="E50" t="s">
        <v>456</v>
      </c>
      <c r="F50" s="28">
        <f ca="1">apuestas_jun24[[#This Row],[Apuesta Miniporra]]-$B$3</f>
        <v>-10.14</v>
      </c>
      <c r="G50" s="68">
        <f ca="1">ABS(apuestas_jun24[[#This Row],[desvio]])/$B$3</f>
        <v>0.19481268011527381</v>
      </c>
      <c r="H50" s="4">
        <f ca="1">_xlfn.RANK.EQ(apuestas_jun24[[#This Row],[desvio %]],apuestas_jun24[desvio %],1)</f>
        <v>39</v>
      </c>
      <c r="J50" s="66" t="s">
        <v>697</v>
      </c>
      <c r="K50" s="4">
        <f ca="1">INDEX(apuestas_jun24[orden],MATCH(resultados_jun[Apuesta MiniPorra],apuestas_jun24[Apuesta Miniporra],0))</f>
        <v>39</v>
      </c>
      <c r="L50" t="str">
        <f>apuestas_jun24[[#This Row],[Nombre]]</f>
        <v>Julián Mateo Muñoz</v>
      </c>
      <c r="M50" s="28">
        <f>apuestas_jun24[[#This Row],[Apuesta Miniporra]]</f>
        <v>41.91</v>
      </c>
      <c r="N50" s="4">
        <f ca="1">INDEX(apuestas_jun24[desvio],MATCH(resultados_jun[[#This Row],[Apuesta MiniPorra]],apuestas_jun24[Apuesta Miniporra],0))</f>
        <v>-10.14</v>
      </c>
      <c r="O50" s="71">
        <f ca="1">INDEX(apuestas_jun24[desvio %],MATCH(resultados_jun[[#This Row],[Apuesta MiniPorra]],apuestas_jun24[Apuesta Miniporra],0))</f>
        <v>0.19481268011527381</v>
      </c>
      <c r="P50" s="88"/>
      <c r="Q50" s="88"/>
      <c r="U50" s="42"/>
    </row>
    <row r="51" spans="1:21" x14ac:dyDescent="0.2">
      <c r="A51" t="s">
        <v>697</v>
      </c>
      <c r="B51" t="s">
        <v>217</v>
      </c>
      <c r="C51" s="28">
        <v>39.93</v>
      </c>
      <c r="D51" t="s">
        <v>118</v>
      </c>
      <c r="E51" t="s">
        <v>123</v>
      </c>
      <c r="F51" s="28">
        <f ca="1">apuestas_jun24[[#This Row],[Apuesta Miniporra]]-$B$3</f>
        <v>-12.119999999999997</v>
      </c>
      <c r="G51" s="68">
        <f ca="1">ABS(apuestas_jun24[[#This Row],[desvio]])/$B$3</f>
        <v>0.2328530259365994</v>
      </c>
      <c r="H51" s="4">
        <f ca="1">_xlfn.RANK.EQ(apuestas_jun24[[#This Row],[desvio %]],apuestas_jun24[desvio %],1)</f>
        <v>42</v>
      </c>
      <c r="J51" s="66" t="s">
        <v>697</v>
      </c>
      <c r="K51" s="4">
        <f ca="1">INDEX(apuestas_jun24[orden],MATCH(resultados_jun[Apuesta MiniPorra],apuestas_jun24[Apuesta Miniporra],0))</f>
        <v>42</v>
      </c>
      <c r="L51" t="str">
        <f>apuestas_jun24[[#This Row],[Nombre]]</f>
        <v>Fernando Sánchez-Rey Maeso</v>
      </c>
      <c r="M51" s="28">
        <f>apuestas_jun24[[#This Row],[Apuesta Miniporra]]</f>
        <v>39.93</v>
      </c>
      <c r="N51" s="4">
        <f ca="1">INDEX(apuestas_jun24[desvio],MATCH(resultados_jun[[#This Row],[Apuesta MiniPorra]],apuestas_jun24[Apuesta Miniporra],0))</f>
        <v>-12.119999999999997</v>
      </c>
      <c r="O51" s="71">
        <f ca="1">INDEX(apuestas_jun24[desvio %],MATCH(resultados_jun[[#This Row],[Apuesta MiniPorra]],apuestas_jun24[Apuesta Miniporra],0))</f>
        <v>0.2328530259365994</v>
      </c>
      <c r="P51" s="88"/>
      <c r="Q51" s="88"/>
      <c r="U51" s="42"/>
    </row>
    <row r="52" spans="1:21" x14ac:dyDescent="0.2">
      <c r="A52" t="s">
        <v>697</v>
      </c>
      <c r="B52" t="s">
        <v>221</v>
      </c>
      <c r="C52" s="28">
        <v>39.590000000000003</v>
      </c>
      <c r="D52" t="s">
        <v>118</v>
      </c>
      <c r="E52" t="s">
        <v>124</v>
      </c>
      <c r="F52" s="28">
        <f ca="1">apuestas_jun24[[#This Row],[Apuesta Miniporra]]-$B$3</f>
        <v>-12.459999999999994</v>
      </c>
      <c r="G52" s="68">
        <f ca="1">ABS(apuestas_jun24[[#This Row],[desvio]])/$B$3</f>
        <v>0.23938520653218048</v>
      </c>
      <c r="H52" s="4">
        <f ca="1">_xlfn.RANK.EQ(apuestas_jun24[[#This Row],[desvio %]],apuestas_jun24[desvio %],1)</f>
        <v>43</v>
      </c>
      <c r="J52" s="66" t="s">
        <v>697</v>
      </c>
      <c r="K52" s="4">
        <f ca="1">INDEX(apuestas_jun24[orden],MATCH(resultados_jun[Apuesta MiniPorra],apuestas_jun24[Apuesta Miniporra],0))</f>
        <v>43</v>
      </c>
      <c r="L52" t="str">
        <f>apuestas_jun24[[#This Row],[Nombre]]</f>
        <v>Alfonso Lezcano</v>
      </c>
      <c r="M52" s="28">
        <f>apuestas_jun24[[#This Row],[Apuesta Miniporra]]</f>
        <v>39.590000000000003</v>
      </c>
      <c r="N52" s="4">
        <f ca="1">INDEX(apuestas_jun24[desvio],MATCH(resultados_jun[[#This Row],[Apuesta MiniPorra]],apuestas_jun24[Apuesta Miniporra],0))</f>
        <v>-12.459999999999994</v>
      </c>
      <c r="O52" s="71">
        <f ca="1">INDEX(apuestas_jun24[desvio %],MATCH(resultados_jun[[#This Row],[Apuesta MiniPorra]],apuestas_jun24[Apuesta Miniporra],0))</f>
        <v>0.23938520653218048</v>
      </c>
      <c r="P52" s="71"/>
      <c r="Q52" s="71"/>
      <c r="U52" s="42"/>
    </row>
    <row r="53" spans="1:21" x14ac:dyDescent="0.2">
      <c r="A53" t="s">
        <v>697</v>
      </c>
      <c r="B53" t="s">
        <v>653</v>
      </c>
      <c r="C53" s="28">
        <v>38.9</v>
      </c>
      <c r="D53" t="s">
        <v>118</v>
      </c>
      <c r="E53" t="s">
        <v>635</v>
      </c>
      <c r="F53" s="28">
        <f ca="1">apuestas_jun24[[#This Row],[Apuesta Miniporra]]-$B$3</f>
        <v>-13.149999999999999</v>
      </c>
      <c r="G53" s="68">
        <f ca="1">ABS(apuestas_jun24[[#This Row],[desvio]])/$B$3</f>
        <v>0.25264169068203651</v>
      </c>
      <c r="H53" s="4">
        <f ca="1">_xlfn.RANK.EQ(apuestas_jun24[[#This Row],[desvio %]],apuestas_jun24[desvio %],1)</f>
        <v>44</v>
      </c>
      <c r="J53" s="66" t="s">
        <v>697</v>
      </c>
      <c r="K53" s="4">
        <f ca="1">INDEX(apuestas_jun24[orden],MATCH(resultados_jun[Apuesta MiniPorra],apuestas_jun24[Apuesta Miniporra],0))</f>
        <v>44</v>
      </c>
      <c r="L53" t="str">
        <f>apuestas_jun24[[#This Row],[Nombre]]</f>
        <v>Carlos Martínez García</v>
      </c>
      <c r="M53" s="28">
        <f>apuestas_jun24[[#This Row],[Apuesta Miniporra]]</f>
        <v>38.9</v>
      </c>
      <c r="N53" s="4">
        <f ca="1">INDEX(apuestas_jun24[desvio],MATCH(resultados_jun[[#This Row],[Apuesta MiniPorra]],apuestas_jun24[Apuesta Miniporra],0))</f>
        <v>-13.149999999999999</v>
      </c>
      <c r="O53" s="71">
        <f ca="1">INDEX(apuestas_jun24[desvio %],MATCH(resultados_jun[[#This Row],[Apuesta MiniPorra]],apuestas_jun24[Apuesta Miniporra],0))</f>
        <v>0.25264169068203651</v>
      </c>
      <c r="U53" s="42"/>
    </row>
    <row r="54" spans="1:21" x14ac:dyDescent="0.2">
      <c r="A54" t="s">
        <v>697</v>
      </c>
      <c r="B54" t="s">
        <v>797</v>
      </c>
      <c r="C54" s="28">
        <v>38.5</v>
      </c>
      <c r="D54" t="s">
        <v>118</v>
      </c>
      <c r="E54" t="s">
        <v>708</v>
      </c>
      <c r="F54" s="28">
        <f ca="1">apuestas_jun24[[#This Row],[Apuesta Miniporra]]-$B$3</f>
        <v>-13.549999999999997</v>
      </c>
      <c r="G54" s="68">
        <f ca="1">ABS(apuestas_jun24[[#This Row],[desvio]])/$B$3</f>
        <v>0.260326609029779</v>
      </c>
      <c r="H54" s="4">
        <f ca="1">_xlfn.RANK.EQ(apuestas_jun24[[#This Row],[desvio %]],apuestas_jun24[desvio %],1)</f>
        <v>45</v>
      </c>
      <c r="J54" s="66" t="s">
        <v>697</v>
      </c>
      <c r="K54" s="4">
        <f ca="1">INDEX(apuestas_jun24[orden],MATCH(resultados_jun[Apuesta MiniPorra],apuestas_jun24[Apuesta Miniporra],0))</f>
        <v>45</v>
      </c>
      <c r="L54" t="str">
        <f>apuestas_jun24[[#This Row],[Nombre]]</f>
        <v>Daniel Pérez Carrasco</v>
      </c>
      <c r="M54" s="28">
        <f>apuestas_jun24[[#This Row],[Apuesta Miniporra]]</f>
        <v>38.5</v>
      </c>
      <c r="N54" s="4">
        <f ca="1">INDEX(apuestas_jun24[desvio],MATCH(resultados_jun[[#This Row],[Apuesta MiniPorra]],apuestas_jun24[Apuesta Miniporra],0))</f>
        <v>-13.549999999999997</v>
      </c>
      <c r="O54" s="71">
        <f ca="1">INDEX(apuestas_jun24[desvio %],MATCH(resultados_jun[[#This Row],[Apuesta MiniPorra]],apuestas_jun24[Apuesta Miniporra],0))</f>
        <v>0.260326609029779</v>
      </c>
      <c r="U54" s="42"/>
    </row>
    <row r="55" spans="1:21" x14ac:dyDescent="0.2">
      <c r="A55" t="s">
        <v>697</v>
      </c>
      <c r="B55" t="s">
        <v>801</v>
      </c>
      <c r="C55" s="28">
        <v>35.880000000000003</v>
      </c>
      <c r="D55" t="s">
        <v>118</v>
      </c>
      <c r="E55" t="s">
        <v>735</v>
      </c>
      <c r="F55" s="28">
        <f ca="1">apuestas_jun24[[#This Row],[Apuesta Miniporra]]-$B$3</f>
        <v>-16.169999999999995</v>
      </c>
      <c r="G55" s="68">
        <f ca="1">ABS(apuestas_jun24[[#This Row],[desvio]])/$B$3</f>
        <v>0.31066282420749269</v>
      </c>
      <c r="H55" s="4">
        <f ca="1">_xlfn.RANK.EQ(apuestas_jun24[[#This Row],[desvio %]],apuestas_jun24[desvio %],1)</f>
        <v>46</v>
      </c>
      <c r="J55" s="66" t="s">
        <v>697</v>
      </c>
      <c r="K55" s="4">
        <f ca="1">INDEX(apuestas_jun24[orden],MATCH(resultados_jun[Apuesta MiniPorra],apuestas_jun24[Apuesta Miniporra],0))</f>
        <v>46</v>
      </c>
      <c r="L55" t="str">
        <f>apuestas_jun24[[#This Row],[Nombre]]</f>
        <v>Ignacio Irigoyen</v>
      </c>
      <c r="M55" s="28">
        <f>apuestas_jun24[[#This Row],[Apuesta Miniporra]]</f>
        <v>35.880000000000003</v>
      </c>
      <c r="N55" s="4">
        <f ca="1">INDEX(apuestas_jun24[desvio],MATCH(resultados_jun[[#This Row],[Apuesta MiniPorra]],apuestas_jun24[Apuesta Miniporra],0))</f>
        <v>-16.169999999999995</v>
      </c>
      <c r="O55" s="71">
        <f ca="1">INDEX(apuestas_jun24[desvio %],MATCH(resultados_jun[[#This Row],[Apuesta MiniPorra]],apuestas_jun24[Apuesta Miniporra],0))</f>
        <v>0.31066282420749269</v>
      </c>
      <c r="U55" s="42"/>
    </row>
    <row r="56" spans="1:21" x14ac:dyDescent="0.2">
      <c r="A56" t="s">
        <v>697</v>
      </c>
      <c r="B56" t="s">
        <v>541</v>
      </c>
      <c r="C56" s="28">
        <v>35.15</v>
      </c>
      <c r="D56" t="s">
        <v>729</v>
      </c>
      <c r="E56" t="s">
        <v>525</v>
      </c>
      <c r="F56" s="28">
        <f ca="1">apuestas_jun24[[#This Row],[Apuesta Miniporra]]-$B$3</f>
        <v>-16.899999999999999</v>
      </c>
      <c r="G56" s="68">
        <f ca="1">ABS(apuestas_jun24[[#This Row],[desvio]])/$B$3</f>
        <v>0.32468780019212296</v>
      </c>
      <c r="H56" s="4">
        <f ca="1">_xlfn.RANK.EQ(apuestas_jun24[[#This Row],[desvio %]],apuestas_jun24[desvio %],1)</f>
        <v>47</v>
      </c>
      <c r="J56" s="66" t="s">
        <v>697</v>
      </c>
      <c r="K56" s="4">
        <f ca="1">INDEX(apuestas_jun24[orden],MATCH(resultados_jun[Apuesta MiniPorra],apuestas_jun24[Apuesta Miniporra],0))</f>
        <v>47</v>
      </c>
      <c r="L56" t="str">
        <f>apuestas_jun24[[#This Row],[Nombre]]</f>
        <v>Daniel Reganon</v>
      </c>
      <c r="M56" s="28">
        <f>apuestas_jun24[[#This Row],[Apuesta Miniporra]]</f>
        <v>35.15</v>
      </c>
      <c r="N56" s="4">
        <f ca="1">INDEX(apuestas_jun24[desvio],MATCH(resultados_jun[[#This Row],[Apuesta MiniPorra]],apuestas_jun24[Apuesta Miniporra],0))</f>
        <v>-16.899999999999999</v>
      </c>
      <c r="O56" s="71">
        <f ca="1">INDEX(apuestas_jun24[desvio %],MATCH(resultados_jun[[#This Row],[Apuesta MiniPorra]],apuestas_jun24[Apuesta Miniporra],0))</f>
        <v>0.32468780019212296</v>
      </c>
      <c r="U56" s="42"/>
    </row>
    <row r="57" spans="1:21" x14ac:dyDescent="0.2">
      <c r="A57" t="s">
        <v>697</v>
      </c>
      <c r="B57" t="s">
        <v>9</v>
      </c>
      <c r="C57" s="28">
        <v>35</v>
      </c>
      <c r="D57" t="s">
        <v>739</v>
      </c>
      <c r="E57" t="s">
        <v>124</v>
      </c>
      <c r="F57" s="28">
        <f ca="1">apuestas_jun24[[#This Row],[Apuesta Miniporra]]-$B$3</f>
        <v>-17.049999999999997</v>
      </c>
      <c r="G57" s="68">
        <f ca="1">ABS(apuestas_jun24[[#This Row],[desvio]])/$B$3</f>
        <v>0.32756964457252635</v>
      </c>
      <c r="H57" s="4">
        <f ca="1">_xlfn.RANK.EQ(apuestas_jun24[[#This Row],[desvio %]],apuestas_jun24[desvio %],1)</f>
        <v>49</v>
      </c>
      <c r="J57" s="66" t="s">
        <v>697</v>
      </c>
      <c r="K57" s="4">
        <f ca="1">INDEX(apuestas_jun24[orden],MATCH(resultados_jun[Apuesta MiniPorra],apuestas_jun24[Apuesta Miniporra],0))</f>
        <v>49</v>
      </c>
      <c r="L57" t="str">
        <f>apuestas_jun24[[#This Row],[Nombre]]</f>
        <v>Alfonso Zárate Conde</v>
      </c>
      <c r="M57" s="28">
        <f>apuestas_jun24[[#This Row],[Apuesta Miniporra]]</f>
        <v>35</v>
      </c>
      <c r="N57" s="4">
        <f ca="1">INDEX(apuestas_jun24[desvio],MATCH(resultados_jun[[#This Row],[Apuesta MiniPorra]],apuestas_jun24[Apuesta Miniporra],0))</f>
        <v>-17.049999999999997</v>
      </c>
      <c r="O57" s="71">
        <f ca="1">INDEX(apuestas_jun24[desvio %],MATCH(resultados_jun[[#This Row],[Apuesta MiniPorra]],apuestas_jun24[Apuesta Miniporra],0))</f>
        <v>0.32756964457252635</v>
      </c>
      <c r="U57" s="42"/>
    </row>
    <row r="58" spans="1:21" x14ac:dyDescent="0.2">
      <c r="A58" t="s">
        <v>697</v>
      </c>
      <c r="B58" t="s">
        <v>799</v>
      </c>
      <c r="C58" s="28">
        <v>31.85</v>
      </c>
      <c r="D58" t="s">
        <v>721</v>
      </c>
      <c r="E58" t="s">
        <v>722</v>
      </c>
      <c r="F58" s="28">
        <f ca="1">apuestas_jun24[[#This Row],[Apuesta Miniporra]]-$B$3</f>
        <v>-20.199999999999996</v>
      </c>
      <c r="G58" s="68">
        <f ca="1">ABS(apuestas_jun24[[#This Row],[desvio]])/$B$3</f>
        <v>0.38808837656099898</v>
      </c>
      <c r="H58" s="4">
        <f ca="1">_xlfn.RANK.EQ(apuestas_jun24[[#This Row],[desvio %]],apuestas_jun24[desvio %],1)</f>
        <v>50</v>
      </c>
      <c r="J58" s="66" t="s">
        <v>697</v>
      </c>
      <c r="K58" s="4">
        <f ca="1">INDEX(apuestas_jun24[orden],MATCH(resultados_jun[Apuesta MiniPorra],apuestas_jun24[Apuesta Miniporra],0))</f>
        <v>50</v>
      </c>
      <c r="L58" t="str">
        <f>apuestas_jun24[[#This Row],[Nombre]]</f>
        <v>Jorge Gonzalez Onieva Johansson</v>
      </c>
      <c r="M58" s="28">
        <f>apuestas_jun24[[#This Row],[Apuesta Miniporra]]</f>
        <v>31.85</v>
      </c>
      <c r="N58" s="4">
        <f ca="1">INDEX(apuestas_jun24[desvio],MATCH(resultados_jun[[#This Row],[Apuesta MiniPorra]],apuestas_jun24[Apuesta Miniporra],0))</f>
        <v>-20.199999999999996</v>
      </c>
      <c r="O58" s="71">
        <f ca="1">INDEX(apuestas_jun24[desvio %],MATCH(resultados_jun[[#This Row],[Apuesta MiniPorra]],apuestas_jun24[Apuesta Miniporra],0))</f>
        <v>0.38808837656099898</v>
      </c>
      <c r="U58" s="42"/>
    </row>
    <row r="59" spans="1:21" x14ac:dyDescent="0.2">
      <c r="A59" t="s">
        <v>697</v>
      </c>
      <c r="B59" t="s">
        <v>411</v>
      </c>
      <c r="C59" s="28">
        <v>29.45</v>
      </c>
      <c r="D59" t="s">
        <v>712</v>
      </c>
      <c r="E59" t="s">
        <v>713</v>
      </c>
      <c r="F59" s="28">
        <f ca="1">apuestas_jun24[[#This Row],[Apuesta Miniporra]]-$B$3</f>
        <v>-22.599999999999998</v>
      </c>
      <c r="G59" s="68">
        <f ca="1">ABS(apuestas_jun24[[#This Row],[desvio]])/$B$3</f>
        <v>0.43419788664745435</v>
      </c>
      <c r="H59" s="4">
        <f ca="1">_xlfn.RANK.EQ(apuestas_jun24[[#This Row],[desvio %]],apuestas_jun24[desvio %],1)</f>
        <v>51</v>
      </c>
      <c r="J59" s="66" t="s">
        <v>697</v>
      </c>
      <c r="K59" s="4">
        <f ca="1">INDEX(apuestas_jun24[orden],MATCH(resultados_jun[Apuesta MiniPorra],apuestas_jun24[Apuesta Miniporra],0))</f>
        <v>51</v>
      </c>
      <c r="L59" t="str">
        <f>apuestas_jun24[[#This Row],[Nombre]]</f>
        <v>Jonathan Pazmiño Espinoza</v>
      </c>
      <c r="M59" s="28">
        <f>apuestas_jun24[[#This Row],[Apuesta Miniporra]]</f>
        <v>29.45</v>
      </c>
      <c r="N59" s="4">
        <f ca="1">INDEX(apuestas_jun24[desvio],MATCH(resultados_jun[[#This Row],[Apuesta MiniPorra]],apuestas_jun24[Apuesta Miniporra],0))</f>
        <v>-22.599999999999998</v>
      </c>
      <c r="O59" s="71">
        <f ca="1">INDEX(apuestas_jun24[desvio %],MATCH(resultados_jun[[#This Row],[Apuesta MiniPorra]],apuestas_jun24[Apuesta Miniporra],0))</f>
        <v>0.43419788664745435</v>
      </c>
      <c r="U59" s="42"/>
    </row>
    <row r="60" spans="1:21" x14ac:dyDescent="0.2">
      <c r="U60" s="42"/>
    </row>
    <row r="61" spans="1:21" x14ac:dyDescent="0.2">
      <c r="U61" s="42"/>
    </row>
    <row r="62" spans="1:21" x14ac:dyDescent="0.2">
      <c r="U62" s="42"/>
    </row>
    <row r="63" spans="1:21" x14ac:dyDescent="0.2">
      <c r="U63" s="42"/>
    </row>
    <row r="64" spans="1:21" x14ac:dyDescent="0.2">
      <c r="U64" s="42"/>
    </row>
    <row r="65" spans="21:21" x14ac:dyDescent="0.2">
      <c r="U65" s="42"/>
    </row>
    <row r="66" spans="21:21" x14ac:dyDescent="0.2">
      <c r="U66" s="42"/>
    </row>
    <row r="67" spans="21:21" x14ac:dyDescent="0.2">
      <c r="U67" s="42"/>
    </row>
    <row r="68" spans="21:21" x14ac:dyDescent="0.2">
      <c r="U68" s="42"/>
    </row>
    <row r="69" spans="21:21" x14ac:dyDescent="0.2">
      <c r="U69" s="42"/>
    </row>
    <row r="70" spans="21:21" x14ac:dyDescent="0.2">
      <c r="U70" s="42"/>
    </row>
    <row r="71" spans="21:21" x14ac:dyDescent="0.2">
      <c r="U71" s="42"/>
    </row>
    <row r="72" spans="21:21" x14ac:dyDescent="0.2">
      <c r="U72" s="42"/>
    </row>
  </sheetData>
  <mergeCells count="11">
    <mergeCell ref="U20:W22"/>
    <mergeCell ref="K1:L5"/>
    <mergeCell ref="M1:M2"/>
    <mergeCell ref="N1:O2"/>
    <mergeCell ref="P1:Q2"/>
    <mergeCell ref="R1:T5"/>
    <mergeCell ref="Y1:Y5"/>
    <mergeCell ref="G3:H3"/>
    <mergeCell ref="M3:M5"/>
    <mergeCell ref="N3:O5"/>
    <mergeCell ref="P3:Q5"/>
  </mergeCells>
  <phoneticPr fontId="9" type="noConversion"/>
  <conditionalFormatting sqref="P38:Q59 R8:S13 O7:O59 Q37 R17:S26">
    <cfRule type="dataBar" priority="2">
      <dataBar>
        <cfvo type="min"/>
        <cfvo type="max"/>
        <color rgb="FFFF555A"/>
      </dataBar>
      <extLst>
        <ext xmlns:x14="http://schemas.microsoft.com/office/spreadsheetml/2009/9/main" uri="{B025F937-C7B1-47D3-B67F-A62EFF666E3E}">
          <x14:id>{317E7541-A83B-4611-9114-77F8DF115F1B}</x14:id>
        </ext>
      </extLst>
    </cfRule>
  </conditionalFormatting>
  <conditionalFormatting sqref="K7:O59">
    <cfRule type="expression" dxfId="23" priority="3">
      <formula>$K7=3</formula>
    </cfRule>
    <cfRule type="expression" dxfId="22" priority="4">
      <formula>$K7=2</formula>
    </cfRule>
    <cfRule type="expression" dxfId="21" priority="5">
      <formula>$K7=1</formula>
    </cfRule>
  </conditionalFormatting>
  <conditionalFormatting sqref="C7:C59">
    <cfRule type="duplicateValues" dxfId="20" priority="29"/>
  </conditionalFormatting>
  <conditionalFormatting sqref="B7:B59">
    <cfRule type="duplicateValues" dxfId="19" priority="31"/>
  </conditionalFormatting>
  <conditionalFormatting sqref="R8:S13 R17:S26">
    <cfRule type="expression" dxfId="18" priority="37">
      <formula>$K38=3</formula>
    </cfRule>
    <cfRule type="expression" dxfId="17" priority="38">
      <formula>$K38=2</formula>
    </cfRule>
    <cfRule type="expression" dxfId="16" priority="39">
      <formula>$K38=1</formula>
    </cfRule>
  </conditionalFormatting>
  <conditionalFormatting sqref="P38:Q59 Q37">
    <cfRule type="expression" dxfId="15" priority="60">
      <formula>$K34=3</formula>
    </cfRule>
    <cfRule type="expression" dxfId="14" priority="61">
      <formula>$K34=2</formula>
    </cfRule>
    <cfRule type="expression" dxfId="13" priority="62">
      <formula>$K34=1</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793" r:id="rId3" name="Button 1">
              <controlPr defaultSize="0" print="0" autoFill="0" autoPict="0" macro="[0]!actualizar_todo">
                <anchor moveWithCells="1" sizeWithCells="1">
                  <from>
                    <xdr:col>3</xdr:col>
                    <xdr:colOff>19050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33794" r:id="rId4" name="Spinner 2">
              <controlPr defaultSize="0" autoPict="0" macro="[0]!Controldenúmero2_Cambiar">
                <anchor moveWithCells="1" sizeWithCells="1">
                  <from>
                    <xdr:col>4</xdr:col>
                    <xdr:colOff>885825</xdr:colOff>
                    <xdr:row>0</xdr:row>
                    <xdr:rowOff>9525</xdr:rowOff>
                  </from>
                  <to>
                    <xdr:col>6</xdr:col>
                    <xdr:colOff>0</xdr:colOff>
                    <xdr:row>3</xdr:row>
                    <xdr:rowOff>0</xdr:rowOff>
                  </to>
                </anchor>
              </controlPr>
            </control>
          </mc:Choice>
        </mc:AlternateContent>
        <mc:AlternateContent xmlns:mc="http://schemas.openxmlformats.org/markup-compatibility/2006">
          <mc:Choice Requires="x14">
            <control shapeId="33795" r:id="rId5" name="Button 3">
              <controlPr defaultSize="0" print="0" autoFill="0" autoPict="0" macro="[0]!actualizar_omie">
                <anchor moveWithCells="1" sizeWithCells="1">
                  <from>
                    <xdr:col>2</xdr:col>
                    <xdr:colOff>723900</xdr:colOff>
                    <xdr:row>3</xdr:row>
                    <xdr:rowOff>0</xdr:rowOff>
                  </from>
                  <to>
                    <xdr:col>3</xdr:col>
                    <xdr:colOff>1381125</xdr:colOff>
                    <xdr:row>5</xdr:row>
                    <xdr:rowOff>0</xdr:rowOff>
                  </to>
                </anchor>
              </controlPr>
            </control>
          </mc:Choice>
        </mc:AlternateContent>
        <mc:AlternateContent xmlns:mc="http://schemas.openxmlformats.org/markup-compatibility/2006">
          <mc:Choice Requires="x14">
            <control shapeId="33796" r:id="rId6" name="Button 4">
              <controlPr defaultSize="0" print="0" autoFill="0" autoPict="0" macro="[0]!actualizar_externo">
                <anchor moveWithCells="1" sizeWithCells="1">
                  <from>
                    <xdr:col>3</xdr:col>
                    <xdr:colOff>1400175</xdr:colOff>
                    <xdr:row>3</xdr:row>
                    <xdr:rowOff>0</xdr:rowOff>
                  </from>
                  <to>
                    <xdr:col>6</xdr:col>
                    <xdr:colOff>0</xdr:colOff>
                    <xdr:row>5</xdr:row>
                    <xdr:rowOff>0</xdr:rowOff>
                  </to>
                </anchor>
              </controlPr>
            </control>
          </mc:Choice>
        </mc:AlternateContent>
      </controls>
    </mc:Choice>
  </mc:AlternateContent>
  <tableParts count="3">
    <tablePart r:id="rId7"/>
    <tablePart r:id="rId8"/>
    <tablePart r:id="rId9"/>
  </tableParts>
  <extLst>
    <ext xmlns:x14="http://schemas.microsoft.com/office/spreadsheetml/2009/9/main" uri="{78C0D931-6437-407d-A8EE-F0AAD7539E65}">
      <x14:conditionalFormattings>
        <x14:conditionalFormatting xmlns:xm="http://schemas.microsoft.com/office/excel/2006/main">
          <x14:cfRule type="dataBar" id="{317E7541-A83B-4611-9114-77F8DF115F1B}">
            <x14:dataBar minLength="0" maxLength="100" border="1" negativeBarBorderColorSameAsPositive="0">
              <x14:cfvo type="autoMin"/>
              <x14:cfvo type="autoMax"/>
              <x14:borderColor rgb="FFFF555A"/>
              <x14:negativeFillColor rgb="FFFF0000"/>
              <x14:negativeBorderColor rgb="FFFF0000"/>
              <x14:axisColor rgb="FF000000"/>
            </x14:dataBar>
          </x14:cfRule>
          <xm:sqref>P38:Q59 R8:S13 O7:O59 Q37 R17:S26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01580A-F108-493D-8DA5-148B8DAE2074}">
  <sheetPr codeName="Hoja7"/>
  <dimension ref="A2:M111"/>
  <sheetViews>
    <sheetView workbookViewId="0">
      <selection activeCell="M50" sqref="M50"/>
    </sheetView>
  </sheetViews>
  <sheetFormatPr baseColWidth="10" defaultRowHeight="12" x14ac:dyDescent="0.2"/>
  <cols>
    <col min="1" max="1" width="28.5703125" bestFit="1" customWidth="1"/>
    <col min="3" max="3" width="12.140625" bestFit="1" customWidth="1"/>
    <col min="4" max="4" width="12.140625" customWidth="1"/>
  </cols>
  <sheetData>
    <row r="2" spans="1:6" x14ac:dyDescent="0.2">
      <c r="C2" t="s">
        <v>829</v>
      </c>
      <c r="D2" t="s">
        <v>830</v>
      </c>
    </row>
    <row r="3" spans="1:6" x14ac:dyDescent="0.2">
      <c r="A3" t="s">
        <v>804</v>
      </c>
      <c r="B3" s="90">
        <v>99.95</v>
      </c>
      <c r="C3">
        <f>_xlfn.NORM.DIST(B3,$F$3,$F$4,FALSE)</f>
        <v>8.1569149811839364E-6</v>
      </c>
      <c r="D3">
        <f>_xlfn.NORM.DIST(B3,$F$3,$F$4,TRUE)</f>
        <v>0.99997700005108181</v>
      </c>
      <c r="E3" t="s">
        <v>489</v>
      </c>
      <c r="F3" s="21">
        <f>AVERAGE(B3:B55)</f>
        <v>50.573018867924532</v>
      </c>
    </row>
    <row r="4" spans="1:6" x14ac:dyDescent="0.2">
      <c r="A4" t="s">
        <v>652</v>
      </c>
      <c r="B4" s="91">
        <v>86.46</v>
      </c>
      <c r="C4">
        <f t="shared" ref="C4:C55" si="0">_xlfn.NORM.DIST(B4,$F$3,$F$4,FALSE)</f>
        <v>4.0993843916158789E-4</v>
      </c>
      <c r="D4">
        <f t="shared" ref="D4:D55" si="1">_xlfn.NORM.DIST(B4,$F$3,$F$4,TRUE)</f>
        <v>0.99847049935363386</v>
      </c>
      <c r="E4" t="s">
        <v>828</v>
      </c>
      <c r="F4">
        <f>_xlfn.STDEV.S(B3:B55)</f>
        <v>12.116833266306941</v>
      </c>
    </row>
    <row r="5" spans="1:6" x14ac:dyDescent="0.2">
      <c r="A5" t="s">
        <v>218</v>
      </c>
      <c r="B5" s="90">
        <v>69</v>
      </c>
      <c r="C5">
        <f t="shared" si="0"/>
        <v>1.0358860867227933E-2</v>
      </c>
      <c r="D5">
        <f t="shared" si="1"/>
        <v>0.9358418865828354</v>
      </c>
      <c r="E5" s="45" t="s">
        <v>827</v>
      </c>
      <c r="F5" s="93">
        <f>MEDIAN(B3:B55)</f>
        <v>51.4</v>
      </c>
    </row>
    <row r="6" spans="1:6" x14ac:dyDescent="0.2">
      <c r="A6" t="s">
        <v>803</v>
      </c>
      <c r="B6" s="91">
        <v>63.57</v>
      </c>
      <c r="C6">
        <f t="shared" si="0"/>
        <v>1.8521726890342111E-2</v>
      </c>
      <c r="D6">
        <f t="shared" si="1"/>
        <v>0.85828331467476082</v>
      </c>
    </row>
    <row r="7" spans="1:6" x14ac:dyDescent="0.2">
      <c r="A7" t="s">
        <v>822</v>
      </c>
      <c r="B7" s="90">
        <v>63.18</v>
      </c>
      <c r="C7">
        <f t="shared" si="0"/>
        <v>1.9162420472101625E-2</v>
      </c>
      <c r="D7">
        <f t="shared" si="1"/>
        <v>0.85093497967052323</v>
      </c>
    </row>
    <row r="8" spans="1:6" x14ac:dyDescent="0.2">
      <c r="A8" t="s">
        <v>802</v>
      </c>
      <c r="B8" s="91">
        <v>60.31</v>
      </c>
      <c r="C8">
        <f t="shared" si="0"/>
        <v>2.3839446777150615E-2</v>
      </c>
      <c r="D8">
        <f t="shared" si="1"/>
        <v>0.78918345954141911</v>
      </c>
    </row>
    <row r="9" spans="1:6" x14ac:dyDescent="0.2">
      <c r="A9" t="s">
        <v>403</v>
      </c>
      <c r="B9" s="90">
        <v>60.1</v>
      </c>
      <c r="C9">
        <f t="shared" si="0"/>
        <v>2.417015722323218E-2</v>
      </c>
      <c r="D9">
        <f t="shared" si="1"/>
        <v>0.78414240467371743</v>
      </c>
    </row>
    <row r="10" spans="1:6" x14ac:dyDescent="0.2">
      <c r="A10" t="s">
        <v>328</v>
      </c>
      <c r="B10" s="91">
        <v>59</v>
      </c>
      <c r="C10">
        <f t="shared" si="0"/>
        <v>2.5851711848947214E-2</v>
      </c>
      <c r="D10">
        <f t="shared" si="1"/>
        <v>0.75662184892854722</v>
      </c>
    </row>
    <row r="11" spans="1:6" x14ac:dyDescent="0.2">
      <c r="A11" t="s">
        <v>219</v>
      </c>
      <c r="B11" s="90">
        <v>58.88</v>
      </c>
      <c r="C11">
        <f t="shared" si="0"/>
        <v>2.6029109115460001E-2</v>
      </c>
      <c r="D11">
        <f t="shared" si="1"/>
        <v>0.7535089863597092</v>
      </c>
    </row>
    <row r="12" spans="1:6" x14ac:dyDescent="0.2">
      <c r="A12" t="s">
        <v>807</v>
      </c>
      <c r="B12" s="91">
        <v>56.3</v>
      </c>
      <c r="C12">
        <f t="shared" si="0"/>
        <v>2.9444985805457853E-2</v>
      </c>
      <c r="D12">
        <f t="shared" si="1"/>
        <v>0.68176736686844119</v>
      </c>
    </row>
    <row r="13" spans="1:6" x14ac:dyDescent="0.2">
      <c r="A13" t="s">
        <v>809</v>
      </c>
      <c r="B13" s="90">
        <v>56.2</v>
      </c>
      <c r="C13">
        <f t="shared" si="0"/>
        <v>2.9559060797660405E-2</v>
      </c>
      <c r="D13">
        <f t="shared" si="1"/>
        <v>0.67881715146874777</v>
      </c>
    </row>
    <row r="14" spans="1:6" x14ac:dyDescent="0.2">
      <c r="A14" t="s">
        <v>215</v>
      </c>
      <c r="B14" s="91">
        <v>55.55</v>
      </c>
      <c r="C14">
        <f t="shared" si="0"/>
        <v>3.0261115615784706E-2</v>
      </c>
      <c r="D14">
        <f t="shared" si="1"/>
        <v>0.65937182407336914</v>
      </c>
    </row>
    <row r="15" spans="1:6" x14ac:dyDescent="0.2">
      <c r="A15" t="s">
        <v>655</v>
      </c>
      <c r="B15" s="90">
        <v>55.33</v>
      </c>
      <c r="C15">
        <f t="shared" si="0"/>
        <v>3.0482615561493811E-2</v>
      </c>
      <c r="D15">
        <f t="shared" si="1"/>
        <v>0.6526898596964722</v>
      </c>
    </row>
    <row r="16" spans="1:6" x14ac:dyDescent="0.2">
      <c r="A16" t="s">
        <v>808</v>
      </c>
      <c r="B16" s="91">
        <v>55.32</v>
      </c>
      <c r="C16">
        <f t="shared" si="0"/>
        <v>3.0492483330119741E-2</v>
      </c>
      <c r="D16">
        <f t="shared" si="1"/>
        <v>0.65238498418737112</v>
      </c>
    </row>
    <row r="17" spans="1:4" x14ac:dyDescent="0.2">
      <c r="A17" t="s">
        <v>810</v>
      </c>
      <c r="B17" s="90">
        <v>55.3</v>
      </c>
      <c r="C17">
        <f t="shared" si="0"/>
        <v>3.0512166104394851E-2</v>
      </c>
      <c r="D17">
        <f t="shared" si="1"/>
        <v>0.65177493757568994</v>
      </c>
    </row>
    <row r="18" spans="1:4" x14ac:dyDescent="0.2">
      <c r="A18" t="s">
        <v>406</v>
      </c>
      <c r="B18" s="91">
        <v>55</v>
      </c>
      <c r="C18">
        <f t="shared" si="0"/>
        <v>3.079886602935818E-2</v>
      </c>
      <c r="D18">
        <f t="shared" si="1"/>
        <v>0.64257787997853677</v>
      </c>
    </row>
    <row r="19" spans="1:4" x14ac:dyDescent="0.2">
      <c r="A19" t="s">
        <v>401</v>
      </c>
      <c r="B19" s="90">
        <v>54.56</v>
      </c>
      <c r="C19">
        <f t="shared" si="0"/>
        <v>3.1189635264621794E-2</v>
      </c>
      <c r="D19">
        <f t="shared" si="1"/>
        <v>0.62893909168883722</v>
      </c>
    </row>
    <row r="20" spans="1:4" x14ac:dyDescent="0.2">
      <c r="A20" t="s">
        <v>412</v>
      </c>
      <c r="B20" s="91">
        <v>54.22</v>
      </c>
      <c r="C20">
        <f t="shared" si="0"/>
        <v>3.1466553667715634E-2</v>
      </c>
      <c r="D20">
        <f t="shared" si="1"/>
        <v>0.61828691000812475</v>
      </c>
    </row>
    <row r="21" spans="1:4" x14ac:dyDescent="0.2">
      <c r="A21" t="s">
        <v>805</v>
      </c>
      <c r="B21" s="90">
        <v>53.41</v>
      </c>
      <c r="C21">
        <f t="shared" si="0"/>
        <v>3.2034433098934251E-2</v>
      </c>
      <c r="D21">
        <f t="shared" si="1"/>
        <v>0.59256011677543341</v>
      </c>
    </row>
    <row r="22" spans="1:4" x14ac:dyDescent="0.2">
      <c r="A22" t="s">
        <v>806</v>
      </c>
      <c r="B22" s="91">
        <v>53.4</v>
      </c>
      <c r="C22">
        <f t="shared" si="0"/>
        <v>3.2040612850570943E-2</v>
      </c>
      <c r="D22">
        <f t="shared" si="1"/>
        <v>0.5922397415284949</v>
      </c>
    </row>
    <row r="23" spans="1:4" x14ac:dyDescent="0.2">
      <c r="A23" t="s">
        <v>335</v>
      </c>
      <c r="B23" s="90">
        <v>53.21</v>
      </c>
      <c r="C23">
        <f t="shared" si="0"/>
        <v>3.2154093497112152E-2</v>
      </c>
      <c r="D23">
        <f t="shared" si="1"/>
        <v>0.58614112581676503</v>
      </c>
    </row>
    <row r="24" spans="1:4" x14ac:dyDescent="0.2">
      <c r="A24" t="s">
        <v>414</v>
      </c>
      <c r="B24" s="91">
        <v>53.2</v>
      </c>
      <c r="C24">
        <f t="shared" si="0"/>
        <v>3.2159858236872001E-2</v>
      </c>
      <c r="D24">
        <f t="shared" si="1"/>
        <v>0.58581955604070424</v>
      </c>
    </row>
    <row r="25" spans="1:4" x14ac:dyDescent="0.2">
      <c r="A25" t="s">
        <v>798</v>
      </c>
      <c r="B25" s="90">
        <v>52.95</v>
      </c>
      <c r="C25">
        <f t="shared" si="0"/>
        <v>3.2297162921110865E-2</v>
      </c>
      <c r="D25">
        <f t="shared" si="1"/>
        <v>0.57776215475183834</v>
      </c>
    </row>
    <row r="26" spans="1:4" x14ac:dyDescent="0.2">
      <c r="A26" t="s">
        <v>409</v>
      </c>
      <c r="B26" s="91">
        <v>52.5</v>
      </c>
      <c r="C26">
        <f t="shared" si="0"/>
        <v>3.2510895215535282E-2</v>
      </c>
      <c r="D26">
        <f t="shared" si="1"/>
        <v>0.5631787184167798</v>
      </c>
    </row>
    <row r="27" spans="1:4" x14ac:dyDescent="0.2">
      <c r="A27" t="s">
        <v>819</v>
      </c>
      <c r="B27" s="90">
        <v>52.24</v>
      </c>
      <c r="C27">
        <f t="shared" si="0"/>
        <v>3.2614518829998405E-2</v>
      </c>
      <c r="D27">
        <f t="shared" si="1"/>
        <v>0.55471209687987177</v>
      </c>
    </row>
    <row r="28" spans="1:4" x14ac:dyDescent="0.2">
      <c r="A28" t="s">
        <v>654</v>
      </c>
      <c r="B28" s="91">
        <v>51.49</v>
      </c>
      <c r="C28">
        <f t="shared" si="0"/>
        <v>3.2830484186727793E-2</v>
      </c>
      <c r="D28">
        <f t="shared" si="1"/>
        <v>0.53016247279289919</v>
      </c>
    </row>
    <row r="29" spans="1:4" x14ac:dyDescent="0.2">
      <c r="A29" t="s">
        <v>336</v>
      </c>
      <c r="B29" s="90">
        <v>51.4</v>
      </c>
      <c r="C29">
        <f t="shared" si="0"/>
        <v>3.2848037726113138E-2</v>
      </c>
      <c r="D29">
        <f t="shared" si="1"/>
        <v>0.52720692578897244</v>
      </c>
    </row>
    <row r="30" spans="1:4" x14ac:dyDescent="0.2">
      <c r="A30" t="s">
        <v>225</v>
      </c>
      <c r="B30" s="91">
        <v>50.8</v>
      </c>
      <c r="C30">
        <f t="shared" si="0"/>
        <v>3.291885598075793E-2</v>
      </c>
      <c r="D30">
        <f t="shared" si="1"/>
        <v>0.50747283326463533</v>
      </c>
    </row>
    <row r="31" spans="1:4" x14ac:dyDescent="0.2">
      <c r="A31" t="s">
        <v>543</v>
      </c>
      <c r="B31" s="90">
        <v>49.29</v>
      </c>
      <c r="C31">
        <f t="shared" si="0"/>
        <v>3.274057124889139E-2</v>
      </c>
      <c r="D31">
        <f t="shared" si="1"/>
        <v>0.45783588171166689</v>
      </c>
    </row>
    <row r="32" spans="1:4" x14ac:dyDescent="0.2">
      <c r="A32" t="s">
        <v>364</v>
      </c>
      <c r="B32" s="91">
        <v>48.01</v>
      </c>
      <c r="C32">
        <f t="shared" si="0"/>
        <v>3.2196236550925413E-2</v>
      </c>
      <c r="D32">
        <f t="shared" si="1"/>
        <v>0.41623862928673905</v>
      </c>
    </row>
    <row r="33" spans="1:13" x14ac:dyDescent="0.2">
      <c r="A33" t="s">
        <v>222</v>
      </c>
      <c r="B33" s="90">
        <v>47.82</v>
      </c>
      <c r="C33">
        <f t="shared" si="0"/>
        <v>3.208567814276999E-2</v>
      </c>
      <c r="D33">
        <f t="shared" si="1"/>
        <v>0.41013172828123423</v>
      </c>
    </row>
    <row r="34" spans="1:13" x14ac:dyDescent="0.2">
      <c r="A34" t="s">
        <v>407</v>
      </c>
      <c r="B34" s="91">
        <v>46.66</v>
      </c>
      <c r="C34">
        <f t="shared" si="0"/>
        <v>3.1251760993383539E-2</v>
      </c>
      <c r="D34">
        <f t="shared" si="1"/>
        <v>0.37337006824112173</v>
      </c>
    </row>
    <row r="35" spans="1:13" x14ac:dyDescent="0.2">
      <c r="A35" t="s">
        <v>242</v>
      </c>
      <c r="B35" s="90">
        <v>46.5</v>
      </c>
      <c r="C35">
        <f t="shared" si="0"/>
        <v>3.1116063135133615E-2</v>
      </c>
      <c r="D35">
        <f t="shared" si="1"/>
        <v>0.36838057768477095</v>
      </c>
    </row>
    <row r="36" spans="1:13" x14ac:dyDescent="0.2">
      <c r="A36" t="s">
        <v>542</v>
      </c>
      <c r="B36" s="91">
        <v>44.45</v>
      </c>
      <c r="C36">
        <f t="shared" si="0"/>
        <v>2.8978120006244969E-2</v>
      </c>
      <c r="D36">
        <f t="shared" si="1"/>
        <v>0.30666297216522842</v>
      </c>
    </row>
    <row r="37" spans="1:13" x14ac:dyDescent="0.2">
      <c r="A37" t="s">
        <v>337</v>
      </c>
      <c r="B37" s="90">
        <v>44.44</v>
      </c>
      <c r="C37">
        <f t="shared" si="0"/>
        <v>2.8966027358424944E-2</v>
      </c>
      <c r="D37">
        <f t="shared" si="1"/>
        <v>0.30637325141616661</v>
      </c>
    </row>
    <row r="38" spans="1:13" x14ac:dyDescent="0.2">
      <c r="A38" t="s">
        <v>292</v>
      </c>
      <c r="B38" s="91">
        <v>43.83</v>
      </c>
      <c r="C38">
        <f t="shared" si="0"/>
        <v>2.8201492522608559E-2</v>
      </c>
      <c r="D38">
        <f t="shared" si="1"/>
        <v>0.28893451464122444</v>
      </c>
    </row>
    <row r="39" spans="1:13" x14ac:dyDescent="0.2">
      <c r="A39" t="s">
        <v>800</v>
      </c>
      <c r="B39" s="90">
        <v>43.73</v>
      </c>
      <c r="C39">
        <f t="shared" si="0"/>
        <v>2.8071310105094584E-2</v>
      </c>
      <c r="D39">
        <f t="shared" si="1"/>
        <v>0.28612086355910993</v>
      </c>
    </row>
    <row r="40" spans="1:13" x14ac:dyDescent="0.2">
      <c r="A40" t="s">
        <v>647</v>
      </c>
      <c r="B40" s="91">
        <v>43.71</v>
      </c>
      <c r="C40">
        <f t="shared" si="0"/>
        <v>2.8045116598574539E-2</v>
      </c>
      <c r="D40">
        <f t="shared" si="1"/>
        <v>0.28555969920542168</v>
      </c>
    </row>
    <row r="41" spans="1:13" x14ac:dyDescent="0.2">
      <c r="A41" t="s">
        <v>796</v>
      </c>
      <c r="B41" s="90">
        <v>43.28</v>
      </c>
      <c r="C41">
        <f t="shared" si="0"/>
        <v>2.7469722444886095E-2</v>
      </c>
      <c r="D41">
        <f t="shared" si="1"/>
        <v>0.27362318356652815</v>
      </c>
    </row>
    <row r="42" spans="1:13" x14ac:dyDescent="0.2">
      <c r="A42" t="s">
        <v>399</v>
      </c>
      <c r="B42" s="91">
        <v>43.2</v>
      </c>
      <c r="C42">
        <f t="shared" si="0"/>
        <v>2.7360180252802808E-2</v>
      </c>
      <c r="D42">
        <f t="shared" si="1"/>
        <v>0.27142998240955407</v>
      </c>
    </row>
    <row r="43" spans="1:13" x14ac:dyDescent="0.2">
      <c r="A43" t="s">
        <v>474</v>
      </c>
      <c r="B43" s="90">
        <v>42.25</v>
      </c>
      <c r="C43">
        <f t="shared" si="0"/>
        <v>2.6005477732885907E-2</v>
      </c>
      <c r="D43">
        <f t="shared" si="1"/>
        <v>0.2460737551286169</v>
      </c>
    </row>
    <row r="44" spans="1:13" x14ac:dyDescent="0.2">
      <c r="A44" t="s">
        <v>362</v>
      </c>
      <c r="B44" s="91">
        <v>42.11</v>
      </c>
      <c r="C44">
        <f t="shared" si="0"/>
        <v>2.5798179272348554E-2</v>
      </c>
      <c r="D44">
        <f t="shared" si="1"/>
        <v>0.2424474781522295</v>
      </c>
    </row>
    <row r="45" spans="1:13" x14ac:dyDescent="0.2">
      <c r="A45" t="s">
        <v>363</v>
      </c>
      <c r="B45" s="90">
        <v>42.1</v>
      </c>
      <c r="C45">
        <f t="shared" si="0"/>
        <v>2.5783303916234446E-2</v>
      </c>
      <c r="D45">
        <f t="shared" si="1"/>
        <v>0.24218957072879754</v>
      </c>
      <c r="K45" s="15" t="s">
        <v>408</v>
      </c>
      <c r="L45" s="65">
        <f>INDEX(B3:B55,MATCH(K45,A3:A55,0))</f>
        <v>41.91</v>
      </c>
      <c r="M45" s="4">
        <v>0</v>
      </c>
    </row>
    <row r="46" spans="1:13" x14ac:dyDescent="0.2">
      <c r="A46" t="s">
        <v>408</v>
      </c>
      <c r="B46" s="91">
        <v>41.91</v>
      </c>
      <c r="C46">
        <f t="shared" si="0"/>
        <v>2.5498996098765752E-2</v>
      </c>
      <c r="D46">
        <f t="shared" si="1"/>
        <v>0.2373177023157628</v>
      </c>
      <c r="L46" s="4">
        <f>L45</f>
        <v>41.91</v>
      </c>
      <c r="M46">
        <f>INDEX(C3:C55,MATCH(L46,B3:B55,0))</f>
        <v>2.5498996098765752E-2</v>
      </c>
    </row>
    <row r="47" spans="1:13" x14ac:dyDescent="0.2">
      <c r="A47" t="s">
        <v>217</v>
      </c>
      <c r="B47" s="90">
        <v>39.93</v>
      </c>
      <c r="C47">
        <f t="shared" si="0"/>
        <v>2.2386483013174266E-2</v>
      </c>
      <c r="D47">
        <f t="shared" si="1"/>
        <v>0.1898724639480423</v>
      </c>
      <c r="L47" s="4"/>
      <c r="M47" s="4"/>
    </row>
    <row r="48" spans="1:13" x14ac:dyDescent="0.2">
      <c r="A48" t="s">
        <v>221</v>
      </c>
      <c r="B48" s="91">
        <v>39.590000000000003</v>
      </c>
      <c r="C48">
        <f t="shared" si="0"/>
        <v>2.1832868715869203E-2</v>
      </c>
      <c r="D48">
        <f t="shared" si="1"/>
        <v>0.18235507370291001</v>
      </c>
      <c r="L48" s="4"/>
      <c r="M48" s="4"/>
    </row>
    <row r="49" spans="1:13" x14ac:dyDescent="0.2">
      <c r="A49" t="s">
        <v>653</v>
      </c>
      <c r="B49" s="90">
        <v>38.9</v>
      </c>
      <c r="C49">
        <f t="shared" si="0"/>
        <v>2.0700921135504726E-2</v>
      </c>
      <c r="D49">
        <f t="shared" si="1"/>
        <v>0.16768041620240212</v>
      </c>
      <c r="K49" t="s">
        <v>229</v>
      </c>
      <c r="L49" s="28">
        <f ca="1">jun!$B$3</f>
        <v>52.05</v>
      </c>
      <c r="M49" s="4">
        <v>0</v>
      </c>
    </row>
    <row r="50" spans="1:13" x14ac:dyDescent="0.2">
      <c r="A50" t="s">
        <v>797</v>
      </c>
      <c r="B50" s="91">
        <v>38.5</v>
      </c>
      <c r="C50">
        <f t="shared" si="0"/>
        <v>2.004200933467468E-2</v>
      </c>
      <c r="D50">
        <f t="shared" si="1"/>
        <v>0.15953180058950764</v>
      </c>
      <c r="L50" s="28">
        <f ca="1">L49</f>
        <v>52.05</v>
      </c>
      <c r="M50" s="4">
        <f ca="1">INDEX(C3:C55,MATCH(L49,B3:B55,-1))</f>
        <v>3.2614518829998405E-2</v>
      </c>
    </row>
    <row r="51" spans="1:13" x14ac:dyDescent="0.2">
      <c r="A51" t="s">
        <v>801</v>
      </c>
      <c r="B51" s="90">
        <v>35.880000000000003</v>
      </c>
      <c r="C51">
        <f t="shared" si="0"/>
        <v>1.578416156759891E-2</v>
      </c>
      <c r="D51">
        <f t="shared" si="1"/>
        <v>0.11263907654132735</v>
      </c>
    </row>
    <row r="52" spans="1:13" x14ac:dyDescent="0.2">
      <c r="A52" t="s">
        <v>541</v>
      </c>
      <c r="B52" s="91">
        <v>35.15</v>
      </c>
      <c r="C52">
        <f t="shared" si="0"/>
        <v>1.4645545265100861E-2</v>
      </c>
      <c r="D52">
        <f t="shared" si="1"/>
        <v>0.10153406080594309</v>
      </c>
    </row>
    <row r="53" spans="1:13" x14ac:dyDescent="0.2">
      <c r="A53" t="s">
        <v>9</v>
      </c>
      <c r="B53" s="90">
        <v>35</v>
      </c>
      <c r="C53">
        <f t="shared" si="0"/>
        <v>1.4415474749857195E-2</v>
      </c>
      <c r="D53">
        <f t="shared" si="1"/>
        <v>9.9354502006419251E-2</v>
      </c>
    </row>
    <row r="54" spans="1:13" x14ac:dyDescent="0.2">
      <c r="A54" t="s">
        <v>799</v>
      </c>
      <c r="B54" s="91">
        <v>31.85</v>
      </c>
      <c r="C54">
        <f t="shared" si="0"/>
        <v>9.9780564346768786E-3</v>
      </c>
      <c r="D54">
        <f t="shared" si="1"/>
        <v>6.114806806611138E-2</v>
      </c>
    </row>
    <row r="55" spans="1:13" x14ac:dyDescent="0.2">
      <c r="A55" t="s">
        <v>411</v>
      </c>
      <c r="B55" s="92">
        <v>29.45</v>
      </c>
      <c r="C55">
        <f t="shared" si="0"/>
        <v>7.2045339912180668E-3</v>
      </c>
      <c r="D55">
        <f t="shared" si="1"/>
        <v>4.0642461084696629E-2</v>
      </c>
    </row>
    <row r="58" spans="1:13" x14ac:dyDescent="0.2">
      <c r="A58" t="s">
        <v>233</v>
      </c>
      <c r="B58" t="s">
        <v>677</v>
      </c>
    </row>
    <row r="59" spans="1:13" x14ac:dyDescent="0.2">
      <c r="A59" t="s">
        <v>328</v>
      </c>
      <c r="B59" s="91">
        <v>59</v>
      </c>
    </row>
    <row r="60" spans="1:13" x14ac:dyDescent="0.2">
      <c r="A60" t="s">
        <v>805</v>
      </c>
      <c r="B60" s="90">
        <v>53.41</v>
      </c>
    </row>
    <row r="61" spans="1:13" x14ac:dyDescent="0.2">
      <c r="A61" t="s">
        <v>221</v>
      </c>
      <c r="B61" s="91">
        <v>39.590000000000003</v>
      </c>
    </row>
    <row r="62" spans="1:13" x14ac:dyDescent="0.2">
      <c r="A62" t="s">
        <v>9</v>
      </c>
      <c r="B62" s="90">
        <v>35</v>
      </c>
    </row>
    <row r="63" spans="1:13" x14ac:dyDescent="0.2">
      <c r="A63" t="s">
        <v>215</v>
      </c>
      <c r="B63" s="91">
        <v>55.55</v>
      </c>
    </row>
    <row r="64" spans="1:13" x14ac:dyDescent="0.2">
      <c r="A64" t="s">
        <v>335</v>
      </c>
      <c r="B64" s="90">
        <v>53.21</v>
      </c>
    </row>
    <row r="65" spans="1:2" x14ac:dyDescent="0.2">
      <c r="A65" t="s">
        <v>654</v>
      </c>
      <c r="B65" s="91">
        <v>51.49</v>
      </c>
    </row>
    <row r="66" spans="1:2" x14ac:dyDescent="0.2">
      <c r="A66" t="s">
        <v>653</v>
      </c>
      <c r="B66" s="90">
        <v>38.9</v>
      </c>
    </row>
    <row r="67" spans="1:2" x14ac:dyDescent="0.2">
      <c r="A67" t="s">
        <v>797</v>
      </c>
      <c r="B67" s="91">
        <v>38.5</v>
      </c>
    </row>
    <row r="68" spans="1:2" x14ac:dyDescent="0.2">
      <c r="A68" t="s">
        <v>541</v>
      </c>
      <c r="B68" s="91">
        <v>35.15</v>
      </c>
    </row>
    <row r="69" spans="1:2" x14ac:dyDescent="0.2">
      <c r="A69" t="s">
        <v>225</v>
      </c>
      <c r="B69" s="91">
        <v>50.8</v>
      </c>
    </row>
    <row r="70" spans="1:2" x14ac:dyDescent="0.2">
      <c r="A70" t="s">
        <v>217</v>
      </c>
      <c r="B70" s="90">
        <v>39.93</v>
      </c>
    </row>
    <row r="71" spans="1:2" x14ac:dyDescent="0.2">
      <c r="A71" t="s">
        <v>337</v>
      </c>
      <c r="B71" s="90">
        <v>44.44</v>
      </c>
    </row>
    <row r="72" spans="1:2" x14ac:dyDescent="0.2">
      <c r="A72" t="s">
        <v>806</v>
      </c>
      <c r="B72" s="91">
        <v>53.4</v>
      </c>
    </row>
    <row r="73" spans="1:2" x14ac:dyDescent="0.2">
      <c r="A73" t="s">
        <v>409</v>
      </c>
      <c r="B73" s="91">
        <v>52.5</v>
      </c>
    </row>
    <row r="74" spans="1:2" x14ac:dyDescent="0.2">
      <c r="A74" t="s">
        <v>810</v>
      </c>
      <c r="B74" s="90">
        <v>55.3</v>
      </c>
    </row>
    <row r="75" spans="1:2" x14ac:dyDescent="0.2">
      <c r="A75" t="s">
        <v>801</v>
      </c>
      <c r="B75" s="90">
        <v>35.880000000000003</v>
      </c>
    </row>
    <row r="76" spans="1:2" x14ac:dyDescent="0.2">
      <c r="A76" t="s">
        <v>362</v>
      </c>
      <c r="B76" s="91">
        <v>42.11</v>
      </c>
    </row>
    <row r="77" spans="1:2" x14ac:dyDescent="0.2">
      <c r="A77" t="s">
        <v>652</v>
      </c>
      <c r="B77" s="91">
        <v>86.46</v>
      </c>
    </row>
    <row r="78" spans="1:2" x14ac:dyDescent="0.2">
      <c r="A78" t="s">
        <v>219</v>
      </c>
      <c r="B78" s="90">
        <v>58.88</v>
      </c>
    </row>
    <row r="79" spans="1:2" x14ac:dyDescent="0.2">
      <c r="A79" t="s">
        <v>474</v>
      </c>
      <c r="B79" s="90">
        <v>42.25</v>
      </c>
    </row>
    <row r="80" spans="1:2" x14ac:dyDescent="0.2">
      <c r="A80" t="s">
        <v>242</v>
      </c>
      <c r="B80" s="90">
        <v>46.5</v>
      </c>
    </row>
    <row r="81" spans="1:2" x14ac:dyDescent="0.2">
      <c r="A81" t="s">
        <v>796</v>
      </c>
      <c r="B81" s="90">
        <v>43.28</v>
      </c>
    </row>
    <row r="82" spans="1:2" x14ac:dyDescent="0.2">
      <c r="A82" t="s">
        <v>807</v>
      </c>
      <c r="B82" s="91">
        <v>56.3</v>
      </c>
    </row>
    <row r="83" spans="1:2" x14ac:dyDescent="0.2">
      <c r="A83" t="s">
        <v>406</v>
      </c>
      <c r="B83" s="91">
        <v>55</v>
      </c>
    </row>
    <row r="84" spans="1:2" x14ac:dyDescent="0.2">
      <c r="A84" t="s">
        <v>336</v>
      </c>
      <c r="B84" s="90">
        <v>51.4</v>
      </c>
    </row>
    <row r="85" spans="1:2" x14ac:dyDescent="0.2">
      <c r="A85" t="s">
        <v>804</v>
      </c>
      <c r="B85" s="90">
        <v>99.95</v>
      </c>
    </row>
    <row r="86" spans="1:2" x14ac:dyDescent="0.2">
      <c r="A86" t="s">
        <v>411</v>
      </c>
      <c r="B86" s="90">
        <v>29.45</v>
      </c>
    </row>
    <row r="87" spans="1:2" x14ac:dyDescent="0.2">
      <c r="A87" t="s">
        <v>218</v>
      </c>
      <c r="B87" s="90">
        <v>69</v>
      </c>
    </row>
    <row r="88" spans="1:2" x14ac:dyDescent="0.2">
      <c r="A88" t="s">
        <v>822</v>
      </c>
      <c r="B88" s="90">
        <v>63.18</v>
      </c>
    </row>
    <row r="89" spans="1:2" x14ac:dyDescent="0.2">
      <c r="A89" t="s">
        <v>799</v>
      </c>
      <c r="B89" s="91">
        <v>31.85</v>
      </c>
    </row>
    <row r="90" spans="1:2" x14ac:dyDescent="0.2">
      <c r="A90" t="s">
        <v>647</v>
      </c>
      <c r="B90" s="91">
        <v>43.71</v>
      </c>
    </row>
    <row r="91" spans="1:2" x14ac:dyDescent="0.2">
      <c r="A91" t="s">
        <v>222</v>
      </c>
      <c r="B91" s="90">
        <v>47.82</v>
      </c>
    </row>
    <row r="92" spans="1:2" x14ac:dyDescent="0.2">
      <c r="A92" t="s">
        <v>412</v>
      </c>
      <c r="B92" s="91">
        <v>54.22</v>
      </c>
    </row>
    <row r="93" spans="1:2" x14ac:dyDescent="0.2">
      <c r="A93" t="s">
        <v>819</v>
      </c>
      <c r="B93" s="90">
        <v>52.24</v>
      </c>
    </row>
    <row r="94" spans="1:2" x14ac:dyDescent="0.2">
      <c r="A94" t="s">
        <v>401</v>
      </c>
      <c r="B94" s="90">
        <v>54.56</v>
      </c>
    </row>
    <row r="95" spans="1:2" x14ac:dyDescent="0.2">
      <c r="A95" t="s">
        <v>408</v>
      </c>
      <c r="B95" s="91">
        <v>41.91</v>
      </c>
    </row>
    <row r="96" spans="1:2" x14ac:dyDescent="0.2">
      <c r="A96" t="s">
        <v>414</v>
      </c>
      <c r="B96" s="91">
        <v>53.2</v>
      </c>
    </row>
    <row r="97" spans="1:2" x14ac:dyDescent="0.2">
      <c r="A97" t="s">
        <v>403</v>
      </c>
      <c r="B97" s="90">
        <v>60.1</v>
      </c>
    </row>
    <row r="98" spans="1:2" x14ac:dyDescent="0.2">
      <c r="A98" t="s">
        <v>364</v>
      </c>
      <c r="B98" s="91">
        <v>48.01</v>
      </c>
    </row>
    <row r="99" spans="1:2" x14ac:dyDescent="0.2">
      <c r="A99" t="s">
        <v>292</v>
      </c>
      <c r="B99" s="91">
        <v>43.83</v>
      </c>
    </row>
    <row r="100" spans="1:2" x14ac:dyDescent="0.2">
      <c r="A100" t="s">
        <v>802</v>
      </c>
      <c r="B100" s="91">
        <v>60.31</v>
      </c>
    </row>
    <row r="101" spans="1:2" x14ac:dyDescent="0.2">
      <c r="A101" t="s">
        <v>809</v>
      </c>
      <c r="B101" s="90">
        <v>56.2</v>
      </c>
    </row>
    <row r="102" spans="1:2" x14ac:dyDescent="0.2">
      <c r="A102" t="s">
        <v>808</v>
      </c>
      <c r="B102" s="91">
        <v>55.32</v>
      </c>
    </row>
    <row r="103" spans="1:2" x14ac:dyDescent="0.2">
      <c r="A103" t="s">
        <v>798</v>
      </c>
      <c r="B103" s="90">
        <v>52.95</v>
      </c>
    </row>
    <row r="104" spans="1:2" x14ac:dyDescent="0.2">
      <c r="A104" t="s">
        <v>543</v>
      </c>
      <c r="B104" s="90">
        <v>49.29</v>
      </c>
    </row>
    <row r="105" spans="1:2" x14ac:dyDescent="0.2">
      <c r="A105" t="s">
        <v>363</v>
      </c>
      <c r="B105" s="90">
        <v>42.1</v>
      </c>
    </row>
    <row r="106" spans="1:2" x14ac:dyDescent="0.2">
      <c r="A106" t="s">
        <v>542</v>
      </c>
      <c r="B106" s="91">
        <v>44.45</v>
      </c>
    </row>
    <row r="107" spans="1:2" x14ac:dyDescent="0.2">
      <c r="A107" t="s">
        <v>655</v>
      </c>
      <c r="B107" s="90">
        <v>55.33</v>
      </c>
    </row>
    <row r="108" spans="1:2" x14ac:dyDescent="0.2">
      <c r="A108" t="s">
        <v>800</v>
      </c>
      <c r="B108" s="90">
        <v>43.73</v>
      </c>
    </row>
    <row r="109" spans="1:2" x14ac:dyDescent="0.2">
      <c r="A109" t="s">
        <v>399</v>
      </c>
      <c r="B109" s="91">
        <v>43.2</v>
      </c>
    </row>
    <row r="110" spans="1:2" x14ac:dyDescent="0.2">
      <c r="A110" t="s">
        <v>407</v>
      </c>
      <c r="B110" s="91">
        <v>46.66</v>
      </c>
    </row>
    <row r="111" spans="1:2" x14ac:dyDescent="0.2">
      <c r="A111" t="s">
        <v>803</v>
      </c>
      <c r="B111" s="94">
        <v>63.57</v>
      </c>
    </row>
  </sheetData>
  <conditionalFormatting sqref="B3:B45 B47:B55">
    <cfRule type="expression" dxfId="12" priority="7">
      <formula>$L3=3</formula>
    </cfRule>
    <cfRule type="expression" dxfId="11" priority="8">
      <formula>$L3=2</formula>
    </cfRule>
    <cfRule type="expression" dxfId="10" priority="9">
      <formula>$L3=1</formula>
    </cfRule>
  </conditionalFormatting>
  <conditionalFormatting sqref="B46">
    <cfRule type="expression" dxfId="9" priority="49">
      <formula>#REF!=3</formula>
    </cfRule>
    <cfRule type="expression" dxfId="8" priority="50">
      <formula>#REF!=2</formula>
    </cfRule>
    <cfRule type="expression" dxfId="7" priority="51">
      <formula>#REF!=1</formula>
    </cfRule>
  </conditionalFormatting>
  <conditionalFormatting sqref="B59:B101 B103:B111">
    <cfRule type="expression" dxfId="6" priority="1">
      <formula>$L59=3</formula>
    </cfRule>
    <cfRule type="expression" dxfId="5" priority="2">
      <formula>$L59=2</formula>
    </cfRule>
    <cfRule type="expression" dxfId="4" priority="3">
      <formula>$L59=1</formula>
    </cfRule>
  </conditionalFormatting>
  <conditionalFormatting sqref="B102">
    <cfRule type="expression" dxfId="3" priority="4">
      <formula>#REF!=3</formula>
    </cfRule>
    <cfRule type="expression" dxfId="2" priority="5">
      <formula>#REF!=2</formula>
    </cfRule>
    <cfRule type="expression" dxfId="1" priority="6">
      <formula>#REF!=1</formula>
    </cfRule>
  </conditionalFormatting>
  <dataValidations count="1">
    <dataValidation type="list" allowBlank="1" showInputMessage="1" showErrorMessage="1" sqref="K45" xr:uid="{3DB28D2D-F34E-4831-8BA8-BFF217720A5B}">
      <formula1>$A$59:$A$111</formula1>
    </dataValidation>
  </dataValidations>
  <pageMargins left="0.7" right="0.7" top="0.75" bottom="0.75" header="0.3" footer="0.3"/>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C79290-D4D9-42EB-B864-4AD1A9EC3FE2}">
  <sheetPr codeName="Hoja12"/>
  <dimension ref="B2:Q48"/>
  <sheetViews>
    <sheetView zoomScale="145" zoomScaleNormal="145" workbookViewId="0">
      <selection activeCell="C38" sqref="C38"/>
    </sheetView>
  </sheetViews>
  <sheetFormatPr baseColWidth="10" defaultRowHeight="12" x14ac:dyDescent="0.2"/>
  <cols>
    <col min="1" max="1" width="2.140625" customWidth="1"/>
    <col min="4" max="4" width="2.5703125" customWidth="1"/>
    <col min="5" max="5" width="23.42578125" customWidth="1"/>
    <col min="7" max="7" width="19" bestFit="1" customWidth="1"/>
    <col min="9" max="9" width="5.85546875" customWidth="1"/>
    <col min="10" max="10" width="26.85546875" customWidth="1"/>
    <col min="11" max="11" width="11.28515625" style="4" customWidth="1"/>
    <col min="12" max="14" width="11.42578125" style="4"/>
  </cols>
  <sheetData>
    <row r="2" spans="2:17" x14ac:dyDescent="0.2">
      <c r="J2" s="135" t="s">
        <v>690</v>
      </c>
      <c r="K2" s="4" t="s">
        <v>689</v>
      </c>
      <c r="L2" s="4" t="s">
        <v>661</v>
      </c>
      <c r="O2" s="4" t="s">
        <v>687</v>
      </c>
      <c r="P2" s="4">
        <f>F20</f>
        <v>31</v>
      </c>
    </row>
    <row r="3" spans="2:17" x14ac:dyDescent="0.2">
      <c r="J3" s="135"/>
      <c r="K3" s="4" t="s">
        <v>686</v>
      </c>
      <c r="L3" s="83">
        <f>F23</f>
        <v>30.311935483870972</v>
      </c>
      <c r="O3" s="4" t="s">
        <v>688</v>
      </c>
      <c r="P3" s="4">
        <f>F21</f>
        <v>0</v>
      </c>
    </row>
    <row r="5" spans="2:17" x14ac:dyDescent="0.2">
      <c r="J5" s="78" t="s">
        <v>685</v>
      </c>
      <c r="K5" s="56" t="s">
        <v>677</v>
      </c>
      <c r="L5" s="84" t="s">
        <v>678</v>
      </c>
      <c r="M5" s="56" t="s">
        <v>694</v>
      </c>
      <c r="N5" s="56" t="s">
        <v>693</v>
      </c>
      <c r="O5" s="84" t="s">
        <v>684</v>
      </c>
      <c r="P5" s="56" t="s">
        <v>695</v>
      </c>
      <c r="Q5" s="56" t="s">
        <v>696</v>
      </c>
    </row>
    <row r="6" spans="2:17" x14ac:dyDescent="0.2">
      <c r="B6" s="4" t="s">
        <v>244</v>
      </c>
      <c r="C6" s="4" t="s">
        <v>245</v>
      </c>
      <c r="J6" t="s">
        <v>412</v>
      </c>
      <c r="K6" s="28">
        <v>48.6</v>
      </c>
      <c r="L6" s="85">
        <f>K6-K7</f>
        <v>7.5</v>
      </c>
      <c r="M6" s="28">
        <f t="shared" ref="M6:M47" si="0">K6-L6/2</f>
        <v>44.85</v>
      </c>
      <c r="N6" s="28"/>
      <c r="O6" s="85">
        <f t="shared" ref="O6:O20" si="1">M6*$F$19-$F$22</f>
        <v>450.68000000000006</v>
      </c>
      <c r="P6" s="28" t="e">
        <f t="shared" ref="P6:P22" si="2">Q7</f>
        <v>#DIV/0!</v>
      </c>
      <c r="Q6" s="28" t="e">
        <f>O6/$F$21</f>
        <v>#DIV/0!</v>
      </c>
    </row>
    <row r="7" spans="2:17" x14ac:dyDescent="0.2">
      <c r="B7" s="4">
        <v>1</v>
      </c>
      <c r="C7" s="28">
        <f>IFERROR(omie_mayo_miniporra[[#This Row],[€/MWh]],"")</f>
        <v>12.53</v>
      </c>
      <c r="E7" s="28"/>
      <c r="F7" s="4"/>
      <c r="J7" t="s">
        <v>215</v>
      </c>
      <c r="K7" s="28">
        <v>41.1</v>
      </c>
      <c r="L7" s="85">
        <f t="shared" ref="L7:L48" si="3">K7-K8</f>
        <v>2.9600000000000009</v>
      </c>
      <c r="M7" s="28">
        <f t="shared" si="0"/>
        <v>39.620000000000005</v>
      </c>
      <c r="N7" s="28">
        <f t="shared" ref="N7:N48" si="4">M6</f>
        <v>44.85</v>
      </c>
      <c r="O7" s="85">
        <f t="shared" si="1"/>
        <v>288.55000000000018</v>
      </c>
      <c r="P7" s="28" t="e">
        <f t="shared" si="2"/>
        <v>#DIV/0!</v>
      </c>
      <c r="Q7" s="28" t="e">
        <f t="shared" ref="Q7:Q48" si="5">O7/$F$21</f>
        <v>#DIV/0!</v>
      </c>
    </row>
    <row r="8" spans="2:17" x14ac:dyDescent="0.2">
      <c r="B8" s="4">
        <v>2</v>
      </c>
      <c r="C8" s="28">
        <f>IFERROR(omie_mayo_miniporra[[#This Row],[€/MWh]],"")</f>
        <v>15.6</v>
      </c>
      <c r="J8" t="s">
        <v>647</v>
      </c>
      <c r="K8" s="28">
        <v>38.14</v>
      </c>
      <c r="L8" s="85">
        <f t="shared" si="3"/>
        <v>0.34000000000000341</v>
      </c>
      <c r="M8" s="28">
        <f t="shared" si="0"/>
        <v>37.97</v>
      </c>
      <c r="N8" s="28">
        <f t="shared" si="4"/>
        <v>39.620000000000005</v>
      </c>
      <c r="O8" s="85">
        <f t="shared" si="1"/>
        <v>237.39999999999986</v>
      </c>
      <c r="P8" s="28" t="e">
        <f t="shared" si="2"/>
        <v>#DIV/0!</v>
      </c>
      <c r="Q8" s="28" t="e">
        <f t="shared" si="5"/>
        <v>#DIV/0!</v>
      </c>
    </row>
    <row r="9" spans="2:17" x14ac:dyDescent="0.2">
      <c r="B9" s="4">
        <v>3</v>
      </c>
      <c r="C9" s="28">
        <f>IFERROR(omie_mayo_miniporra[[#This Row],[€/MWh]],"")</f>
        <v>26.11</v>
      </c>
      <c r="J9" t="s">
        <v>400</v>
      </c>
      <c r="K9" s="28">
        <v>37.799999999999997</v>
      </c>
      <c r="L9" s="85">
        <f t="shared" si="3"/>
        <v>2.1999999999999957</v>
      </c>
      <c r="M9" s="28">
        <f t="shared" si="0"/>
        <v>36.700000000000003</v>
      </c>
      <c r="N9" s="28">
        <f t="shared" si="4"/>
        <v>37.97</v>
      </c>
      <c r="O9" s="85">
        <f t="shared" si="1"/>
        <v>198.02999999999997</v>
      </c>
      <c r="P9" s="28" t="e">
        <f t="shared" si="2"/>
        <v>#DIV/0!</v>
      </c>
      <c r="Q9" s="28" t="e">
        <f t="shared" si="5"/>
        <v>#DIV/0!</v>
      </c>
    </row>
    <row r="10" spans="2:17" x14ac:dyDescent="0.2">
      <c r="B10" s="4">
        <v>4</v>
      </c>
      <c r="C10" s="28">
        <f>IFERROR(omie_mayo_miniporra[[#This Row],[€/MWh]],"")</f>
        <v>14.8</v>
      </c>
      <c r="J10" t="s">
        <v>652</v>
      </c>
      <c r="K10" s="28">
        <v>35.6</v>
      </c>
      <c r="L10" s="85">
        <f t="shared" si="3"/>
        <v>7.0000000000000284E-2</v>
      </c>
      <c r="M10" s="28">
        <f t="shared" si="0"/>
        <v>35.564999999999998</v>
      </c>
      <c r="N10" s="28">
        <f t="shared" si="4"/>
        <v>36.700000000000003</v>
      </c>
      <c r="O10" s="85">
        <f t="shared" si="1"/>
        <v>162.8449999999998</v>
      </c>
      <c r="P10" s="28" t="e">
        <f t="shared" si="2"/>
        <v>#DIV/0!</v>
      </c>
      <c r="Q10" s="28" t="e">
        <f t="shared" si="5"/>
        <v>#DIV/0!</v>
      </c>
    </row>
    <row r="11" spans="2:17" x14ac:dyDescent="0.2">
      <c r="B11" s="4">
        <v>5</v>
      </c>
      <c r="C11" s="28">
        <f>IFERROR(omie_mayo_miniporra[[#This Row],[€/MWh]],"")</f>
        <v>17.53</v>
      </c>
      <c r="F11" s="4"/>
      <c r="J11" t="s">
        <v>337</v>
      </c>
      <c r="K11" s="28">
        <v>35.53</v>
      </c>
      <c r="L11" s="85">
        <f t="shared" si="3"/>
        <v>0.20000000000000284</v>
      </c>
      <c r="M11" s="28">
        <f t="shared" si="0"/>
        <v>35.43</v>
      </c>
      <c r="N11" s="28">
        <f t="shared" si="4"/>
        <v>35.564999999999998</v>
      </c>
      <c r="O11" s="85">
        <f t="shared" si="1"/>
        <v>158.65999999999985</v>
      </c>
      <c r="P11" s="28" t="e">
        <f t="shared" si="2"/>
        <v>#DIV/0!</v>
      </c>
      <c r="Q11" s="28" t="e">
        <f t="shared" si="5"/>
        <v>#DIV/0!</v>
      </c>
    </row>
    <row r="12" spans="2:17" x14ac:dyDescent="0.2">
      <c r="B12" s="4">
        <v>6</v>
      </c>
      <c r="C12" s="28">
        <f>IFERROR(omie_mayo_miniporra[[#This Row],[€/MWh]],"")</f>
        <v>47.8</v>
      </c>
      <c r="J12" t="s">
        <v>541</v>
      </c>
      <c r="K12" s="28">
        <v>35.33</v>
      </c>
      <c r="L12" s="85">
        <f t="shared" si="3"/>
        <v>0.10000000000000142</v>
      </c>
      <c r="M12" s="28">
        <f t="shared" si="0"/>
        <v>35.28</v>
      </c>
      <c r="N12" s="28">
        <f t="shared" si="4"/>
        <v>35.43</v>
      </c>
      <c r="O12" s="85">
        <f t="shared" si="1"/>
        <v>154.01</v>
      </c>
      <c r="P12" s="28" t="e">
        <f t="shared" si="2"/>
        <v>#DIV/0!</v>
      </c>
      <c r="Q12" s="28" t="e">
        <f t="shared" si="5"/>
        <v>#DIV/0!</v>
      </c>
    </row>
    <row r="13" spans="2:17" x14ac:dyDescent="0.2">
      <c r="B13" s="4">
        <v>7</v>
      </c>
      <c r="C13" s="28">
        <f>IFERROR(omie_mayo_miniporra[[#This Row],[€/MWh]],"")</f>
        <v>42.04</v>
      </c>
      <c r="J13" t="s">
        <v>399</v>
      </c>
      <c r="K13" s="28">
        <v>35.229999999999997</v>
      </c>
      <c r="L13" s="85">
        <f t="shared" si="3"/>
        <v>0.12999999999999545</v>
      </c>
      <c r="M13" s="28">
        <f t="shared" si="0"/>
        <v>35.164999999999999</v>
      </c>
      <c r="N13" s="28">
        <f t="shared" si="4"/>
        <v>35.28</v>
      </c>
      <c r="O13" s="85">
        <f t="shared" si="1"/>
        <v>150.44499999999994</v>
      </c>
      <c r="P13" s="28" t="e">
        <f t="shared" si="2"/>
        <v>#DIV/0!</v>
      </c>
      <c r="Q13" s="28" t="e">
        <f t="shared" si="5"/>
        <v>#DIV/0!</v>
      </c>
    </row>
    <row r="14" spans="2:17" x14ac:dyDescent="0.2">
      <c r="B14" s="4">
        <v>8</v>
      </c>
      <c r="C14" s="28">
        <f>IFERROR(omie_mayo_miniporra[[#This Row],[€/MWh]],"")</f>
        <v>21.24</v>
      </c>
      <c r="J14" t="s">
        <v>474</v>
      </c>
      <c r="K14" s="28">
        <v>35.1</v>
      </c>
      <c r="L14" s="85">
        <f t="shared" si="3"/>
        <v>0.10000000000000142</v>
      </c>
      <c r="M14" s="28">
        <f t="shared" si="0"/>
        <v>35.049999999999997</v>
      </c>
      <c r="N14" s="28">
        <f t="shared" si="4"/>
        <v>35.164999999999999</v>
      </c>
      <c r="O14" s="85">
        <f t="shared" si="1"/>
        <v>146.87999999999988</v>
      </c>
      <c r="P14" s="28" t="e">
        <f t="shared" si="2"/>
        <v>#DIV/0!</v>
      </c>
      <c r="Q14" s="28" t="e">
        <f t="shared" si="5"/>
        <v>#DIV/0!</v>
      </c>
    </row>
    <row r="15" spans="2:17" x14ac:dyDescent="0.2">
      <c r="B15" s="4">
        <v>9</v>
      </c>
      <c r="C15" s="28">
        <f>IFERROR(omie_mayo_miniporra[[#This Row],[€/MWh]],"")</f>
        <v>33.54</v>
      </c>
      <c r="J15" t="s">
        <v>9</v>
      </c>
      <c r="K15" s="28">
        <v>35</v>
      </c>
      <c r="L15" s="85">
        <f t="shared" si="3"/>
        <v>0.53000000000000114</v>
      </c>
      <c r="M15" s="28">
        <f t="shared" si="0"/>
        <v>34.734999999999999</v>
      </c>
      <c r="N15" s="28">
        <f t="shared" si="4"/>
        <v>35.049999999999997</v>
      </c>
      <c r="O15" s="85">
        <f t="shared" si="1"/>
        <v>137.11500000000001</v>
      </c>
      <c r="P15" s="28" t="e">
        <f t="shared" si="2"/>
        <v>#DIV/0!</v>
      </c>
      <c r="Q15" s="28" t="e">
        <f t="shared" si="5"/>
        <v>#DIV/0!</v>
      </c>
    </row>
    <row r="16" spans="2:17" x14ac:dyDescent="0.2">
      <c r="B16" s="4">
        <v>10</v>
      </c>
      <c r="C16" s="28">
        <f>IFERROR(omie_mayo_miniporra[[#This Row],[€/MWh]],"")</f>
        <v>28.95</v>
      </c>
      <c r="J16" t="s">
        <v>654</v>
      </c>
      <c r="K16" s="28">
        <v>34.47</v>
      </c>
      <c r="L16" s="85">
        <f t="shared" si="3"/>
        <v>0.25999999999999801</v>
      </c>
      <c r="M16" s="28">
        <f t="shared" si="0"/>
        <v>34.340000000000003</v>
      </c>
      <c r="N16" s="28">
        <f t="shared" si="4"/>
        <v>34.734999999999999</v>
      </c>
      <c r="O16" s="85">
        <f t="shared" si="1"/>
        <v>124.87000000000012</v>
      </c>
      <c r="P16" s="28" t="e">
        <f t="shared" si="2"/>
        <v>#DIV/0!</v>
      </c>
      <c r="Q16" s="28" t="e">
        <f t="shared" si="5"/>
        <v>#DIV/0!</v>
      </c>
    </row>
    <row r="17" spans="2:17" x14ac:dyDescent="0.2">
      <c r="B17" s="4">
        <v>11</v>
      </c>
      <c r="C17" s="28">
        <f>IFERROR(omie_mayo_miniporra[[#This Row],[€/MWh]],"")</f>
        <v>20.59</v>
      </c>
      <c r="J17" t="s">
        <v>335</v>
      </c>
      <c r="K17" s="28">
        <v>34.21</v>
      </c>
      <c r="L17" s="85">
        <f t="shared" si="3"/>
        <v>0.85000000000000142</v>
      </c>
      <c r="M17" s="28">
        <f t="shared" si="0"/>
        <v>33.784999999999997</v>
      </c>
      <c r="N17" s="28">
        <f t="shared" si="4"/>
        <v>34.340000000000003</v>
      </c>
      <c r="O17" s="85">
        <f t="shared" si="1"/>
        <v>107.66499999999974</v>
      </c>
      <c r="P17" s="28" t="e">
        <f t="shared" si="2"/>
        <v>#DIV/0!</v>
      </c>
      <c r="Q17" s="28" t="e">
        <f t="shared" si="5"/>
        <v>#DIV/0!</v>
      </c>
    </row>
    <row r="18" spans="2:17" x14ac:dyDescent="0.2">
      <c r="B18" s="4">
        <v>12</v>
      </c>
      <c r="C18" s="28">
        <f>IFERROR(omie_mayo_miniporra[[#This Row],[€/MWh]],"")</f>
        <v>21.53</v>
      </c>
      <c r="F18" s="4"/>
      <c r="J18" t="s">
        <v>649</v>
      </c>
      <c r="K18" s="28">
        <v>33.36</v>
      </c>
      <c r="L18" s="85">
        <f t="shared" si="3"/>
        <v>9.9999999999980105E-3</v>
      </c>
      <c r="M18" s="28">
        <f t="shared" si="0"/>
        <v>33.355000000000004</v>
      </c>
      <c r="N18" s="28">
        <f t="shared" si="4"/>
        <v>33.784999999999997</v>
      </c>
      <c r="O18" s="85">
        <f t="shared" si="1"/>
        <v>94.335000000000036</v>
      </c>
      <c r="P18" s="28" t="e">
        <f t="shared" si="2"/>
        <v>#DIV/0!</v>
      </c>
      <c r="Q18" s="28" t="e">
        <f t="shared" si="5"/>
        <v>#DIV/0!</v>
      </c>
    </row>
    <row r="19" spans="2:17" x14ac:dyDescent="0.2">
      <c r="B19" s="4">
        <v>13</v>
      </c>
      <c r="C19" s="28">
        <f>IFERROR(omie_mayo_miniporra[[#This Row],[€/MWh]],"")</f>
        <v>23.34</v>
      </c>
      <c r="E19" t="s">
        <v>679</v>
      </c>
      <c r="F19" s="74">
        <f>COUNT(Tabla2336[dia])</f>
        <v>31</v>
      </c>
      <c r="J19" t="s">
        <v>219</v>
      </c>
      <c r="K19" s="28">
        <v>33.35</v>
      </c>
      <c r="L19" s="85">
        <f t="shared" si="3"/>
        <v>9.9999999999980105E-3</v>
      </c>
      <c r="M19" s="28">
        <f t="shared" si="0"/>
        <v>33.344999999999999</v>
      </c>
      <c r="N19" s="28">
        <f t="shared" si="4"/>
        <v>33.355000000000004</v>
      </c>
      <c r="O19" s="85">
        <f t="shared" si="1"/>
        <v>94.024999999999864</v>
      </c>
      <c r="P19" s="28" t="e">
        <f t="shared" si="2"/>
        <v>#DIV/0!</v>
      </c>
      <c r="Q19" s="28" t="e">
        <f t="shared" si="5"/>
        <v>#DIV/0!</v>
      </c>
    </row>
    <row r="20" spans="2:17" x14ac:dyDescent="0.2">
      <c r="B20" s="4">
        <v>14</v>
      </c>
      <c r="C20" s="28">
        <f>IFERROR(omie_mayo_miniporra[[#This Row],[€/MWh]],"")</f>
        <v>8.14</v>
      </c>
      <c r="E20" t="s">
        <v>680</v>
      </c>
      <c r="F20" s="23">
        <f>may!H1</f>
        <v>31</v>
      </c>
      <c r="J20" t="s">
        <v>413</v>
      </c>
      <c r="K20" s="28">
        <v>33.340000000000003</v>
      </c>
      <c r="L20" s="85">
        <f t="shared" si="3"/>
        <v>1.0000000000005116E-2</v>
      </c>
      <c r="M20" s="28">
        <f t="shared" si="0"/>
        <v>33.335000000000001</v>
      </c>
      <c r="N20" s="28">
        <f t="shared" si="4"/>
        <v>33.344999999999999</v>
      </c>
      <c r="O20" s="85">
        <f t="shared" si="1"/>
        <v>93.714999999999918</v>
      </c>
      <c r="P20" s="28" t="e">
        <f t="shared" si="2"/>
        <v>#DIV/0!</v>
      </c>
      <c r="Q20" s="28" t="e">
        <f t="shared" si="5"/>
        <v>#DIV/0!</v>
      </c>
    </row>
    <row r="21" spans="2:17" x14ac:dyDescent="0.2">
      <c r="B21" s="4">
        <v>15</v>
      </c>
      <c r="C21" s="28">
        <f>IFERROR(omie_mayo_miniporra[[#This Row],[€/MWh]],"")</f>
        <v>14.21</v>
      </c>
      <c r="E21" t="s">
        <v>681</v>
      </c>
      <c r="F21" s="74">
        <f>F19-F20</f>
        <v>0</v>
      </c>
      <c r="J21" t="s">
        <v>217</v>
      </c>
      <c r="K21" s="28">
        <v>33.33</v>
      </c>
      <c r="L21" s="85">
        <f t="shared" si="3"/>
        <v>1.4499999999999993</v>
      </c>
      <c r="M21" s="28">
        <f t="shared" si="0"/>
        <v>32.604999999999997</v>
      </c>
      <c r="N21" s="28">
        <f t="shared" si="4"/>
        <v>33.335000000000001</v>
      </c>
      <c r="O21" s="85">
        <f t="shared" ref="O21:O48" si="6">N21*$F$19-$F$22</f>
        <v>93.714999999999918</v>
      </c>
      <c r="P21" s="28" t="e">
        <f t="shared" si="2"/>
        <v>#DIV/0!</v>
      </c>
      <c r="Q21" s="28" t="e">
        <f t="shared" si="5"/>
        <v>#DIV/0!</v>
      </c>
    </row>
    <row r="22" spans="2:17" x14ac:dyDescent="0.2">
      <c r="B22" s="4">
        <v>16</v>
      </c>
      <c r="C22" s="28">
        <f>IFERROR(omie_mayo_miniporra[[#This Row],[€/MWh]],"")</f>
        <v>32.35</v>
      </c>
      <c r="E22" t="s">
        <v>682</v>
      </c>
      <c r="F22" s="76">
        <f>SUM(C7:C36)</f>
        <v>939.67000000000007</v>
      </c>
      <c r="G22" t="s">
        <v>692</v>
      </c>
      <c r="J22" s="81" t="s">
        <v>364</v>
      </c>
      <c r="K22" s="82">
        <v>31.88</v>
      </c>
      <c r="L22" s="86">
        <f t="shared" si="3"/>
        <v>1.1799999999999997</v>
      </c>
      <c r="M22" s="82">
        <f t="shared" si="0"/>
        <v>31.29</v>
      </c>
      <c r="N22" s="82">
        <f t="shared" si="4"/>
        <v>32.604999999999997</v>
      </c>
      <c r="O22" s="86">
        <f t="shared" si="6"/>
        <v>71.084999999999809</v>
      </c>
      <c r="P22" s="82" t="e">
        <f t="shared" si="2"/>
        <v>#DIV/0!</v>
      </c>
      <c r="Q22" s="82" t="e">
        <f t="shared" si="5"/>
        <v>#DIV/0!</v>
      </c>
    </row>
    <row r="23" spans="2:17" x14ac:dyDescent="0.2">
      <c r="B23" s="4">
        <v>17</v>
      </c>
      <c r="C23" s="28">
        <f>IFERROR(omie_mayo_miniporra[[#This Row],[€/MWh]],"")</f>
        <v>53.42</v>
      </c>
      <c r="E23" t="s">
        <v>683</v>
      </c>
      <c r="F23" s="80">
        <f>F22/F20</f>
        <v>30.311935483870972</v>
      </c>
      <c r="J23" s="79" t="s">
        <v>403</v>
      </c>
      <c r="K23" s="80">
        <v>30.7</v>
      </c>
      <c r="L23" s="87">
        <f t="shared" si="3"/>
        <v>0.19999999999999929</v>
      </c>
      <c r="M23" s="80">
        <f t="shared" si="0"/>
        <v>30.6</v>
      </c>
      <c r="N23" s="80">
        <f t="shared" si="4"/>
        <v>31.29</v>
      </c>
      <c r="O23" s="87">
        <f t="shared" si="6"/>
        <v>30.319999999999936</v>
      </c>
      <c r="P23" s="80" t="e">
        <f>Q24</f>
        <v>#DIV/0!</v>
      </c>
      <c r="Q23" s="80" t="e">
        <f t="shared" si="5"/>
        <v>#DIV/0!</v>
      </c>
    </row>
    <row r="24" spans="2:17" x14ac:dyDescent="0.2">
      <c r="B24" s="4">
        <v>18</v>
      </c>
      <c r="C24" s="28">
        <f>IFERROR(omie_mayo_miniporra[[#This Row],[€/MWh]],"")</f>
        <v>32.99</v>
      </c>
      <c r="F24" s="28"/>
      <c r="J24" s="79" t="s">
        <v>404</v>
      </c>
      <c r="K24" s="80">
        <v>30.5</v>
      </c>
      <c r="L24" s="87">
        <f t="shared" si="3"/>
        <v>0.48999999999999844</v>
      </c>
      <c r="M24" s="80">
        <f t="shared" si="0"/>
        <v>30.255000000000003</v>
      </c>
      <c r="N24" s="80">
        <f t="shared" si="4"/>
        <v>30.6</v>
      </c>
      <c r="O24" s="87">
        <f t="shared" si="6"/>
        <v>8.92999999999995</v>
      </c>
      <c r="P24" s="80" t="e">
        <f t="shared" ref="P24:P48" si="7">Q25</f>
        <v>#DIV/0!</v>
      </c>
      <c r="Q24" s="80" t="e">
        <f t="shared" si="5"/>
        <v>#DIV/0!</v>
      </c>
    </row>
    <row r="25" spans="2:17" x14ac:dyDescent="0.2">
      <c r="B25" s="4">
        <v>19</v>
      </c>
      <c r="C25" s="28">
        <f>IFERROR(omie_mayo_miniporra[[#This Row],[€/MWh]],"")</f>
        <v>26.6</v>
      </c>
      <c r="J25" t="s">
        <v>336</v>
      </c>
      <c r="K25" s="28">
        <v>30.01</v>
      </c>
      <c r="L25" s="85">
        <f t="shared" si="3"/>
        <v>1.0000000000001563E-2</v>
      </c>
      <c r="M25" s="28">
        <f t="shared" si="0"/>
        <v>30.005000000000003</v>
      </c>
      <c r="N25" s="28">
        <f t="shared" si="4"/>
        <v>30.255000000000003</v>
      </c>
      <c r="O25" s="85">
        <f t="shared" si="6"/>
        <v>-1.7649999999999864</v>
      </c>
      <c r="P25" s="28" t="e">
        <f t="shared" si="7"/>
        <v>#DIV/0!</v>
      </c>
      <c r="Q25" s="28" t="e">
        <f t="shared" si="5"/>
        <v>#DIV/0!</v>
      </c>
    </row>
    <row r="26" spans="2:17" x14ac:dyDescent="0.2">
      <c r="B26" s="4">
        <v>20</v>
      </c>
      <c r="C26" s="28">
        <f>IFERROR(omie_mayo_miniporra[[#This Row],[€/MWh]],"")</f>
        <v>32.72</v>
      </c>
      <c r="E26" t="s">
        <v>691</v>
      </c>
      <c r="F26" s="74">
        <f ca="1">INDEX(resultados_may[Apuesta MiniPorra],MATCH(1,resultados_may[Posición],0))</f>
        <v>30.5</v>
      </c>
      <c r="J26" t="s">
        <v>328</v>
      </c>
      <c r="K26" s="28">
        <v>30</v>
      </c>
      <c r="L26" s="85">
        <f t="shared" si="3"/>
        <v>0.30999999999999872</v>
      </c>
      <c r="M26" s="28">
        <f t="shared" si="0"/>
        <v>29.844999999999999</v>
      </c>
      <c r="N26" s="28">
        <f t="shared" si="4"/>
        <v>30.005000000000003</v>
      </c>
      <c r="O26" s="85">
        <f t="shared" si="6"/>
        <v>-9.5149999999999864</v>
      </c>
      <c r="P26" s="28" t="e">
        <f t="shared" si="7"/>
        <v>#DIV/0!</v>
      </c>
      <c r="Q26" s="28" t="e">
        <f t="shared" si="5"/>
        <v>#DIV/0!</v>
      </c>
    </row>
    <row r="27" spans="2:17" x14ac:dyDescent="0.2">
      <c r="B27" s="4">
        <v>21</v>
      </c>
      <c r="C27" s="28">
        <f>IFERROR(omie_mayo_miniporra[[#This Row],[€/MWh]],"")</f>
        <v>46.09</v>
      </c>
      <c r="J27" t="s">
        <v>409</v>
      </c>
      <c r="K27" s="28">
        <v>29.69</v>
      </c>
      <c r="L27" s="85">
        <f t="shared" si="3"/>
        <v>8.9999999999999858E-2</v>
      </c>
      <c r="M27" s="28">
        <f t="shared" si="0"/>
        <v>29.645000000000003</v>
      </c>
      <c r="N27" s="28">
        <f t="shared" si="4"/>
        <v>29.844999999999999</v>
      </c>
      <c r="O27" s="85">
        <f t="shared" si="6"/>
        <v>-14.475000000000136</v>
      </c>
      <c r="P27" s="28" t="e">
        <f t="shared" si="7"/>
        <v>#DIV/0!</v>
      </c>
      <c r="Q27" s="28" t="e">
        <f t="shared" si="5"/>
        <v>#DIV/0!</v>
      </c>
    </row>
    <row r="28" spans="2:17" x14ac:dyDescent="0.2">
      <c r="B28" s="4">
        <v>22</v>
      </c>
      <c r="C28" s="28">
        <f>IFERROR(omie_mayo_miniporra[[#This Row],[€/MWh]],"")</f>
        <v>44.76</v>
      </c>
      <c r="J28" t="s">
        <v>408</v>
      </c>
      <c r="K28" s="28">
        <v>29.6</v>
      </c>
      <c r="L28" s="85">
        <f t="shared" si="3"/>
        <v>0.98000000000000043</v>
      </c>
      <c r="M28" s="28">
        <f t="shared" si="0"/>
        <v>29.11</v>
      </c>
      <c r="N28" s="28">
        <f t="shared" si="4"/>
        <v>29.645000000000003</v>
      </c>
      <c r="O28" s="85">
        <f t="shared" si="6"/>
        <v>-20.674999999999955</v>
      </c>
      <c r="P28" s="28" t="e">
        <f t="shared" si="7"/>
        <v>#DIV/0!</v>
      </c>
      <c r="Q28" s="28" t="e">
        <f t="shared" si="5"/>
        <v>#DIV/0!</v>
      </c>
    </row>
    <row r="29" spans="2:17" x14ac:dyDescent="0.2">
      <c r="B29" s="4">
        <v>23</v>
      </c>
      <c r="C29" s="28">
        <f>IFERROR(omie_mayo_miniporra[[#This Row],[€/MWh]],"")</f>
        <v>60.45</v>
      </c>
      <c r="E29" t="s">
        <v>670</v>
      </c>
      <c r="J29" t="s">
        <v>543</v>
      </c>
      <c r="K29" s="28">
        <v>28.62</v>
      </c>
      <c r="L29" s="85">
        <f t="shared" si="3"/>
        <v>0.32000000000000028</v>
      </c>
      <c r="M29" s="28">
        <f t="shared" si="0"/>
        <v>28.46</v>
      </c>
      <c r="N29" s="28">
        <f t="shared" si="4"/>
        <v>29.11</v>
      </c>
      <c r="O29" s="85">
        <f t="shared" si="6"/>
        <v>-37.260000000000105</v>
      </c>
      <c r="P29" s="28" t="e">
        <f t="shared" si="7"/>
        <v>#DIV/0!</v>
      </c>
      <c r="Q29" s="28" t="e">
        <f t="shared" si="5"/>
        <v>#DIV/0!</v>
      </c>
    </row>
    <row r="30" spans="2:17" x14ac:dyDescent="0.2">
      <c r="B30" s="4">
        <v>24</v>
      </c>
      <c r="C30" s="28">
        <f>IFERROR(omie_mayo_miniporra[[#This Row],[€/MWh]],"")</f>
        <v>71.67</v>
      </c>
      <c r="E30" t="s">
        <v>676</v>
      </c>
      <c r="F30" s="65">
        <v>33.33</v>
      </c>
      <c r="G30" t="s">
        <v>676</v>
      </c>
      <c r="H30" s="4">
        <f>F31</f>
        <v>31.88</v>
      </c>
      <c r="J30" t="s">
        <v>362</v>
      </c>
      <c r="K30" s="28">
        <v>28.3</v>
      </c>
      <c r="L30" s="85">
        <f t="shared" si="3"/>
        <v>0.19999999999999929</v>
      </c>
      <c r="M30" s="28">
        <f t="shared" si="0"/>
        <v>28.200000000000003</v>
      </c>
      <c r="N30" s="28">
        <f t="shared" si="4"/>
        <v>28.46</v>
      </c>
      <c r="O30" s="85">
        <f t="shared" si="6"/>
        <v>-57.410000000000082</v>
      </c>
      <c r="P30" s="28" t="e">
        <f t="shared" si="7"/>
        <v>#DIV/0!</v>
      </c>
      <c r="Q30" s="28" t="e">
        <f t="shared" si="5"/>
        <v>#DIV/0!</v>
      </c>
    </row>
    <row r="31" spans="2:17" x14ac:dyDescent="0.2">
      <c r="B31" s="4">
        <v>25</v>
      </c>
      <c r="C31" s="28">
        <f>IFERROR(omie_mayo_miniporra[[#This Row],[€/MWh]],"")</f>
        <v>43.71</v>
      </c>
      <c r="E31" t="s">
        <v>675</v>
      </c>
      <c r="F31" s="65">
        <v>31.88</v>
      </c>
      <c r="G31" t="s">
        <v>675</v>
      </c>
      <c r="H31" s="77">
        <v>30.7</v>
      </c>
      <c r="J31" t="s">
        <v>414</v>
      </c>
      <c r="K31" s="28">
        <v>28.1</v>
      </c>
      <c r="L31" s="85">
        <f t="shared" si="3"/>
        <v>0.53000000000000114</v>
      </c>
      <c r="M31" s="28">
        <f t="shared" si="0"/>
        <v>27.835000000000001</v>
      </c>
      <c r="N31" s="28">
        <f t="shared" si="4"/>
        <v>28.200000000000003</v>
      </c>
      <c r="O31" s="85">
        <f t="shared" si="6"/>
        <v>-65.470000000000027</v>
      </c>
      <c r="P31" s="28" t="e">
        <f t="shared" si="7"/>
        <v>#DIV/0!</v>
      </c>
      <c r="Q31" s="28" t="e">
        <f t="shared" si="5"/>
        <v>#DIV/0!</v>
      </c>
    </row>
    <row r="32" spans="2:17" x14ac:dyDescent="0.2">
      <c r="B32" s="4">
        <v>26</v>
      </c>
      <c r="C32" s="28">
        <f>IFERROR(omie_mayo_miniporra[[#This Row],[€/MWh]],"")</f>
        <v>25.42</v>
      </c>
      <c r="E32" t="s">
        <v>671</v>
      </c>
      <c r="F32" s="76">
        <f>F31+(F30-F31)/2</f>
        <v>32.604999999999997</v>
      </c>
      <c r="G32" t="s">
        <v>671</v>
      </c>
      <c r="H32" s="76">
        <f>H31+(H30-H31)/2</f>
        <v>31.29</v>
      </c>
      <c r="J32" t="s">
        <v>381</v>
      </c>
      <c r="K32" s="28">
        <v>27.57</v>
      </c>
      <c r="L32" s="85">
        <f t="shared" si="3"/>
        <v>0.32000000000000028</v>
      </c>
      <c r="M32" s="28">
        <f t="shared" si="0"/>
        <v>27.41</v>
      </c>
      <c r="N32" s="28">
        <f t="shared" si="4"/>
        <v>27.835000000000001</v>
      </c>
      <c r="O32" s="85">
        <f t="shared" si="6"/>
        <v>-76.785000000000082</v>
      </c>
      <c r="P32" s="28" t="e">
        <f t="shared" si="7"/>
        <v>#DIV/0!</v>
      </c>
      <c r="Q32" s="28" t="e">
        <f t="shared" si="5"/>
        <v>#DIV/0!</v>
      </c>
    </row>
    <row r="33" spans="2:17" x14ac:dyDescent="0.2">
      <c r="B33" s="4">
        <v>27</v>
      </c>
      <c r="C33" s="28">
        <f>IFERROR(omie_mayo_miniporra[[#This Row],[€/MWh]],"")</f>
        <v>30.84</v>
      </c>
      <c r="E33" t="s">
        <v>672</v>
      </c>
      <c r="F33" s="4">
        <f>F32*$F$19-$F$22</f>
        <v>71.084999999999809</v>
      </c>
      <c r="G33" t="s">
        <v>672</v>
      </c>
      <c r="H33" s="4">
        <f>H32*$F$19-$F$22</f>
        <v>30.319999999999936</v>
      </c>
      <c r="J33" t="s">
        <v>648</v>
      </c>
      <c r="K33" s="28">
        <v>27.25</v>
      </c>
      <c r="L33" s="85">
        <f t="shared" si="3"/>
        <v>0.62999999999999901</v>
      </c>
      <c r="M33" s="28">
        <f t="shared" si="0"/>
        <v>26.935000000000002</v>
      </c>
      <c r="N33" s="28">
        <f t="shared" si="4"/>
        <v>27.41</v>
      </c>
      <c r="O33" s="85">
        <f t="shared" si="6"/>
        <v>-89.960000000000036</v>
      </c>
      <c r="P33" s="28" t="e">
        <f t="shared" si="7"/>
        <v>#DIV/0!</v>
      </c>
      <c r="Q33" s="28" t="e">
        <f t="shared" si="5"/>
        <v>#DIV/0!</v>
      </c>
    </row>
    <row r="34" spans="2:17" x14ac:dyDescent="0.2">
      <c r="B34" s="4">
        <v>28</v>
      </c>
      <c r="C34" s="28">
        <f>IFERROR(omie_mayo_miniporra[[#This Row],[€/MWh]],"")</f>
        <v>27.47</v>
      </c>
      <c r="E34" t="s">
        <v>673</v>
      </c>
      <c r="F34" s="28" t="e">
        <f>F33/$F$21</f>
        <v>#DIV/0!</v>
      </c>
      <c r="G34" t="s">
        <v>673</v>
      </c>
      <c r="H34" s="28" t="e">
        <f>H33/$F$21</f>
        <v>#DIV/0!</v>
      </c>
      <c r="J34" t="s">
        <v>542</v>
      </c>
      <c r="K34" s="28">
        <v>26.62</v>
      </c>
      <c r="L34" s="85">
        <f t="shared" si="3"/>
        <v>0.47000000000000242</v>
      </c>
      <c r="M34" s="28">
        <f t="shared" si="0"/>
        <v>26.384999999999998</v>
      </c>
      <c r="N34" s="28">
        <f t="shared" si="4"/>
        <v>26.935000000000002</v>
      </c>
      <c r="O34" s="85">
        <f t="shared" si="6"/>
        <v>-104.68499999999995</v>
      </c>
      <c r="P34" s="28" t="e">
        <f t="shared" si="7"/>
        <v>#DIV/0!</v>
      </c>
      <c r="Q34" s="28" t="e">
        <f t="shared" si="5"/>
        <v>#DIV/0!</v>
      </c>
    </row>
    <row r="35" spans="2:17" x14ac:dyDescent="0.2">
      <c r="B35" s="4">
        <v>29</v>
      </c>
      <c r="C35" s="28">
        <f>IFERROR(omie_mayo_miniporra[[#This Row],[€/MWh]],"")</f>
        <v>38.86</v>
      </c>
      <c r="J35" t="s">
        <v>222</v>
      </c>
      <c r="K35" s="28">
        <v>26.15</v>
      </c>
      <c r="L35" s="85">
        <f t="shared" si="3"/>
        <v>1.1499999999999986</v>
      </c>
      <c r="M35" s="28">
        <f t="shared" si="0"/>
        <v>25.574999999999999</v>
      </c>
      <c r="N35" s="28">
        <f t="shared" si="4"/>
        <v>26.384999999999998</v>
      </c>
      <c r="O35" s="85">
        <f t="shared" si="6"/>
        <v>-121.73500000000013</v>
      </c>
      <c r="P35" s="28" t="e">
        <f t="shared" si="7"/>
        <v>#DIV/0!</v>
      </c>
      <c r="Q35" s="28" t="e">
        <f t="shared" si="5"/>
        <v>#DIV/0!</v>
      </c>
    </row>
    <row r="36" spans="2:17" x14ac:dyDescent="0.2">
      <c r="B36" s="4">
        <v>30</v>
      </c>
      <c r="C36" s="28">
        <f>IFERROR(omie_mayo_miniporra[[#This Row],[€/MWh]],"")</f>
        <v>24.37</v>
      </c>
      <c r="F36" s="21"/>
      <c r="J36" t="s">
        <v>406</v>
      </c>
      <c r="K36" s="28">
        <v>25</v>
      </c>
      <c r="L36" s="85">
        <f t="shared" si="3"/>
        <v>7.0000000000000284E-2</v>
      </c>
      <c r="M36" s="28">
        <f t="shared" si="0"/>
        <v>24.965</v>
      </c>
      <c r="N36" s="28">
        <f t="shared" si="4"/>
        <v>25.574999999999999</v>
      </c>
      <c r="O36" s="85">
        <f t="shared" si="6"/>
        <v>-146.84500000000014</v>
      </c>
      <c r="P36" s="28" t="e">
        <f t="shared" si="7"/>
        <v>#DIV/0!</v>
      </c>
      <c r="Q36" s="28" t="e">
        <f t="shared" si="5"/>
        <v>#DIV/0!</v>
      </c>
    </row>
    <row r="37" spans="2:17" x14ac:dyDescent="0.2">
      <c r="B37" s="4">
        <v>31</v>
      </c>
      <c r="C37" s="28">
        <v>2.69</v>
      </c>
      <c r="E37" t="s">
        <v>674</v>
      </c>
      <c r="F37" s="75">
        <f>AVERAGE(C7:C37)</f>
        <v>30.398709677419358</v>
      </c>
      <c r="J37" t="s">
        <v>221</v>
      </c>
      <c r="K37" s="28">
        <v>24.93</v>
      </c>
      <c r="L37" s="85">
        <f t="shared" si="3"/>
        <v>0.53999999999999915</v>
      </c>
      <c r="M37" s="28">
        <f t="shared" si="0"/>
        <v>24.66</v>
      </c>
      <c r="N37" s="28">
        <f t="shared" si="4"/>
        <v>24.965</v>
      </c>
      <c r="O37" s="85">
        <f t="shared" si="6"/>
        <v>-165.75500000000011</v>
      </c>
      <c r="P37" s="28" t="e">
        <f t="shared" si="7"/>
        <v>#DIV/0!</v>
      </c>
      <c r="Q37" s="28" t="e">
        <f t="shared" si="5"/>
        <v>#DIV/0!</v>
      </c>
    </row>
    <row r="38" spans="2:17" x14ac:dyDescent="0.2">
      <c r="B38" s="4"/>
      <c r="C38" s="28" t="str">
        <f>IFERROR(omie_mayo_miniporra[[#This Row],[€/MWh]],"")</f>
        <v/>
      </c>
      <c r="J38" t="s">
        <v>226</v>
      </c>
      <c r="K38" s="28">
        <v>24.39</v>
      </c>
      <c r="L38" s="85">
        <f t="shared" si="3"/>
        <v>0.69000000000000128</v>
      </c>
      <c r="M38" s="28">
        <f t="shared" si="0"/>
        <v>24.045000000000002</v>
      </c>
      <c r="N38" s="28">
        <f t="shared" si="4"/>
        <v>24.66</v>
      </c>
      <c r="O38" s="85">
        <f t="shared" si="6"/>
        <v>-175.21000000000004</v>
      </c>
      <c r="P38" s="28" t="e">
        <f t="shared" si="7"/>
        <v>#DIV/0!</v>
      </c>
      <c r="Q38" s="28" t="e">
        <f t="shared" si="5"/>
        <v>#DIV/0!</v>
      </c>
    </row>
    <row r="39" spans="2:17" x14ac:dyDescent="0.2">
      <c r="B39" s="4"/>
      <c r="C39" s="28" t="str">
        <f>IFERROR(omie_mayo_miniporra[[#This Row],[€/MWh]],"")</f>
        <v/>
      </c>
      <c r="J39" t="s">
        <v>651</v>
      </c>
      <c r="K39" s="28">
        <v>23.7</v>
      </c>
      <c r="L39" s="85">
        <f t="shared" si="3"/>
        <v>1.6799999999999997</v>
      </c>
      <c r="M39" s="28">
        <f t="shared" si="0"/>
        <v>22.86</v>
      </c>
      <c r="N39" s="28">
        <f t="shared" si="4"/>
        <v>24.045000000000002</v>
      </c>
      <c r="O39" s="85">
        <f t="shared" si="6"/>
        <v>-194.27499999999998</v>
      </c>
      <c r="P39" s="28" t="e">
        <f t="shared" si="7"/>
        <v>#DIV/0!</v>
      </c>
      <c r="Q39" s="28" t="e">
        <f t="shared" si="5"/>
        <v>#DIV/0!</v>
      </c>
    </row>
    <row r="40" spans="2:17" x14ac:dyDescent="0.2">
      <c r="B40" s="4"/>
      <c r="C40" s="28" t="str">
        <f>IFERROR(omie_mayo_miniporra[[#This Row],[€/MWh]],"")</f>
        <v/>
      </c>
      <c r="J40" t="s">
        <v>411</v>
      </c>
      <c r="K40" s="28">
        <v>22.02</v>
      </c>
      <c r="L40" s="85">
        <f t="shared" si="3"/>
        <v>0.41999999999999815</v>
      </c>
      <c r="M40" s="28">
        <f t="shared" si="0"/>
        <v>21.810000000000002</v>
      </c>
      <c r="N40" s="28">
        <f t="shared" si="4"/>
        <v>22.86</v>
      </c>
      <c r="O40" s="85">
        <f t="shared" si="6"/>
        <v>-231.0100000000001</v>
      </c>
      <c r="P40" s="28" t="e">
        <f t="shared" si="7"/>
        <v>#DIV/0!</v>
      </c>
      <c r="Q40" s="28" t="e">
        <f t="shared" si="5"/>
        <v>#DIV/0!</v>
      </c>
    </row>
    <row r="41" spans="2:17" x14ac:dyDescent="0.2">
      <c r="B41" s="4"/>
      <c r="C41" s="28" t="str">
        <f>IFERROR(omie_mayo_miniporra[[#This Row],[€/MWh]],"")</f>
        <v/>
      </c>
      <c r="J41" t="s">
        <v>363</v>
      </c>
      <c r="K41" s="28">
        <v>21.6</v>
      </c>
      <c r="L41" s="85">
        <f t="shared" si="3"/>
        <v>2.84</v>
      </c>
      <c r="M41" s="28">
        <f t="shared" si="0"/>
        <v>20.18</v>
      </c>
      <c r="N41" s="28">
        <f t="shared" si="4"/>
        <v>21.810000000000002</v>
      </c>
      <c r="O41" s="85">
        <f t="shared" si="6"/>
        <v>-263.55999999999995</v>
      </c>
      <c r="P41" s="28" t="e">
        <f t="shared" si="7"/>
        <v>#DIV/0!</v>
      </c>
      <c r="Q41" s="28" t="e">
        <f t="shared" si="5"/>
        <v>#DIV/0!</v>
      </c>
    </row>
    <row r="42" spans="2:17" x14ac:dyDescent="0.2">
      <c r="J42" t="s">
        <v>655</v>
      </c>
      <c r="K42" s="28">
        <v>18.760000000000002</v>
      </c>
      <c r="L42" s="85">
        <f t="shared" si="3"/>
        <v>0.64000000000000057</v>
      </c>
      <c r="M42" s="28">
        <f t="shared" si="0"/>
        <v>18.440000000000001</v>
      </c>
      <c r="N42" s="28">
        <f t="shared" si="4"/>
        <v>20.18</v>
      </c>
      <c r="O42" s="85">
        <f t="shared" si="6"/>
        <v>-314.09000000000003</v>
      </c>
      <c r="P42" s="28" t="e">
        <f t="shared" si="7"/>
        <v>#DIV/0!</v>
      </c>
      <c r="Q42" s="28" t="e">
        <f t="shared" si="5"/>
        <v>#DIV/0!</v>
      </c>
    </row>
    <row r="43" spans="2:17" x14ac:dyDescent="0.2">
      <c r="J43" t="s">
        <v>650</v>
      </c>
      <c r="K43" s="28">
        <v>18.12</v>
      </c>
      <c r="L43" s="85">
        <f t="shared" si="3"/>
        <v>2.620000000000001</v>
      </c>
      <c r="M43" s="28">
        <f t="shared" si="0"/>
        <v>16.810000000000002</v>
      </c>
      <c r="N43" s="28">
        <f t="shared" si="4"/>
        <v>18.440000000000001</v>
      </c>
      <c r="O43" s="85">
        <f t="shared" si="6"/>
        <v>-368.03000000000009</v>
      </c>
      <c r="P43" s="28" t="e">
        <f t="shared" si="7"/>
        <v>#DIV/0!</v>
      </c>
      <c r="Q43" s="28" t="e">
        <f t="shared" si="5"/>
        <v>#DIV/0!</v>
      </c>
    </row>
    <row r="44" spans="2:17" x14ac:dyDescent="0.2">
      <c r="J44" t="s">
        <v>218</v>
      </c>
      <c r="K44" s="28">
        <v>15.5</v>
      </c>
      <c r="L44" s="85">
        <f t="shared" si="3"/>
        <v>2.4000000000000004</v>
      </c>
      <c r="M44" s="28">
        <f t="shared" si="0"/>
        <v>14.3</v>
      </c>
      <c r="N44" s="28">
        <f t="shared" si="4"/>
        <v>16.810000000000002</v>
      </c>
      <c r="O44" s="85">
        <f t="shared" si="6"/>
        <v>-418.55999999999995</v>
      </c>
      <c r="P44" s="28" t="e">
        <f t="shared" si="7"/>
        <v>#DIV/0!</v>
      </c>
      <c r="Q44" s="28" t="e">
        <f t="shared" si="5"/>
        <v>#DIV/0!</v>
      </c>
    </row>
    <row r="45" spans="2:17" x14ac:dyDescent="0.2">
      <c r="J45" t="s">
        <v>653</v>
      </c>
      <c r="K45" s="28">
        <v>13.1</v>
      </c>
      <c r="L45" s="85">
        <f t="shared" si="3"/>
        <v>1.9900000000000002</v>
      </c>
      <c r="M45" s="28">
        <f t="shared" si="0"/>
        <v>12.105</v>
      </c>
      <c r="N45" s="28">
        <f t="shared" si="4"/>
        <v>14.3</v>
      </c>
      <c r="O45" s="85">
        <f t="shared" si="6"/>
        <v>-496.37000000000006</v>
      </c>
      <c r="P45" s="28" t="e">
        <f t="shared" si="7"/>
        <v>#DIV/0!</v>
      </c>
      <c r="Q45" s="28" t="e">
        <f t="shared" si="5"/>
        <v>#DIV/0!</v>
      </c>
    </row>
    <row r="46" spans="2:17" x14ac:dyDescent="0.2">
      <c r="J46" t="s">
        <v>225</v>
      </c>
      <c r="K46" s="28">
        <v>11.11</v>
      </c>
      <c r="L46" s="85">
        <f t="shared" si="3"/>
        <v>2.2299999999999986</v>
      </c>
      <c r="M46" s="28">
        <f t="shared" si="0"/>
        <v>9.995000000000001</v>
      </c>
      <c r="N46" s="28">
        <f t="shared" si="4"/>
        <v>12.105</v>
      </c>
      <c r="O46" s="85">
        <f t="shared" si="6"/>
        <v>-564.41500000000008</v>
      </c>
      <c r="P46" s="28" t="e">
        <f t="shared" si="7"/>
        <v>#DIV/0!</v>
      </c>
      <c r="Q46" s="28" t="e">
        <f t="shared" si="5"/>
        <v>#DIV/0!</v>
      </c>
    </row>
    <row r="47" spans="2:17" x14ac:dyDescent="0.2">
      <c r="J47" t="s">
        <v>401</v>
      </c>
      <c r="K47" s="28">
        <v>8.8800000000000008</v>
      </c>
      <c r="L47" s="85">
        <f t="shared" si="3"/>
        <v>1.3800000000000008</v>
      </c>
      <c r="M47" s="28">
        <f t="shared" si="0"/>
        <v>8.1900000000000013</v>
      </c>
      <c r="N47" s="28">
        <f t="shared" si="4"/>
        <v>9.995000000000001</v>
      </c>
      <c r="O47" s="85">
        <f t="shared" si="6"/>
        <v>-629.82500000000005</v>
      </c>
      <c r="P47" s="28" t="e">
        <f t="shared" si="7"/>
        <v>#DIV/0!</v>
      </c>
      <c r="Q47" s="28" t="e">
        <f t="shared" si="5"/>
        <v>#DIV/0!</v>
      </c>
    </row>
    <row r="48" spans="2:17" x14ac:dyDescent="0.2">
      <c r="J48" t="s">
        <v>242</v>
      </c>
      <c r="K48" s="28">
        <v>7.5</v>
      </c>
      <c r="L48" s="85">
        <f t="shared" si="3"/>
        <v>7.5</v>
      </c>
      <c r="M48" s="28"/>
      <c r="N48" s="28">
        <f t="shared" si="4"/>
        <v>8.1900000000000013</v>
      </c>
      <c r="O48" s="28">
        <f t="shared" si="6"/>
        <v>-685.78</v>
      </c>
      <c r="P48" s="28">
        <f t="shared" si="7"/>
        <v>0</v>
      </c>
      <c r="Q48" s="28" t="e">
        <f t="shared" si="5"/>
        <v>#DIV/0!</v>
      </c>
    </row>
  </sheetData>
  <mergeCells count="1">
    <mergeCell ref="J2:J3"/>
  </mergeCells>
  <pageMargins left="0.7" right="0.7" top="0.75" bottom="0.75" header="0.3" footer="0.3"/>
  <drawing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CEB765-52C7-482E-85FD-71916F8F4095}">
  <sheetPr codeName="Hoja4"/>
  <dimension ref="A1:AE39"/>
  <sheetViews>
    <sheetView workbookViewId="0">
      <selection activeCell="S11" sqref="S11"/>
    </sheetView>
  </sheetViews>
  <sheetFormatPr baseColWidth="10" defaultRowHeight="12" x14ac:dyDescent="0.2"/>
  <cols>
    <col min="1" max="1" width="4.7109375" style="4" bestFit="1" customWidth="1"/>
    <col min="2" max="2" width="8.5703125" style="4" bestFit="1" customWidth="1"/>
    <col min="3" max="3" width="7" style="4" bestFit="1" customWidth="1"/>
    <col min="4" max="4" width="8" style="4" bestFit="1" customWidth="1"/>
    <col min="5" max="5" width="6" style="4" bestFit="1" customWidth="1"/>
    <col min="6" max="6" width="3.7109375" customWidth="1"/>
    <col min="7" max="7" width="3.5703125" style="4" bestFit="1" customWidth="1"/>
    <col min="8" max="8" width="8" style="4" customWidth="1"/>
    <col min="9" max="9" width="9.28515625" style="4" customWidth="1"/>
    <col min="10" max="10" width="3.5703125" customWidth="1"/>
    <col min="11" max="11" width="5.85546875" style="4" customWidth="1"/>
    <col min="12" max="12" width="7.140625" style="4" customWidth="1"/>
    <col min="13" max="13" width="8.28515625" style="4" customWidth="1"/>
    <col min="14" max="14" width="2.42578125" customWidth="1"/>
    <col min="15" max="30" width="8" style="4" customWidth="1"/>
    <col min="31" max="31" width="11.42578125" style="4"/>
  </cols>
  <sheetData>
    <row r="1" spans="1:31" ht="23.25" customHeight="1" x14ac:dyDescent="0.2">
      <c r="A1" s="136" t="s">
        <v>254</v>
      </c>
      <c r="B1" s="136"/>
      <c r="C1" s="136"/>
      <c r="D1" s="136"/>
      <c r="E1" s="136"/>
    </row>
    <row r="2" spans="1:31" x14ac:dyDescent="0.2">
      <c r="O2" s="63" t="s">
        <v>668</v>
      </c>
    </row>
    <row r="3" spans="1:31" s="1" customFormat="1" ht="48" x14ac:dyDescent="0.2">
      <c r="A3" s="1" t="s">
        <v>249</v>
      </c>
      <c r="B3" s="1" t="s">
        <v>250</v>
      </c>
      <c r="C3" s="1" t="s">
        <v>251</v>
      </c>
      <c r="D3" s="1" t="s">
        <v>252</v>
      </c>
      <c r="E3" s="1" t="s">
        <v>4</v>
      </c>
      <c r="G3" s="1" t="s">
        <v>236</v>
      </c>
      <c r="H3" s="1" t="s">
        <v>310</v>
      </c>
      <c r="I3" s="1" t="s">
        <v>311</v>
      </c>
      <c r="K3" s="1" t="s">
        <v>244</v>
      </c>
      <c r="L3" s="1" t="s">
        <v>312</v>
      </c>
      <c r="M3" s="1" t="s">
        <v>311</v>
      </c>
      <c r="O3" s="1" t="s">
        <v>369</v>
      </c>
      <c r="P3" s="1" t="s">
        <v>370</v>
      </c>
      <c r="Q3" s="1" t="s">
        <v>371</v>
      </c>
      <c r="R3" s="1" t="s">
        <v>372</v>
      </c>
      <c r="S3" s="1" t="s">
        <v>373</v>
      </c>
      <c r="T3" s="1" t="s">
        <v>374</v>
      </c>
      <c r="U3" s="1" t="s">
        <v>375</v>
      </c>
      <c r="V3" s="1" t="s">
        <v>376</v>
      </c>
      <c r="W3" s="1" t="s">
        <v>377</v>
      </c>
      <c r="X3" s="1" t="s">
        <v>487</v>
      </c>
      <c r="Y3" s="1" t="s">
        <v>479</v>
      </c>
      <c r="Z3" s="1" t="s">
        <v>480</v>
      </c>
      <c r="AA3" s="1" t="s">
        <v>481</v>
      </c>
      <c r="AB3" s="1" t="s">
        <v>482</v>
      </c>
      <c r="AC3" s="1" t="s">
        <v>483</v>
      </c>
      <c r="AD3" s="1" t="s">
        <v>484</v>
      </c>
      <c r="AE3" s="48" t="s">
        <v>490</v>
      </c>
    </row>
    <row r="4" spans="1:31" x14ac:dyDescent="0.2">
      <c r="A4" s="4">
        <v>1</v>
      </c>
      <c r="B4" s="4">
        <v>14.12</v>
      </c>
      <c r="D4" s="4">
        <v>102.57</v>
      </c>
      <c r="E4" s="4">
        <v>63.39</v>
      </c>
      <c r="G4" s="4">
        <v>1</v>
      </c>
      <c r="H4" s="4">
        <v>34.5</v>
      </c>
      <c r="I4" s="4">
        <v>34.35</v>
      </c>
      <c r="K4" s="4">
        <v>1</v>
      </c>
      <c r="L4" s="4">
        <v>72.380000000000038</v>
      </c>
      <c r="M4" s="4">
        <v>70.97</v>
      </c>
      <c r="O4" s="4">
        <v>1</v>
      </c>
      <c r="P4" s="4">
        <v>52.048999999999999</v>
      </c>
      <c r="Q4" s="4">
        <v>1.7595833333333333</v>
      </c>
      <c r="R4" s="4">
        <v>0.66666666666666663</v>
      </c>
      <c r="S4" s="4">
        <v>0.38800000000000001</v>
      </c>
      <c r="T4" s="4">
        <v>0</v>
      </c>
      <c r="U4" s="4">
        <v>2.5000000000000001E-2</v>
      </c>
      <c r="V4" s="4">
        <v>0.20833333333333337</v>
      </c>
      <c r="W4" s="4">
        <v>0.375</v>
      </c>
      <c r="X4" s="4">
        <v>561</v>
      </c>
      <c r="Y4" s="4">
        <v>1.8262499999999999</v>
      </c>
      <c r="Z4" s="4">
        <v>33.94</v>
      </c>
      <c r="AA4" s="4">
        <v>0</v>
      </c>
      <c r="AB4" s="4">
        <v>41</v>
      </c>
      <c r="AC4" s="4">
        <v>2.6019999999999999</v>
      </c>
      <c r="AD4" s="4">
        <v>65.659000000000006</v>
      </c>
      <c r="AE4" s="4">
        <f>IF(ISBLANK(t_omie_evol[[#This Row],[Omie media diaria]]),$X$39,t_omie_evol[[#This Row],[demanda GWh]])</f>
        <v>561</v>
      </c>
    </row>
    <row r="5" spans="1:31" x14ac:dyDescent="0.2">
      <c r="A5" s="4">
        <v>2</v>
      </c>
      <c r="B5" s="4">
        <v>26.95</v>
      </c>
      <c r="D5" s="4">
        <v>102.69</v>
      </c>
      <c r="E5" s="4">
        <v>60.61</v>
      </c>
      <c r="G5" s="4">
        <v>2</v>
      </c>
      <c r="H5" s="4">
        <v>33.850000000000016</v>
      </c>
      <c r="I5" s="4">
        <v>34.35</v>
      </c>
      <c r="K5" s="4">
        <v>2</v>
      </c>
      <c r="L5" s="4">
        <v>72.380000000000038</v>
      </c>
      <c r="M5" s="4">
        <v>70.97</v>
      </c>
      <c r="O5" s="4">
        <v>2</v>
      </c>
      <c r="P5" s="4">
        <v>52.048999999999999</v>
      </c>
      <c r="Q5" s="4">
        <v>4.2612499999999986</v>
      </c>
      <c r="R5" s="4">
        <v>0.70833333333333337</v>
      </c>
      <c r="S5" s="4">
        <v>0.38800000000000001</v>
      </c>
      <c r="T5" s="4">
        <v>0</v>
      </c>
      <c r="U5" s="4">
        <v>2.8000000000000001E-2</v>
      </c>
      <c r="V5" s="4">
        <v>0.16666666666666666</v>
      </c>
      <c r="W5" s="4">
        <v>0.39400000000000002</v>
      </c>
      <c r="X5" s="4">
        <v>519</v>
      </c>
      <c r="Y5" s="4">
        <v>1.7988235294117645</v>
      </c>
      <c r="Z5" s="4">
        <v>33.94</v>
      </c>
      <c r="AA5" s="4">
        <v>0</v>
      </c>
      <c r="AB5" s="4">
        <v>41</v>
      </c>
      <c r="AC5" s="4">
        <v>8.3149999999999995</v>
      </c>
      <c r="AD5" s="4">
        <v>65.659000000000006</v>
      </c>
      <c r="AE5" s="4">
        <f>IF(ISBLANK(t_omie_evol[[#This Row],[Omie media diaria]]),$X$39,t_omie_evol[[#This Row],[demanda GWh]])</f>
        <v>519</v>
      </c>
    </row>
    <row r="6" spans="1:31" x14ac:dyDescent="0.2">
      <c r="A6" s="4">
        <v>3</v>
      </c>
      <c r="B6" s="4">
        <v>8.6199999999999992</v>
      </c>
      <c r="D6" s="4">
        <v>102.54</v>
      </c>
      <c r="E6" s="4">
        <v>58.94</v>
      </c>
      <c r="G6" s="4">
        <v>3</v>
      </c>
      <c r="H6" s="4">
        <v>34.850000000000016</v>
      </c>
      <c r="I6" s="4">
        <v>34.35</v>
      </c>
      <c r="K6" s="4">
        <v>3</v>
      </c>
      <c r="L6" s="4">
        <v>72.859999999999971</v>
      </c>
      <c r="M6" s="4">
        <v>70.97</v>
      </c>
      <c r="O6" s="4">
        <v>3</v>
      </c>
      <c r="P6" s="4">
        <v>52.048999999999999</v>
      </c>
      <c r="Q6" s="4">
        <v>28.55541666666667</v>
      </c>
      <c r="R6" s="4">
        <v>0.58333333333333337</v>
      </c>
      <c r="S6" s="4">
        <v>0.38800000000000001</v>
      </c>
      <c r="T6" s="4">
        <v>0</v>
      </c>
      <c r="U6" s="4">
        <v>3.1E-2</v>
      </c>
      <c r="V6" s="4">
        <v>0.20833333333333337</v>
      </c>
      <c r="W6" s="4">
        <v>0.42199999999999999</v>
      </c>
      <c r="X6" s="4">
        <v>623</v>
      </c>
      <c r="Y6" s="4">
        <v>9.2214285714285715</v>
      </c>
      <c r="Z6" s="4">
        <v>33.94</v>
      </c>
      <c r="AA6" s="4">
        <v>0</v>
      </c>
      <c r="AB6" s="4">
        <v>41</v>
      </c>
      <c r="AC6" s="4">
        <v>72.811999999999998</v>
      </c>
      <c r="AD6" s="4">
        <v>65.659000000000006</v>
      </c>
      <c r="AE6" s="4">
        <f>IF(ISBLANK(t_omie_evol[[#This Row],[Omie media diaria]]),$X$39,t_omie_evol[[#This Row],[demanda GWh]])</f>
        <v>623</v>
      </c>
    </row>
    <row r="7" spans="1:31" x14ac:dyDescent="0.2">
      <c r="A7" s="4">
        <v>4</v>
      </c>
      <c r="B7" s="4">
        <v>6.45</v>
      </c>
      <c r="D7" s="4">
        <v>100.54</v>
      </c>
      <c r="E7" s="4">
        <v>57.06</v>
      </c>
      <c r="G7" s="4">
        <v>4</v>
      </c>
      <c r="H7" s="4">
        <v>36.47000000000002</v>
      </c>
      <c r="I7" s="4">
        <v>34.35</v>
      </c>
      <c r="K7" s="4">
        <v>4</v>
      </c>
      <c r="L7" s="4">
        <v>70.960000000000022</v>
      </c>
      <c r="M7" s="4">
        <v>70.97</v>
      </c>
      <c r="O7" s="4">
        <v>4</v>
      </c>
      <c r="P7" s="4">
        <v>52.048999999999999</v>
      </c>
      <c r="Q7" s="4">
        <v>87.639999999999986</v>
      </c>
      <c r="R7" s="4">
        <v>8.3333333333333329E-2</v>
      </c>
      <c r="S7" s="4">
        <v>0.38800000000000001</v>
      </c>
      <c r="T7" s="4">
        <v>4.1666666666666664E-2</v>
      </c>
      <c r="U7" s="4">
        <v>3.5999999999999997E-2</v>
      </c>
      <c r="V7" s="4">
        <v>0.58333333333333337</v>
      </c>
      <c r="W7" s="4">
        <v>0.45200000000000001</v>
      </c>
      <c r="X7" s="4">
        <v>635</v>
      </c>
      <c r="Y7" s="4">
        <v>32.4</v>
      </c>
      <c r="Z7" s="4">
        <v>33.94</v>
      </c>
      <c r="AA7" s="4">
        <v>171.15</v>
      </c>
      <c r="AB7" s="4">
        <v>41</v>
      </c>
      <c r="AC7" s="4">
        <v>107.74214285714284</v>
      </c>
      <c r="AD7" s="4">
        <v>65.659000000000006</v>
      </c>
      <c r="AE7" s="4">
        <f>IF(ISBLANK(t_omie_evol[[#This Row],[Omie media diaria]]),$X$39,t_omie_evol[[#This Row],[demanda GWh]])</f>
        <v>635</v>
      </c>
    </row>
    <row r="8" spans="1:31" x14ac:dyDescent="0.2">
      <c r="A8" s="4">
        <v>5</v>
      </c>
      <c r="B8" s="4">
        <v>34.22</v>
      </c>
      <c r="D8" s="4">
        <v>74.36</v>
      </c>
      <c r="E8" s="4">
        <v>57.77</v>
      </c>
      <c r="G8" s="4">
        <v>5</v>
      </c>
      <c r="H8" s="4">
        <v>34.79999999999999</v>
      </c>
      <c r="I8" s="4">
        <v>34.35</v>
      </c>
      <c r="K8" s="4">
        <v>5</v>
      </c>
      <c r="L8" s="4">
        <v>70.210000000000022</v>
      </c>
      <c r="M8" s="4">
        <v>70.97</v>
      </c>
      <c r="O8" s="4">
        <v>5</v>
      </c>
      <c r="P8" s="4">
        <v>52.048999999999999</v>
      </c>
      <c r="Q8" s="4">
        <v>93.260416666666671</v>
      </c>
      <c r="R8" s="4">
        <v>0.16666666666666666</v>
      </c>
      <c r="S8" s="4">
        <v>0.38800000000000001</v>
      </c>
      <c r="T8" s="4">
        <v>0.125</v>
      </c>
      <c r="U8" s="4">
        <v>3.5000000000000003E-2</v>
      </c>
      <c r="V8" s="4">
        <v>0.5</v>
      </c>
      <c r="W8" s="4">
        <v>0.43099999999999999</v>
      </c>
      <c r="X8" s="4">
        <v>651</v>
      </c>
      <c r="Y8" s="4">
        <v>72.8125</v>
      </c>
      <c r="Z8" s="4">
        <v>33.94</v>
      </c>
      <c r="AA8" s="4">
        <v>122.80333333333331</v>
      </c>
      <c r="AB8" s="4">
        <v>41</v>
      </c>
      <c r="AC8" s="4">
        <v>103.10666666666668</v>
      </c>
      <c r="AD8" s="4">
        <v>65.659000000000006</v>
      </c>
      <c r="AE8" s="4">
        <f>IF(ISBLANK(t_omie_evol[[#This Row],[Omie media diaria]]),$X$39,t_omie_evol[[#This Row],[demanda GWh]])</f>
        <v>651</v>
      </c>
    </row>
    <row r="9" spans="1:31" x14ac:dyDescent="0.2">
      <c r="A9" s="4">
        <v>6</v>
      </c>
      <c r="B9" s="4">
        <v>10.35</v>
      </c>
      <c r="D9" s="4">
        <v>104.3</v>
      </c>
      <c r="E9" s="4">
        <v>59.8</v>
      </c>
      <c r="G9" s="4">
        <v>6</v>
      </c>
      <c r="H9" s="4">
        <v>34.039999999999992</v>
      </c>
      <c r="I9" s="4">
        <v>34.35</v>
      </c>
      <c r="K9" s="4">
        <v>6</v>
      </c>
      <c r="L9" s="4">
        <v>70.630000000000038</v>
      </c>
      <c r="M9" s="4">
        <v>70.97</v>
      </c>
      <c r="O9" s="4">
        <v>6</v>
      </c>
      <c r="P9" s="4">
        <v>52.048999999999999</v>
      </c>
      <c r="Q9" s="4">
        <v>93.423333333333332</v>
      </c>
      <c r="R9" s="4">
        <v>0.25</v>
      </c>
      <c r="S9" s="4">
        <v>0.38800000000000001</v>
      </c>
      <c r="T9" s="4">
        <v>8.3333333333333329E-2</v>
      </c>
      <c r="U9" s="4">
        <v>1.7000000000000001E-2</v>
      </c>
      <c r="V9" s="4">
        <v>0.5</v>
      </c>
      <c r="W9" s="4">
        <v>0.41699999999999998</v>
      </c>
      <c r="X9" s="4">
        <v>665</v>
      </c>
      <c r="Y9" s="4">
        <v>67.066666666666677</v>
      </c>
      <c r="Z9" s="4">
        <v>33.94</v>
      </c>
      <c r="AA9" s="4">
        <v>116.05</v>
      </c>
      <c r="AB9" s="4">
        <v>41</v>
      </c>
      <c r="AC9" s="4">
        <v>101.755</v>
      </c>
      <c r="AD9" s="4">
        <v>65.659000000000006</v>
      </c>
      <c r="AE9" s="4">
        <f>IF(ISBLANK(t_omie_evol[[#This Row],[Omie media diaria]]),$X$39,t_omie_evol[[#This Row],[demanda GWh]])</f>
        <v>665</v>
      </c>
    </row>
    <row r="10" spans="1:31" x14ac:dyDescent="0.2">
      <c r="A10" s="4">
        <v>7</v>
      </c>
      <c r="B10" s="4">
        <v>41.08</v>
      </c>
      <c r="D10" s="4">
        <v>87.94</v>
      </c>
      <c r="E10" s="4">
        <v>69.209999999999994</v>
      </c>
      <c r="G10" s="4">
        <v>7</v>
      </c>
      <c r="H10" s="4">
        <v>33.960000000000008</v>
      </c>
      <c r="I10" s="4">
        <v>34.35</v>
      </c>
      <c r="K10" s="4">
        <v>7</v>
      </c>
      <c r="L10" s="4">
        <v>70.630000000000038</v>
      </c>
      <c r="M10" s="4">
        <v>70.97</v>
      </c>
      <c r="O10" s="4">
        <v>7</v>
      </c>
      <c r="P10" s="4">
        <v>52.048999999999999</v>
      </c>
      <c r="Q10" s="4">
        <v>79.132916666666674</v>
      </c>
      <c r="R10" s="4">
        <v>0.29166666666666669</v>
      </c>
      <c r="S10" s="4">
        <v>0.38800000000000001</v>
      </c>
      <c r="T10" s="4">
        <v>0</v>
      </c>
      <c r="U10" s="4">
        <v>0</v>
      </c>
      <c r="V10" s="4">
        <v>0.54166666666666663</v>
      </c>
      <c r="W10" s="4">
        <v>0.39600000000000002</v>
      </c>
      <c r="X10" s="4">
        <v>663</v>
      </c>
      <c r="Y10" s="4">
        <v>43.955714285714286</v>
      </c>
      <c r="Z10" s="4">
        <v>33.94</v>
      </c>
      <c r="AA10" s="4">
        <v>0</v>
      </c>
      <c r="AB10" s="4">
        <v>41</v>
      </c>
      <c r="AC10" s="4">
        <v>91.826153846153844</v>
      </c>
      <c r="AD10" s="4">
        <v>65.659000000000006</v>
      </c>
      <c r="AE10" s="4">
        <f>IF(ISBLANK(t_omie_evol[[#This Row],[Omie media diaria]]),$X$39,t_omie_evol[[#This Row],[demanda GWh]])</f>
        <v>663</v>
      </c>
    </row>
    <row r="11" spans="1:31" x14ac:dyDescent="0.2">
      <c r="A11" s="4">
        <v>8</v>
      </c>
      <c r="B11" s="4">
        <v>3.83</v>
      </c>
      <c r="D11" s="4">
        <v>130.49</v>
      </c>
      <c r="E11" s="4">
        <v>73.760000000000005</v>
      </c>
      <c r="G11" s="4">
        <v>8</v>
      </c>
      <c r="H11" s="4">
        <v>33.399999999999984</v>
      </c>
      <c r="I11" s="4">
        <v>34.35</v>
      </c>
      <c r="K11" s="4">
        <v>8</v>
      </c>
      <c r="L11" s="4">
        <v>69.890000000000029</v>
      </c>
      <c r="M11" s="4">
        <v>70.97</v>
      </c>
      <c r="O11" s="4">
        <v>8</v>
      </c>
      <c r="P11" s="4">
        <v>52.048999999999999</v>
      </c>
      <c r="Q11" s="4">
        <v>71.420416666666668</v>
      </c>
      <c r="R11" s="4">
        <v>0.20833333333333337</v>
      </c>
      <c r="S11" s="4">
        <v>0.38800000000000001</v>
      </c>
      <c r="T11" s="4">
        <v>0</v>
      </c>
      <c r="U11" s="4">
        <v>0</v>
      </c>
      <c r="V11" s="4">
        <v>0.45833333333333326</v>
      </c>
      <c r="W11" s="4">
        <v>0.34699999999999998</v>
      </c>
      <c r="X11" s="4">
        <v>581</v>
      </c>
      <c r="Y11" s="4">
        <v>53.665999999999997</v>
      </c>
      <c r="Z11" s="4">
        <v>33.94</v>
      </c>
      <c r="AA11" s="4">
        <v>0</v>
      </c>
      <c r="AB11" s="4">
        <v>41</v>
      </c>
      <c r="AC11" s="4">
        <v>75.531818181818196</v>
      </c>
      <c r="AD11" s="4">
        <v>65.659000000000006</v>
      </c>
      <c r="AE11" s="4">
        <f>IF(ISBLANK(t_omie_evol[[#This Row],[Omie media diaria]]),$X$39,t_omie_evol[[#This Row],[demanda GWh]])</f>
        <v>581</v>
      </c>
    </row>
    <row r="12" spans="1:31" x14ac:dyDescent="0.2">
      <c r="A12" s="4">
        <v>9</v>
      </c>
      <c r="B12" s="4">
        <v>3.25</v>
      </c>
      <c r="C12" s="4">
        <v>120.22</v>
      </c>
      <c r="D12" s="4">
        <v>92.08</v>
      </c>
      <c r="E12" s="4">
        <v>64.87</v>
      </c>
      <c r="G12" s="4">
        <v>9</v>
      </c>
      <c r="H12" s="4">
        <v>33.77999999999998</v>
      </c>
      <c r="I12" s="4">
        <v>34.35</v>
      </c>
      <c r="K12" s="4">
        <v>9</v>
      </c>
      <c r="L12" s="4">
        <v>69.890000000000029</v>
      </c>
      <c r="M12" s="4">
        <v>70.97</v>
      </c>
      <c r="O12" s="4">
        <v>9</v>
      </c>
      <c r="P12" s="4">
        <v>52.048999999999999</v>
      </c>
      <c r="Q12" s="4">
        <v>16.427916666666665</v>
      </c>
      <c r="R12" s="4">
        <v>0.45833333333333326</v>
      </c>
      <c r="S12" s="4">
        <v>0.38800000000000001</v>
      </c>
      <c r="T12" s="4">
        <v>0</v>
      </c>
      <c r="U12" s="4">
        <v>0</v>
      </c>
      <c r="V12" s="4">
        <v>0.45833333333333326</v>
      </c>
      <c r="W12" s="4">
        <v>0.29199999999999998</v>
      </c>
      <c r="X12" s="4">
        <v>375</v>
      </c>
      <c r="Y12" s="4">
        <v>18.348181818181818</v>
      </c>
      <c r="Z12" s="4">
        <v>33.94</v>
      </c>
      <c r="AA12" s="4">
        <v>0</v>
      </c>
      <c r="AB12" s="4">
        <v>41</v>
      </c>
      <c r="AC12" s="4">
        <v>17.494545454545456</v>
      </c>
      <c r="AD12" s="4">
        <v>65.659000000000006</v>
      </c>
      <c r="AE12" s="4">
        <f>IF(ISBLANK(t_omie_evol[[#This Row],[Omie media diaria]]),$X$39,t_omie_evol[[#This Row],[demanda GWh]])</f>
        <v>375</v>
      </c>
    </row>
    <row r="13" spans="1:31" x14ac:dyDescent="0.2">
      <c r="A13" s="4">
        <v>10</v>
      </c>
      <c r="D13" s="4">
        <v>64.45</v>
      </c>
      <c r="E13" s="4">
        <v>55.95</v>
      </c>
      <c r="G13" s="4">
        <v>10</v>
      </c>
      <c r="H13" s="4">
        <v>33.860000000000007</v>
      </c>
      <c r="I13" s="4">
        <v>34.35</v>
      </c>
      <c r="K13" s="4">
        <v>10</v>
      </c>
      <c r="L13" s="4">
        <v>69.890000000000029</v>
      </c>
      <c r="M13" s="4">
        <v>70.97</v>
      </c>
      <c r="O13" s="4">
        <v>10</v>
      </c>
      <c r="P13" s="4">
        <v>52.048999999999999</v>
      </c>
      <c r="Q13" s="4">
        <v>44.605833333333329</v>
      </c>
      <c r="R13" s="4">
        <v>0.45833333333333326</v>
      </c>
      <c r="S13" s="4">
        <v>0.38800000000000001</v>
      </c>
      <c r="T13" s="4">
        <v>0</v>
      </c>
      <c r="U13" s="4">
        <v>0</v>
      </c>
      <c r="V13" s="4">
        <v>0.125</v>
      </c>
      <c r="W13" s="4">
        <v>0.125</v>
      </c>
      <c r="X13" s="4">
        <v>0</v>
      </c>
      <c r="Y13" s="4">
        <v>38.312727272727273</v>
      </c>
      <c r="Z13" s="4">
        <v>33.94</v>
      </c>
      <c r="AA13" s="4">
        <v>0</v>
      </c>
      <c r="AB13" s="4">
        <v>41</v>
      </c>
      <c r="AC13" s="4">
        <v>75.406666666666666</v>
      </c>
      <c r="AD13" s="4">
        <v>65.659000000000006</v>
      </c>
      <c r="AE13" s="4">
        <f>IF(ISBLANK(t_omie_evol[[#This Row],[Omie media diaria]]),$X$39,t_omie_evol[[#This Row],[demanda GWh]])</f>
        <v>0</v>
      </c>
    </row>
    <row r="14" spans="1:31" x14ac:dyDescent="0.2">
      <c r="A14" s="4">
        <v>11</v>
      </c>
      <c r="B14" s="4">
        <v>28.68</v>
      </c>
      <c r="D14" s="4">
        <v>48.18</v>
      </c>
      <c r="E14" s="4">
        <v>44.11</v>
      </c>
      <c r="G14" s="4">
        <v>11</v>
      </c>
      <c r="I14" s="4">
        <v>34.35</v>
      </c>
      <c r="K14" s="4">
        <v>11</v>
      </c>
      <c r="M14" s="4">
        <v>70.97</v>
      </c>
      <c r="O14" s="4">
        <v>11</v>
      </c>
      <c r="P14" s="4">
        <v>52.048999999999999</v>
      </c>
      <c r="S14" s="4">
        <v>0.38800000000000001</v>
      </c>
      <c r="U14" s="4">
        <v>0</v>
      </c>
      <c r="W14" s="4">
        <v>0.125</v>
      </c>
      <c r="Y14" s="4" t="s">
        <v>831</v>
      </c>
      <c r="Z14" s="4">
        <v>33.94</v>
      </c>
      <c r="AA14" s="4" t="s">
        <v>831</v>
      </c>
      <c r="AB14" s="4">
        <v>41</v>
      </c>
      <c r="AC14" s="4" t="s">
        <v>831</v>
      </c>
      <c r="AD14" s="4">
        <v>65.659000000000006</v>
      </c>
      <c r="AE14" s="4">
        <f>IF(ISBLANK(t_omie_evol[[#This Row],[Omie media diaria]]),$X$39,t_omie_evol[[#This Row],[demanda GWh]])</f>
        <v>527.29999999999995</v>
      </c>
    </row>
    <row r="15" spans="1:31" x14ac:dyDescent="0.2">
      <c r="A15" s="4">
        <v>12</v>
      </c>
      <c r="B15" s="4">
        <v>19.100000000000001</v>
      </c>
      <c r="D15" s="4">
        <v>43.21</v>
      </c>
      <c r="E15" s="4">
        <v>29.82</v>
      </c>
      <c r="G15" s="4">
        <v>12</v>
      </c>
      <c r="I15" s="4">
        <v>34.35</v>
      </c>
      <c r="K15" s="4">
        <v>12</v>
      </c>
      <c r="M15" s="4">
        <v>70.97</v>
      </c>
      <c r="O15" s="4">
        <v>12</v>
      </c>
      <c r="P15" s="4">
        <v>52.048999999999999</v>
      </c>
      <c r="S15" s="4">
        <v>0.38800000000000001</v>
      </c>
      <c r="U15" s="4">
        <v>0</v>
      </c>
      <c r="W15" s="4">
        <v>0.125</v>
      </c>
      <c r="Y15" s="4" t="s">
        <v>831</v>
      </c>
      <c r="Z15" s="4">
        <v>33.94</v>
      </c>
      <c r="AA15" s="4" t="s">
        <v>831</v>
      </c>
      <c r="AB15" s="4">
        <v>41</v>
      </c>
      <c r="AC15" s="4" t="s">
        <v>831</v>
      </c>
      <c r="AD15" s="4">
        <v>65.659000000000006</v>
      </c>
      <c r="AE15" s="4">
        <f>IF(ISBLANK(t_omie_evol[[#This Row],[Omie media diaria]]),$X$39,t_omie_evol[[#This Row],[demanda GWh]])</f>
        <v>527.29999999999995</v>
      </c>
    </row>
    <row r="16" spans="1:31" x14ac:dyDescent="0.2">
      <c r="A16" s="4">
        <v>13</v>
      </c>
      <c r="B16" s="4">
        <v>22.96</v>
      </c>
      <c r="D16" s="4">
        <v>46.16</v>
      </c>
      <c r="E16" s="4">
        <v>26.9</v>
      </c>
      <c r="G16" s="4">
        <v>13</v>
      </c>
      <c r="I16" s="4">
        <v>34.35</v>
      </c>
      <c r="K16" s="4">
        <v>13</v>
      </c>
      <c r="M16" s="4">
        <v>70.97</v>
      </c>
      <c r="O16" s="4">
        <v>13</v>
      </c>
      <c r="P16" s="4">
        <v>52.048999999999999</v>
      </c>
      <c r="S16" s="4">
        <v>0.38800000000000001</v>
      </c>
      <c r="U16" s="4">
        <v>0</v>
      </c>
      <c r="W16" s="4">
        <v>0.125</v>
      </c>
      <c r="Y16" s="4" t="s">
        <v>831</v>
      </c>
      <c r="Z16" s="4">
        <v>33.94</v>
      </c>
      <c r="AA16" s="4" t="s">
        <v>831</v>
      </c>
      <c r="AB16" s="4">
        <v>41</v>
      </c>
      <c r="AC16" s="4" t="s">
        <v>831</v>
      </c>
      <c r="AD16" s="4">
        <v>65.659000000000006</v>
      </c>
      <c r="AE16" s="4">
        <f>IF(ISBLANK(t_omie_evol[[#This Row],[Omie media diaria]]),$X$39,t_omie_evol[[#This Row],[demanda GWh]])</f>
        <v>527.29999999999995</v>
      </c>
    </row>
    <row r="17" spans="1:31" x14ac:dyDescent="0.2">
      <c r="A17" s="4">
        <v>14</v>
      </c>
      <c r="B17" s="4">
        <v>25.79</v>
      </c>
      <c r="D17" s="4">
        <v>41.6</v>
      </c>
      <c r="E17" s="4">
        <v>25.7</v>
      </c>
      <c r="G17" s="4">
        <v>14</v>
      </c>
      <c r="I17" s="4">
        <v>34.35</v>
      </c>
      <c r="K17" s="4">
        <v>14</v>
      </c>
      <c r="M17" s="4">
        <v>70.97</v>
      </c>
      <c r="O17" s="4">
        <v>14</v>
      </c>
      <c r="P17" s="4">
        <v>52.048999999999999</v>
      </c>
      <c r="S17" s="4">
        <v>0.38800000000000001</v>
      </c>
      <c r="U17" s="4">
        <v>0</v>
      </c>
      <c r="W17" s="4">
        <v>0.125</v>
      </c>
      <c r="Y17" s="4" t="s">
        <v>831</v>
      </c>
      <c r="Z17" s="4">
        <v>33.94</v>
      </c>
      <c r="AA17" s="4" t="s">
        <v>831</v>
      </c>
      <c r="AB17" s="4">
        <v>41</v>
      </c>
      <c r="AC17" s="4" t="s">
        <v>831</v>
      </c>
      <c r="AD17" s="4">
        <v>65.659000000000006</v>
      </c>
      <c r="AE17" s="4">
        <f>IF(ISBLANK(t_omie_evol[[#This Row],[Omie media diaria]]),$X$39,t_omie_evol[[#This Row],[demanda GWh]])</f>
        <v>527.29999999999995</v>
      </c>
    </row>
    <row r="18" spans="1:31" x14ac:dyDescent="0.2">
      <c r="A18" s="4">
        <v>15</v>
      </c>
      <c r="B18" s="4">
        <v>21.94</v>
      </c>
      <c r="D18" s="4">
        <v>0</v>
      </c>
      <c r="E18" s="4">
        <v>22.4</v>
      </c>
      <c r="G18" s="4">
        <v>15</v>
      </c>
      <c r="I18" s="4">
        <v>34.35</v>
      </c>
      <c r="K18" s="4">
        <v>15</v>
      </c>
      <c r="M18" s="4">
        <v>70.97</v>
      </c>
      <c r="O18" s="4">
        <v>15</v>
      </c>
      <c r="P18" s="4">
        <v>52.048999999999999</v>
      </c>
      <c r="S18" s="4">
        <v>0.38800000000000001</v>
      </c>
      <c r="U18" s="4">
        <v>0</v>
      </c>
      <c r="W18" s="4">
        <v>0.125</v>
      </c>
      <c r="Y18" s="4" t="s">
        <v>831</v>
      </c>
      <c r="Z18" s="4">
        <v>33.94</v>
      </c>
      <c r="AA18" s="4" t="s">
        <v>831</v>
      </c>
      <c r="AB18" s="4">
        <v>41</v>
      </c>
      <c r="AC18" s="4" t="s">
        <v>831</v>
      </c>
      <c r="AD18" s="4">
        <v>65.659000000000006</v>
      </c>
      <c r="AE18" s="4">
        <f>IF(ISBLANK(t_omie_evol[[#This Row],[Omie media diaria]]),$X$39,t_omie_evol[[#This Row],[demanda GWh]])</f>
        <v>527.29999999999995</v>
      </c>
    </row>
    <row r="19" spans="1:31" x14ac:dyDescent="0.2">
      <c r="A19" s="4">
        <v>16</v>
      </c>
      <c r="B19" s="4">
        <v>20.059999999999999</v>
      </c>
      <c r="D19" s="4">
        <v>-0.01</v>
      </c>
      <c r="E19" s="4">
        <v>21.15</v>
      </c>
      <c r="G19" s="4">
        <v>16</v>
      </c>
      <c r="I19" s="4">
        <v>34.35</v>
      </c>
      <c r="K19" s="4">
        <v>16</v>
      </c>
      <c r="M19" s="4">
        <v>70.97</v>
      </c>
      <c r="O19" s="4">
        <v>16</v>
      </c>
      <c r="P19" s="4">
        <v>52.048999999999999</v>
      </c>
      <c r="S19" s="4">
        <v>0.38800000000000001</v>
      </c>
      <c r="U19" s="4">
        <v>0</v>
      </c>
      <c r="W19" s="4">
        <v>0.125</v>
      </c>
      <c r="Y19" s="4" t="s">
        <v>831</v>
      </c>
      <c r="Z19" s="4">
        <v>33.94</v>
      </c>
      <c r="AA19" s="4" t="s">
        <v>831</v>
      </c>
      <c r="AB19" s="4">
        <v>41</v>
      </c>
      <c r="AC19" s="4" t="s">
        <v>831</v>
      </c>
      <c r="AD19" s="4">
        <v>65.659000000000006</v>
      </c>
      <c r="AE19" s="4">
        <f>IF(ISBLANK(t_omie_evol[[#This Row],[Omie media diaria]]),$X$39,t_omie_evol[[#This Row],[demanda GWh]])</f>
        <v>527.29999999999995</v>
      </c>
    </row>
    <row r="20" spans="1:31" x14ac:dyDescent="0.2">
      <c r="A20" s="4">
        <v>17</v>
      </c>
      <c r="B20" s="4">
        <v>20.170000000000002</v>
      </c>
      <c r="D20" s="4">
        <v>20.16</v>
      </c>
      <c r="E20" s="4">
        <v>21.81</v>
      </c>
      <c r="G20" s="4">
        <v>17</v>
      </c>
      <c r="I20" s="4">
        <v>34.35</v>
      </c>
      <c r="K20" s="4">
        <v>17</v>
      </c>
      <c r="M20" s="4">
        <v>70.97</v>
      </c>
      <c r="O20" s="4">
        <v>17</v>
      </c>
      <c r="P20" s="4">
        <v>52.048999999999999</v>
      </c>
      <c r="S20" s="4">
        <v>0.38800000000000001</v>
      </c>
      <c r="U20" s="4">
        <v>0</v>
      </c>
      <c r="W20" s="4">
        <v>0.125</v>
      </c>
      <c r="Y20" s="4" t="s">
        <v>831</v>
      </c>
      <c r="Z20" s="4">
        <v>33.94</v>
      </c>
      <c r="AA20" s="4" t="s">
        <v>831</v>
      </c>
      <c r="AB20" s="4">
        <v>41</v>
      </c>
      <c r="AC20" s="4" t="s">
        <v>831</v>
      </c>
      <c r="AD20" s="4">
        <v>65.659000000000006</v>
      </c>
      <c r="AE20" s="4">
        <f>IF(ISBLANK(t_omie_evol[[#This Row],[Omie media diaria]]),$X$39,t_omie_evol[[#This Row],[demanda GWh]])</f>
        <v>527.29999999999995</v>
      </c>
    </row>
    <row r="21" spans="1:31" x14ac:dyDescent="0.2">
      <c r="A21" s="4">
        <v>18</v>
      </c>
      <c r="B21" s="4">
        <v>15.11</v>
      </c>
      <c r="D21" s="4">
        <v>27.44</v>
      </c>
      <c r="E21" s="4">
        <v>27.27</v>
      </c>
      <c r="G21" s="4">
        <v>18</v>
      </c>
      <c r="I21" s="4">
        <v>34.35</v>
      </c>
      <c r="K21" s="4">
        <v>18</v>
      </c>
      <c r="M21" s="4">
        <v>70.97</v>
      </c>
      <c r="O21" s="4">
        <v>18</v>
      </c>
      <c r="P21" s="4">
        <v>52.048999999999999</v>
      </c>
      <c r="S21" s="4">
        <v>0.38800000000000001</v>
      </c>
      <c r="U21" s="4">
        <v>0</v>
      </c>
      <c r="W21" s="4">
        <v>0.125</v>
      </c>
      <c r="Y21" s="4" t="s">
        <v>831</v>
      </c>
      <c r="Z21" s="4">
        <v>33.94</v>
      </c>
      <c r="AA21" s="4" t="s">
        <v>831</v>
      </c>
      <c r="AB21" s="4">
        <v>41</v>
      </c>
      <c r="AC21" s="4" t="s">
        <v>831</v>
      </c>
      <c r="AD21" s="4">
        <v>65.659000000000006</v>
      </c>
      <c r="AE21" s="4">
        <f>IF(ISBLANK(t_omie_evol[[#This Row],[Omie media diaria]]),$X$39,t_omie_evol[[#This Row],[demanda GWh]])</f>
        <v>527.29999999999995</v>
      </c>
    </row>
    <row r="22" spans="1:31" x14ac:dyDescent="0.2">
      <c r="A22" s="4">
        <v>19</v>
      </c>
      <c r="B22" s="4">
        <v>46.15</v>
      </c>
      <c r="D22" s="4">
        <v>19.82</v>
      </c>
      <c r="E22" s="4">
        <v>39.770000000000003</v>
      </c>
      <c r="G22" s="4">
        <v>19</v>
      </c>
      <c r="I22" s="4">
        <v>34.35</v>
      </c>
      <c r="K22" s="4">
        <v>19</v>
      </c>
      <c r="M22" s="4">
        <v>70.97</v>
      </c>
      <c r="O22" s="4">
        <v>19</v>
      </c>
      <c r="P22" s="4">
        <v>52.048999999999999</v>
      </c>
      <c r="S22" s="4">
        <v>0.38800000000000001</v>
      </c>
      <c r="U22" s="4">
        <v>0</v>
      </c>
      <c r="W22" s="4">
        <v>0.125</v>
      </c>
      <c r="Y22" s="4" t="s">
        <v>831</v>
      </c>
      <c r="Z22" s="4">
        <v>33.94</v>
      </c>
      <c r="AA22" s="4" t="s">
        <v>831</v>
      </c>
      <c r="AB22" s="4">
        <v>41</v>
      </c>
      <c r="AC22" s="4" t="s">
        <v>831</v>
      </c>
      <c r="AD22" s="4">
        <v>65.659000000000006</v>
      </c>
      <c r="AE22" s="4">
        <f>IF(ISBLANK(t_omie_evol[[#This Row],[Omie media diaria]]),$X$39,t_omie_evol[[#This Row],[demanda GWh]])</f>
        <v>527.29999999999995</v>
      </c>
    </row>
    <row r="23" spans="1:31" x14ac:dyDescent="0.2">
      <c r="A23" s="4">
        <v>20</v>
      </c>
      <c r="B23" s="4">
        <v>24.07</v>
      </c>
      <c r="D23" s="4">
        <v>81.64</v>
      </c>
      <c r="E23" s="4">
        <v>54.57</v>
      </c>
      <c r="G23" s="4">
        <v>20</v>
      </c>
      <c r="I23" s="4">
        <v>34.35</v>
      </c>
      <c r="K23" s="4">
        <v>20</v>
      </c>
      <c r="M23" s="4">
        <v>70.97</v>
      </c>
      <c r="O23" s="4">
        <v>20</v>
      </c>
      <c r="P23" s="4">
        <v>52.048999999999999</v>
      </c>
      <c r="S23" s="4">
        <v>0.38800000000000001</v>
      </c>
      <c r="U23" s="4">
        <v>0</v>
      </c>
      <c r="W23" s="4">
        <v>0.125</v>
      </c>
      <c r="Y23" s="4" t="s">
        <v>831</v>
      </c>
      <c r="Z23" s="4">
        <v>33.94</v>
      </c>
      <c r="AA23" s="4" t="s">
        <v>831</v>
      </c>
      <c r="AB23" s="4">
        <v>41</v>
      </c>
      <c r="AC23" s="4" t="s">
        <v>831</v>
      </c>
      <c r="AD23" s="4">
        <v>65.659000000000006</v>
      </c>
      <c r="AE23" s="4">
        <f>IF(ISBLANK(t_omie_evol[[#This Row],[Omie media diaria]]),$X$39,t_omie_evol[[#This Row],[demanda GWh]])</f>
        <v>527.29999999999995</v>
      </c>
    </row>
    <row r="24" spans="1:31" x14ac:dyDescent="0.2">
      <c r="A24" s="4">
        <v>21</v>
      </c>
      <c r="B24" s="4">
        <v>7.3</v>
      </c>
      <c r="C24" s="4">
        <v>119.68</v>
      </c>
      <c r="D24" s="4">
        <v>82.53</v>
      </c>
      <c r="E24" s="4">
        <v>74.069999999999993</v>
      </c>
      <c r="G24" s="4">
        <v>21</v>
      </c>
      <c r="I24" s="4">
        <v>34.35</v>
      </c>
      <c r="K24" s="4">
        <v>21</v>
      </c>
      <c r="M24" s="4">
        <v>70.97</v>
      </c>
      <c r="O24" s="4">
        <v>21</v>
      </c>
      <c r="P24" s="4">
        <v>52.048999999999999</v>
      </c>
      <c r="S24" s="4">
        <v>0.38800000000000001</v>
      </c>
      <c r="U24" s="4">
        <v>0</v>
      </c>
      <c r="W24" s="4">
        <v>0.125</v>
      </c>
      <c r="Y24" s="4" t="s">
        <v>831</v>
      </c>
      <c r="Z24" s="4">
        <v>33.94</v>
      </c>
      <c r="AA24" s="4" t="s">
        <v>831</v>
      </c>
      <c r="AB24" s="4">
        <v>41</v>
      </c>
      <c r="AC24" s="4" t="s">
        <v>831</v>
      </c>
      <c r="AD24" s="4">
        <v>65.659000000000006</v>
      </c>
      <c r="AE24" s="4">
        <f>IF(ISBLANK(t_omie_evol[[#This Row],[Omie media diaria]]),$X$39,t_omie_evol[[#This Row],[demanda GWh]])</f>
        <v>527.29999999999995</v>
      </c>
    </row>
    <row r="25" spans="1:31" x14ac:dyDescent="0.2">
      <c r="A25" s="4">
        <v>22</v>
      </c>
      <c r="B25" s="4">
        <v>7.2</v>
      </c>
      <c r="C25" s="4">
        <v>171.15</v>
      </c>
      <c r="D25" s="4">
        <v>113.32</v>
      </c>
      <c r="E25" s="4">
        <v>95.31</v>
      </c>
      <c r="G25" s="4">
        <v>22</v>
      </c>
      <c r="I25" s="4">
        <v>34.35</v>
      </c>
      <c r="K25" s="4">
        <v>22</v>
      </c>
      <c r="M25" s="4">
        <v>70.97</v>
      </c>
      <c r="O25" s="4">
        <v>22</v>
      </c>
      <c r="P25" s="4">
        <v>52.048999999999999</v>
      </c>
      <c r="S25" s="4">
        <v>0.38800000000000001</v>
      </c>
      <c r="U25" s="4">
        <v>0</v>
      </c>
      <c r="W25" s="4">
        <v>0.125</v>
      </c>
      <c r="Y25" s="4" t="s">
        <v>831</v>
      </c>
      <c r="Z25" s="4">
        <v>33.94</v>
      </c>
      <c r="AA25" s="4" t="s">
        <v>831</v>
      </c>
      <c r="AB25" s="4">
        <v>41</v>
      </c>
      <c r="AC25" s="4" t="s">
        <v>831</v>
      </c>
      <c r="AD25" s="4">
        <v>65.659000000000006</v>
      </c>
      <c r="AE25" s="4">
        <f>IF(ISBLANK(t_omie_evol[[#This Row],[Omie media diaria]]),$X$39,t_omie_evol[[#This Row],[demanda GWh]])</f>
        <v>527.29999999999995</v>
      </c>
    </row>
    <row r="26" spans="1:31" x14ac:dyDescent="0.2">
      <c r="A26" s="4">
        <v>23</v>
      </c>
      <c r="B26" s="4">
        <v>69.64</v>
      </c>
      <c r="C26" s="4">
        <v>120.47</v>
      </c>
      <c r="D26" s="4">
        <v>68.900000000000006</v>
      </c>
      <c r="E26" s="4">
        <v>87.43</v>
      </c>
      <c r="G26" s="4">
        <v>23</v>
      </c>
      <c r="I26" s="4">
        <v>34.35</v>
      </c>
      <c r="K26" s="4">
        <v>23</v>
      </c>
      <c r="M26" s="4">
        <v>70.97</v>
      </c>
      <c r="O26" s="4">
        <v>23</v>
      </c>
      <c r="P26" s="4">
        <v>52.048999999999999</v>
      </c>
      <c r="S26" s="4">
        <v>0.38800000000000001</v>
      </c>
      <c r="U26" s="4">
        <v>0</v>
      </c>
      <c r="W26" s="4">
        <v>0.125</v>
      </c>
      <c r="Y26" s="4" t="s">
        <v>831</v>
      </c>
      <c r="Z26" s="4">
        <v>33.94</v>
      </c>
      <c r="AA26" s="4" t="s">
        <v>831</v>
      </c>
      <c r="AB26" s="4">
        <v>41</v>
      </c>
      <c r="AC26" s="4" t="s">
        <v>831</v>
      </c>
      <c r="AD26" s="4">
        <v>65.659000000000006</v>
      </c>
      <c r="AE26" s="4">
        <f>IF(ISBLANK(t_omie_evol[[#This Row],[Omie media diaria]]),$X$39,t_omie_evol[[#This Row],[demanda GWh]])</f>
        <v>527.29999999999995</v>
      </c>
    </row>
    <row r="27" spans="1:31" x14ac:dyDescent="0.2">
      <c r="A27" s="4">
        <v>24</v>
      </c>
      <c r="D27" s="4">
        <v>81.36</v>
      </c>
      <c r="E27" s="4">
        <v>77.349999999999994</v>
      </c>
      <c r="G27" s="4">
        <v>24</v>
      </c>
      <c r="I27" s="4">
        <v>34.35</v>
      </c>
      <c r="K27" s="4">
        <v>24</v>
      </c>
      <c r="M27" s="4">
        <v>70.97</v>
      </c>
      <c r="O27" s="4">
        <v>24</v>
      </c>
      <c r="P27" s="4">
        <v>52.048999999999999</v>
      </c>
      <c r="S27" s="4">
        <v>0.38800000000000001</v>
      </c>
      <c r="U27" s="4">
        <v>0</v>
      </c>
      <c r="W27" s="4">
        <v>0.125</v>
      </c>
      <c r="Y27" s="4" t="s">
        <v>831</v>
      </c>
      <c r="Z27" s="4">
        <v>33.94</v>
      </c>
      <c r="AA27" s="4" t="s">
        <v>831</v>
      </c>
      <c r="AB27" s="4">
        <v>41</v>
      </c>
      <c r="AC27" s="4" t="s">
        <v>831</v>
      </c>
      <c r="AD27" s="4">
        <v>65.659000000000006</v>
      </c>
      <c r="AE27" s="4">
        <f>IF(ISBLANK(t_omie_evol[[#This Row],[Omie media diaria]]),$X$39,t_omie_evol[[#This Row],[demanda GWh]])</f>
        <v>527.29999999999995</v>
      </c>
    </row>
    <row r="28" spans="1:31" x14ac:dyDescent="0.2">
      <c r="G28" s="4">
        <v>25</v>
      </c>
      <c r="I28" s="4">
        <v>34.35</v>
      </c>
      <c r="K28" s="4">
        <v>25</v>
      </c>
      <c r="M28" s="4">
        <v>70.97</v>
      </c>
      <c r="O28" s="4">
        <v>25</v>
      </c>
      <c r="P28" s="4">
        <v>52.048999999999999</v>
      </c>
      <c r="S28" s="4">
        <v>0.38800000000000001</v>
      </c>
      <c r="U28" s="4">
        <v>0</v>
      </c>
      <c r="W28" s="4">
        <v>0.125</v>
      </c>
      <c r="Y28" s="4" t="s">
        <v>831</v>
      </c>
      <c r="Z28" s="4">
        <v>33.94</v>
      </c>
      <c r="AA28" s="4" t="s">
        <v>831</v>
      </c>
      <c r="AB28" s="4">
        <v>41</v>
      </c>
      <c r="AC28" s="4" t="s">
        <v>831</v>
      </c>
      <c r="AD28" s="4">
        <v>65.659000000000006</v>
      </c>
      <c r="AE28" s="4">
        <f>IF(ISBLANK(t_omie_evol[[#This Row],[Omie media diaria]]),$X$39,t_omie_evol[[#This Row],[demanda GWh]])</f>
        <v>527.29999999999995</v>
      </c>
    </row>
    <row r="29" spans="1:31" x14ac:dyDescent="0.2">
      <c r="G29" s="4">
        <v>26</v>
      </c>
      <c r="I29" s="4">
        <v>34.35</v>
      </c>
      <c r="K29" s="4">
        <v>26</v>
      </c>
      <c r="M29" s="4">
        <v>70.97</v>
      </c>
      <c r="O29" s="4">
        <v>26</v>
      </c>
      <c r="P29" s="4">
        <v>52.048999999999999</v>
      </c>
      <c r="S29" s="4">
        <v>0.38800000000000001</v>
      </c>
      <c r="U29" s="4">
        <v>0</v>
      </c>
      <c r="W29" s="4">
        <v>0.125</v>
      </c>
      <c r="Y29" s="4" t="s">
        <v>831</v>
      </c>
      <c r="Z29" s="4">
        <v>33.94</v>
      </c>
      <c r="AA29" s="4" t="s">
        <v>831</v>
      </c>
      <c r="AB29" s="4">
        <v>41</v>
      </c>
      <c r="AC29" s="4" t="s">
        <v>831</v>
      </c>
      <c r="AD29" s="4">
        <v>65.659000000000006</v>
      </c>
      <c r="AE29" s="4">
        <f>IF(ISBLANK(t_omie_evol[[#This Row],[Omie media diaria]]),$X$39,t_omie_evol[[#This Row],[demanda GWh]])</f>
        <v>527.29999999999995</v>
      </c>
    </row>
    <row r="30" spans="1:31" x14ac:dyDescent="0.2">
      <c r="G30" s="4">
        <v>27</v>
      </c>
      <c r="I30" s="4">
        <v>34.35</v>
      </c>
      <c r="K30" s="4">
        <v>27</v>
      </c>
      <c r="M30" s="4">
        <v>70.97</v>
      </c>
      <c r="O30" s="4">
        <v>27</v>
      </c>
      <c r="P30" s="4">
        <v>52.048999999999999</v>
      </c>
      <c r="S30" s="4">
        <v>0.38800000000000001</v>
      </c>
      <c r="U30" s="4">
        <v>0</v>
      </c>
      <c r="W30" s="4">
        <v>0.125</v>
      </c>
      <c r="Y30" s="4" t="s">
        <v>831</v>
      </c>
      <c r="Z30" s="4">
        <v>33.94</v>
      </c>
      <c r="AA30" s="4" t="s">
        <v>831</v>
      </c>
      <c r="AB30" s="4">
        <v>41</v>
      </c>
      <c r="AC30" s="4" t="s">
        <v>831</v>
      </c>
      <c r="AD30" s="4">
        <v>65.659000000000006</v>
      </c>
      <c r="AE30" s="4">
        <f>IF(ISBLANK(t_omie_evol[[#This Row],[Omie media diaria]]),$X$39,t_omie_evol[[#This Row],[demanda GWh]])</f>
        <v>527.29999999999995</v>
      </c>
    </row>
    <row r="31" spans="1:31" x14ac:dyDescent="0.2">
      <c r="G31" s="4">
        <v>28</v>
      </c>
      <c r="I31" s="4">
        <v>34.35</v>
      </c>
      <c r="K31" s="4">
        <v>28</v>
      </c>
      <c r="M31" s="4">
        <v>70.97</v>
      </c>
      <c r="O31" s="4">
        <v>28</v>
      </c>
      <c r="P31" s="4">
        <v>52.048999999999999</v>
      </c>
      <c r="S31" s="4">
        <v>0.38800000000000001</v>
      </c>
      <c r="U31" s="4">
        <v>0</v>
      </c>
      <c r="W31" s="4">
        <v>0.125</v>
      </c>
      <c r="Y31" s="4" t="s">
        <v>831</v>
      </c>
      <c r="Z31" s="4">
        <v>33.94</v>
      </c>
      <c r="AA31" s="4" t="s">
        <v>831</v>
      </c>
      <c r="AB31" s="4">
        <v>41</v>
      </c>
      <c r="AC31" s="4" t="s">
        <v>831</v>
      </c>
      <c r="AD31" s="4">
        <v>65.659000000000006</v>
      </c>
      <c r="AE31" s="4">
        <f>IF(ISBLANK(t_omie_evol[[#This Row],[Omie media diaria]]),$X$39,t_omie_evol[[#This Row],[demanda GWh]])</f>
        <v>527.29999999999995</v>
      </c>
    </row>
    <row r="32" spans="1:31" x14ac:dyDescent="0.2">
      <c r="G32" s="4">
        <v>29</v>
      </c>
      <c r="I32" s="4">
        <v>34.35</v>
      </c>
      <c r="K32" s="4">
        <v>29</v>
      </c>
      <c r="M32" s="4">
        <v>70.97</v>
      </c>
      <c r="O32" s="4">
        <v>29</v>
      </c>
      <c r="P32" s="4">
        <v>52.048999999999999</v>
      </c>
      <c r="S32" s="4">
        <v>0.38800000000000001</v>
      </c>
      <c r="U32" s="4">
        <v>0</v>
      </c>
      <c r="W32" s="4">
        <v>0.125</v>
      </c>
      <c r="Y32" s="4" t="s">
        <v>831</v>
      </c>
      <c r="Z32" s="4">
        <v>33.94</v>
      </c>
      <c r="AA32" s="4" t="s">
        <v>831</v>
      </c>
      <c r="AB32" s="4">
        <v>41</v>
      </c>
      <c r="AC32" s="4" t="s">
        <v>831</v>
      </c>
      <c r="AD32" s="4">
        <v>65.659000000000006</v>
      </c>
      <c r="AE32" s="4">
        <f>IF(ISBLANK(t_omie_evol[[#This Row],[Omie media diaria]]),$X$39,t_omie_evol[[#This Row],[demanda GWh]])</f>
        <v>527.29999999999995</v>
      </c>
    </row>
    <row r="33" spans="7:31" x14ac:dyDescent="0.2">
      <c r="G33" s="4">
        <v>30</v>
      </c>
      <c r="I33" s="4">
        <v>34.35</v>
      </c>
      <c r="K33" s="4">
        <v>30</v>
      </c>
      <c r="M33" s="4">
        <v>70.97</v>
      </c>
      <c r="O33" s="4">
        <v>30</v>
      </c>
      <c r="P33" s="4">
        <v>52.048999999999999</v>
      </c>
      <c r="S33" s="4">
        <v>0.38800000000000001</v>
      </c>
      <c r="U33" s="4">
        <v>0</v>
      </c>
      <c r="W33" s="4">
        <v>0.125</v>
      </c>
      <c r="Y33" s="4" t="s">
        <v>831</v>
      </c>
      <c r="Z33" s="4">
        <v>33.94</v>
      </c>
      <c r="AA33" s="4" t="s">
        <v>831</v>
      </c>
      <c r="AB33" s="4">
        <v>41</v>
      </c>
      <c r="AC33" s="4" t="s">
        <v>831</v>
      </c>
      <c r="AD33" s="4">
        <v>65.659000000000006</v>
      </c>
      <c r="AE33" s="4">
        <f>IF(ISBLANK(t_omie_evol[[#This Row],[Omie media diaria]]),$X$39,t_omie_evol[[#This Row],[demanda GWh]])</f>
        <v>527.29999999999995</v>
      </c>
    </row>
    <row r="34" spans="7:31" x14ac:dyDescent="0.2">
      <c r="G34" s="4">
        <v>31</v>
      </c>
      <c r="K34" s="4">
        <v>31</v>
      </c>
      <c r="M34" s="4">
        <v>70.97</v>
      </c>
      <c r="O34" s="4">
        <v>31</v>
      </c>
      <c r="P34" s="4">
        <v>52.048999999999999</v>
      </c>
      <c r="S34" s="4">
        <v>0.38800000000000001</v>
      </c>
      <c r="U34" s="4">
        <v>0</v>
      </c>
      <c r="W34" s="4">
        <v>0.125</v>
      </c>
      <c r="Y34" s="4" t="s">
        <v>831</v>
      </c>
      <c r="Z34" s="4">
        <v>33.94</v>
      </c>
      <c r="AA34" s="4" t="s">
        <v>831</v>
      </c>
      <c r="AB34" s="4">
        <v>41</v>
      </c>
      <c r="AC34" s="4" t="s">
        <v>831</v>
      </c>
      <c r="AD34" s="4">
        <v>65.659000000000006</v>
      </c>
      <c r="AE34" s="4">
        <f>IF(ISBLANK(t_omie_evol[[#This Row],[Omie media diaria]]),$X$39,t_omie_evol[[#This Row],[demanda GWh]])</f>
        <v>527.29999999999995</v>
      </c>
    </row>
    <row r="38" spans="7:31" x14ac:dyDescent="0.2">
      <c r="W38" s="4" t="s">
        <v>488</v>
      </c>
      <c r="X38" s="4">
        <f>SUM(t_omie_evol[demanda GWh])</f>
        <v>5273</v>
      </c>
    </row>
    <row r="39" spans="7:31" x14ac:dyDescent="0.2">
      <c r="W39" s="4" t="s">
        <v>489</v>
      </c>
      <c r="X39" s="4">
        <f>AVERAGE(t_omie_evol[demanda GWh])</f>
        <v>527.29999999999995</v>
      </c>
    </row>
  </sheetData>
  <mergeCells count="1">
    <mergeCell ref="A1:E1"/>
  </mergeCells>
  <phoneticPr fontId="9" type="noConversion"/>
  <pageMargins left="0.7" right="0.7" top="0.75" bottom="0.75" header="0.3" footer="0.3"/>
  <tableParts count="4">
    <tablePart r:id="rId1"/>
    <tablePart r:id="rId2"/>
    <tablePart r:id="rId3"/>
    <tablePart r:id="rId4"/>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58367D-8504-4BDF-ABD5-7EE3FD88A874}">
  <sheetPr codeName="Hoja6"/>
  <dimension ref="A1:AH94"/>
  <sheetViews>
    <sheetView topLeftCell="E1" workbookViewId="0">
      <selection activeCell="AE11" sqref="AE11"/>
    </sheetView>
  </sheetViews>
  <sheetFormatPr baseColWidth="10" defaultRowHeight="12" x14ac:dyDescent="0.2"/>
  <cols>
    <col min="1" max="1" width="8.42578125" bestFit="1" customWidth="1"/>
    <col min="2" max="2" width="10.140625" bestFit="1" customWidth="1"/>
    <col min="3" max="3" width="28.7109375" bestFit="1" customWidth="1"/>
    <col min="4" max="4" width="18.28515625" bestFit="1" customWidth="1"/>
    <col min="5" max="5" width="8.5703125" bestFit="1" customWidth="1"/>
    <col min="6" max="6" width="12.140625" bestFit="1" customWidth="1"/>
    <col min="7" max="7" width="2.5703125" customWidth="1"/>
    <col min="8" max="8" width="8.140625" customWidth="1"/>
    <col min="9" max="9" width="8.7109375" customWidth="1"/>
    <col min="10" max="10" width="29" bestFit="1" customWidth="1"/>
    <col min="11" max="11" width="13.140625" bestFit="1" customWidth="1"/>
    <col min="12" max="12" width="10.7109375" bestFit="1" customWidth="1"/>
    <col min="13" max="13" width="12.140625" customWidth="1"/>
    <col min="14" max="14" width="3.5703125" customWidth="1"/>
    <col min="15" max="15" width="8.7109375" bestFit="1" customWidth="1"/>
    <col min="16" max="16" width="12.28515625" bestFit="1" customWidth="1"/>
    <col min="17" max="17" width="26.85546875" bestFit="1" customWidth="1"/>
    <col min="18" max="18" width="12.140625" bestFit="1" customWidth="1"/>
    <col min="19" max="20" width="10.7109375" bestFit="1" customWidth="1"/>
    <col min="21" max="21" width="2.85546875" customWidth="1"/>
    <col min="22" max="22" width="8" bestFit="1" customWidth="1"/>
    <col min="23" max="23" width="12.28515625" bestFit="1" customWidth="1"/>
    <col min="24" max="24" width="26.85546875" bestFit="1" customWidth="1"/>
    <col min="25" max="25" width="12.140625" bestFit="1" customWidth="1"/>
    <col min="26" max="26" width="10.7109375" bestFit="1" customWidth="1"/>
    <col min="27" max="27" width="12.42578125" bestFit="1" customWidth="1"/>
    <col min="28" max="28" width="3.42578125" customWidth="1"/>
  </cols>
  <sheetData>
    <row r="1" spans="1:34" s="60" customFormat="1" ht="24" x14ac:dyDescent="0.2">
      <c r="A1" s="59" t="s">
        <v>3</v>
      </c>
      <c r="B1" s="60" t="s">
        <v>12</v>
      </c>
      <c r="C1" s="60" t="s">
        <v>0</v>
      </c>
      <c r="D1" s="60" t="s">
        <v>1</v>
      </c>
      <c r="E1" s="60" t="s">
        <v>5</v>
      </c>
      <c r="F1" s="60" t="s">
        <v>7</v>
      </c>
      <c r="H1" s="59" t="s">
        <v>3</v>
      </c>
      <c r="I1" s="60" t="s">
        <v>12</v>
      </c>
      <c r="J1" s="60" t="s">
        <v>0</v>
      </c>
      <c r="K1" s="60" t="s">
        <v>1</v>
      </c>
      <c r="L1" s="60" t="s">
        <v>5</v>
      </c>
      <c r="M1" s="60" t="s">
        <v>7</v>
      </c>
      <c r="O1" s="60" t="s">
        <v>3</v>
      </c>
      <c r="P1" s="60" t="s">
        <v>12</v>
      </c>
      <c r="Q1" s="60" t="s">
        <v>0</v>
      </c>
      <c r="R1" s="60" t="s">
        <v>1</v>
      </c>
      <c r="S1" s="60" t="s">
        <v>5</v>
      </c>
      <c r="T1" s="60" t="s">
        <v>7</v>
      </c>
      <c r="V1" s="59" t="s">
        <v>3</v>
      </c>
      <c r="W1" s="60" t="s">
        <v>12</v>
      </c>
      <c r="X1" s="60" t="s">
        <v>0</v>
      </c>
      <c r="Y1" s="60" t="s">
        <v>1</v>
      </c>
      <c r="Z1" s="60" t="s">
        <v>5</v>
      </c>
      <c r="AA1" s="60" t="s">
        <v>7</v>
      </c>
      <c r="AC1" t="s">
        <v>3</v>
      </c>
      <c r="AD1" t="s">
        <v>12</v>
      </c>
      <c r="AE1" t="s">
        <v>0</v>
      </c>
      <c r="AF1" t="s">
        <v>1</v>
      </c>
      <c r="AG1" t="s">
        <v>5</v>
      </c>
      <c r="AH1" t="s">
        <v>7</v>
      </c>
    </row>
    <row r="2" spans="1:34" x14ac:dyDescent="0.2">
      <c r="A2" t="s">
        <v>99</v>
      </c>
      <c r="B2">
        <v>8</v>
      </c>
      <c r="C2" t="s">
        <v>226</v>
      </c>
      <c r="D2">
        <v>75.349999999999994</v>
      </c>
      <c r="E2">
        <v>1.25</v>
      </c>
      <c r="F2" s="43">
        <v>1.6869095816464237E-2</v>
      </c>
      <c r="H2" t="s">
        <v>266</v>
      </c>
      <c r="I2">
        <v>11</v>
      </c>
      <c r="J2" t="s">
        <v>328</v>
      </c>
      <c r="K2">
        <v>65.2</v>
      </c>
      <c r="L2">
        <v>25.200000000000003</v>
      </c>
      <c r="M2" s="43">
        <v>0.63000000000000012</v>
      </c>
      <c r="O2" t="s">
        <v>417</v>
      </c>
      <c r="P2">
        <v>4</v>
      </c>
      <c r="Q2" t="s">
        <v>226</v>
      </c>
      <c r="R2">
        <v>24.8</v>
      </c>
      <c r="S2">
        <v>4.5199999999999996</v>
      </c>
      <c r="T2" s="43">
        <v>0.22287968441814593</v>
      </c>
      <c r="V2" t="s">
        <v>146</v>
      </c>
      <c r="W2">
        <v>20</v>
      </c>
      <c r="X2" t="s">
        <v>328</v>
      </c>
      <c r="Y2">
        <v>27.6</v>
      </c>
      <c r="Z2">
        <v>22.380000000000003</v>
      </c>
      <c r="AA2" s="43">
        <v>4.2873563218390816</v>
      </c>
      <c r="AC2" t="s">
        <v>563</v>
      </c>
      <c r="AD2">
        <v>4</v>
      </c>
      <c r="AE2" t="s">
        <v>328</v>
      </c>
      <c r="AF2">
        <v>30</v>
      </c>
      <c r="AG2">
        <v>-0.39999999999999858</v>
      </c>
      <c r="AH2">
        <v>1.3157894736842059E-2</v>
      </c>
    </row>
    <row r="3" spans="1:34" x14ac:dyDescent="0.2">
      <c r="A3" t="s">
        <v>99</v>
      </c>
      <c r="B3">
        <v>16</v>
      </c>
      <c r="C3" t="s">
        <v>221</v>
      </c>
      <c r="D3">
        <v>78.28</v>
      </c>
      <c r="E3">
        <v>4.1800000000000068</v>
      </c>
      <c r="F3" s="43">
        <v>5.6410256410256508E-2</v>
      </c>
      <c r="H3" t="s">
        <v>266</v>
      </c>
      <c r="I3">
        <v>7</v>
      </c>
      <c r="J3" t="s">
        <v>226</v>
      </c>
      <c r="K3">
        <v>62.5</v>
      </c>
      <c r="L3">
        <v>22.5</v>
      </c>
      <c r="M3" s="43">
        <v>0.5625</v>
      </c>
      <c r="O3" t="s">
        <v>417</v>
      </c>
      <c r="P3">
        <v>2</v>
      </c>
      <c r="Q3" t="s">
        <v>221</v>
      </c>
      <c r="R3">
        <v>23.49</v>
      </c>
      <c r="S3">
        <v>3.2099999999999973</v>
      </c>
      <c r="T3" s="43">
        <v>0.15828402366863892</v>
      </c>
      <c r="V3" t="s">
        <v>146</v>
      </c>
      <c r="W3">
        <v>9</v>
      </c>
      <c r="X3" t="s">
        <v>226</v>
      </c>
      <c r="Y3">
        <v>22.51</v>
      </c>
      <c r="Z3">
        <v>17.290000000000003</v>
      </c>
      <c r="AA3" s="43">
        <v>3.3122605363984681</v>
      </c>
      <c r="AC3" t="s">
        <v>563</v>
      </c>
      <c r="AD3">
        <v>29</v>
      </c>
      <c r="AE3" t="s">
        <v>226</v>
      </c>
      <c r="AF3">
        <v>24.39</v>
      </c>
      <c r="AG3">
        <v>-6.009999999999998</v>
      </c>
      <c r="AH3">
        <v>0.19769736842105257</v>
      </c>
    </row>
    <row r="4" spans="1:34" x14ac:dyDescent="0.2">
      <c r="A4" t="s">
        <v>99</v>
      </c>
      <c r="B4">
        <v>18</v>
      </c>
      <c r="C4" t="s">
        <v>9</v>
      </c>
      <c r="D4">
        <v>80</v>
      </c>
      <c r="E4">
        <v>5.9000000000000057</v>
      </c>
      <c r="F4" s="43">
        <v>7.9622132253711286E-2</v>
      </c>
      <c r="H4" t="s">
        <v>266</v>
      </c>
      <c r="I4">
        <v>35</v>
      </c>
      <c r="J4" t="s">
        <v>338</v>
      </c>
      <c r="K4">
        <v>89.24</v>
      </c>
      <c r="L4">
        <v>49.239999999999995</v>
      </c>
      <c r="M4" s="43">
        <v>1.2309999999999999</v>
      </c>
      <c r="O4" t="s">
        <v>417</v>
      </c>
      <c r="P4">
        <v>17</v>
      </c>
      <c r="Q4" t="s">
        <v>9</v>
      </c>
      <c r="R4">
        <v>45</v>
      </c>
      <c r="S4">
        <v>24.72</v>
      </c>
      <c r="T4" s="43">
        <v>1.2189349112426033</v>
      </c>
      <c r="V4" t="s">
        <v>146</v>
      </c>
      <c r="W4">
        <v>4</v>
      </c>
      <c r="X4" t="s">
        <v>221</v>
      </c>
      <c r="Y4">
        <v>19.5</v>
      </c>
      <c r="Z4">
        <v>14.280000000000001</v>
      </c>
      <c r="AA4" s="43">
        <v>2.7356321839080464</v>
      </c>
      <c r="AC4" t="s">
        <v>563</v>
      </c>
      <c r="AD4">
        <v>28</v>
      </c>
      <c r="AE4" t="s">
        <v>221</v>
      </c>
      <c r="AF4">
        <v>24.93</v>
      </c>
      <c r="AG4">
        <v>-5.4699999999999989</v>
      </c>
      <c r="AH4">
        <v>0.17993421052631575</v>
      </c>
    </row>
    <row r="5" spans="1:34" x14ac:dyDescent="0.2">
      <c r="A5" t="s">
        <v>99</v>
      </c>
      <c r="B5">
        <v>10</v>
      </c>
      <c r="C5" t="s">
        <v>402</v>
      </c>
      <c r="D5">
        <v>76.040000000000006</v>
      </c>
      <c r="E5">
        <v>1.9400000000000119</v>
      </c>
      <c r="F5" s="43">
        <v>2.6180836707152658E-2</v>
      </c>
      <c r="H5" t="s">
        <v>266</v>
      </c>
      <c r="I5">
        <v>2</v>
      </c>
      <c r="J5" t="s">
        <v>221</v>
      </c>
      <c r="K5">
        <v>59.3</v>
      </c>
      <c r="L5">
        <v>19.299999999999997</v>
      </c>
      <c r="M5" s="43">
        <v>0.48249999999999993</v>
      </c>
      <c r="O5" t="s">
        <v>417</v>
      </c>
      <c r="P5">
        <v>14</v>
      </c>
      <c r="Q5" t="s">
        <v>475</v>
      </c>
      <c r="R5">
        <v>35.36</v>
      </c>
      <c r="S5">
        <v>15.079999999999998</v>
      </c>
      <c r="T5" s="43">
        <v>0.7435897435897435</v>
      </c>
      <c r="V5" t="s">
        <v>146</v>
      </c>
      <c r="W5">
        <v>25</v>
      </c>
      <c r="X5" t="s">
        <v>9</v>
      </c>
      <c r="Y5">
        <v>40</v>
      </c>
      <c r="Z5">
        <v>34.78</v>
      </c>
      <c r="AA5" s="43">
        <v>6.6628352490421463</v>
      </c>
      <c r="AC5" t="s">
        <v>563</v>
      </c>
      <c r="AD5">
        <v>21</v>
      </c>
      <c r="AE5" t="s">
        <v>9</v>
      </c>
      <c r="AF5">
        <v>35</v>
      </c>
      <c r="AG5">
        <v>4.6000000000000014</v>
      </c>
      <c r="AH5">
        <v>0.15131578947368426</v>
      </c>
    </row>
    <row r="6" spans="1:34" x14ac:dyDescent="0.2">
      <c r="A6" t="s">
        <v>99</v>
      </c>
      <c r="B6">
        <v>7</v>
      </c>
      <c r="C6" t="s">
        <v>216</v>
      </c>
      <c r="D6">
        <v>75.150000000000006</v>
      </c>
      <c r="E6">
        <v>1.0500000000000114</v>
      </c>
      <c r="F6" s="43">
        <v>1.4170040485830114E-2</v>
      </c>
      <c r="H6" t="s">
        <v>266</v>
      </c>
      <c r="I6">
        <v>15</v>
      </c>
      <c r="J6" t="s">
        <v>9</v>
      </c>
      <c r="K6">
        <v>68</v>
      </c>
      <c r="L6">
        <v>28</v>
      </c>
      <c r="M6" s="43">
        <v>0.7</v>
      </c>
      <c r="O6" t="s">
        <v>417</v>
      </c>
      <c r="P6">
        <v>11</v>
      </c>
      <c r="Q6" t="s">
        <v>472</v>
      </c>
      <c r="R6">
        <v>32.57</v>
      </c>
      <c r="S6">
        <v>12.29</v>
      </c>
      <c r="T6" s="43">
        <v>0.6060157790927021</v>
      </c>
      <c r="V6" t="s">
        <v>146</v>
      </c>
      <c r="W6">
        <v>12</v>
      </c>
      <c r="X6" t="s">
        <v>544</v>
      </c>
      <c r="Y6">
        <v>23.5</v>
      </c>
      <c r="Z6">
        <v>18.28</v>
      </c>
      <c r="AA6" s="43">
        <v>3.5019157088122608</v>
      </c>
      <c r="AC6" t="s">
        <v>563</v>
      </c>
      <c r="AD6">
        <v>13</v>
      </c>
      <c r="AE6" t="s">
        <v>413</v>
      </c>
      <c r="AF6">
        <v>33.340000000000003</v>
      </c>
      <c r="AG6">
        <v>2.9400000000000048</v>
      </c>
      <c r="AH6">
        <v>9.6710526315789636E-2</v>
      </c>
    </row>
    <row r="7" spans="1:34" x14ac:dyDescent="0.2">
      <c r="A7" t="s">
        <v>99</v>
      </c>
      <c r="B7">
        <v>15</v>
      </c>
      <c r="C7" t="s">
        <v>215</v>
      </c>
      <c r="D7">
        <v>77.7</v>
      </c>
      <c r="E7">
        <v>3.6000000000000085</v>
      </c>
      <c r="F7" s="43">
        <v>4.8582995951417123E-2</v>
      </c>
      <c r="H7" t="s">
        <v>266</v>
      </c>
      <c r="I7">
        <v>23</v>
      </c>
      <c r="J7" t="s">
        <v>415</v>
      </c>
      <c r="K7">
        <v>70.099999999999994</v>
      </c>
      <c r="L7">
        <v>30.099999999999994</v>
      </c>
      <c r="M7" s="43">
        <v>0.75249999999999984</v>
      </c>
      <c r="O7" t="s">
        <v>417</v>
      </c>
      <c r="P7">
        <v>19</v>
      </c>
      <c r="Q7" t="s">
        <v>225</v>
      </c>
      <c r="R7">
        <v>46.23</v>
      </c>
      <c r="S7">
        <v>25.949999999999996</v>
      </c>
      <c r="T7" s="43">
        <v>1.2795857988165678</v>
      </c>
      <c r="V7" t="s">
        <v>146</v>
      </c>
      <c r="W7">
        <v>27</v>
      </c>
      <c r="X7" t="s">
        <v>215</v>
      </c>
      <c r="Y7">
        <v>44.5</v>
      </c>
      <c r="Z7">
        <v>39.28</v>
      </c>
      <c r="AA7" s="43">
        <v>7.5249042145593874</v>
      </c>
      <c r="AC7" t="s">
        <v>563</v>
      </c>
      <c r="AD7">
        <v>35</v>
      </c>
      <c r="AE7" t="s">
        <v>215</v>
      </c>
      <c r="AF7">
        <v>41.1</v>
      </c>
      <c r="AG7">
        <v>10.700000000000003</v>
      </c>
      <c r="AH7">
        <v>0.35197368421052644</v>
      </c>
    </row>
    <row r="8" spans="1:34" x14ac:dyDescent="0.2">
      <c r="A8" t="s">
        <v>99</v>
      </c>
      <c r="B8">
        <v>17</v>
      </c>
      <c r="C8" t="s">
        <v>335</v>
      </c>
      <c r="D8">
        <v>79.3</v>
      </c>
      <c r="E8">
        <v>5.2000000000000028</v>
      </c>
      <c r="F8" s="43">
        <v>7.0175438596491266E-2</v>
      </c>
      <c r="H8" t="s">
        <v>266</v>
      </c>
      <c r="I8">
        <v>26</v>
      </c>
      <c r="J8" t="s">
        <v>413</v>
      </c>
      <c r="K8">
        <v>72.2</v>
      </c>
      <c r="L8">
        <v>32.200000000000003</v>
      </c>
      <c r="M8" s="43">
        <v>0.80500000000000005</v>
      </c>
      <c r="O8" t="s">
        <v>417</v>
      </c>
      <c r="P8">
        <v>18</v>
      </c>
      <c r="Q8" t="s">
        <v>217</v>
      </c>
      <c r="R8">
        <v>45.01</v>
      </c>
      <c r="S8">
        <v>24.729999999999997</v>
      </c>
      <c r="T8" s="43">
        <v>1.2194280078895461</v>
      </c>
      <c r="V8" t="s">
        <v>146</v>
      </c>
      <c r="W8">
        <v>2</v>
      </c>
      <c r="X8" t="s">
        <v>541</v>
      </c>
      <c r="Y8">
        <v>17.329999999999998</v>
      </c>
      <c r="Z8">
        <v>12.11</v>
      </c>
      <c r="AA8" s="43">
        <v>2.3199233716475094</v>
      </c>
      <c r="AC8" t="s">
        <v>563</v>
      </c>
      <c r="AD8">
        <v>18</v>
      </c>
      <c r="AE8" t="s">
        <v>335</v>
      </c>
      <c r="AF8">
        <v>34.21</v>
      </c>
      <c r="AG8">
        <v>3.8100000000000023</v>
      </c>
      <c r="AH8">
        <v>0.12532894736842112</v>
      </c>
    </row>
    <row r="9" spans="1:34" x14ac:dyDescent="0.2">
      <c r="A9" t="s">
        <v>99</v>
      </c>
      <c r="B9">
        <v>24</v>
      </c>
      <c r="C9" t="s">
        <v>225</v>
      </c>
      <c r="D9">
        <v>85.32</v>
      </c>
      <c r="E9">
        <v>11.219999999999999</v>
      </c>
      <c r="F9" s="43">
        <v>0.15141700404858299</v>
      </c>
      <c r="H9" t="s">
        <v>266</v>
      </c>
      <c r="I9">
        <v>17</v>
      </c>
      <c r="J9" t="s">
        <v>215</v>
      </c>
      <c r="K9">
        <v>68.95</v>
      </c>
      <c r="L9">
        <v>28.950000000000003</v>
      </c>
      <c r="M9" s="43">
        <v>0.72375000000000012</v>
      </c>
      <c r="O9" t="s">
        <v>417</v>
      </c>
      <c r="P9">
        <v>23</v>
      </c>
      <c r="Q9" t="s">
        <v>409</v>
      </c>
      <c r="R9">
        <v>55.69</v>
      </c>
      <c r="S9">
        <v>35.409999999999997</v>
      </c>
      <c r="T9" s="43">
        <v>1.7460552268244574</v>
      </c>
      <c r="V9" t="s">
        <v>146</v>
      </c>
      <c r="W9">
        <v>11</v>
      </c>
      <c r="X9" t="s">
        <v>225</v>
      </c>
      <c r="Y9">
        <v>23.32</v>
      </c>
      <c r="Z9">
        <v>18.100000000000001</v>
      </c>
      <c r="AA9" s="43">
        <v>3.4674329501915713</v>
      </c>
      <c r="AC9" t="s">
        <v>563</v>
      </c>
      <c r="AD9">
        <v>19</v>
      </c>
      <c r="AE9" t="s">
        <v>654</v>
      </c>
      <c r="AF9">
        <v>34.47</v>
      </c>
      <c r="AG9">
        <v>4.07</v>
      </c>
      <c r="AH9">
        <v>0.13388157894736843</v>
      </c>
    </row>
    <row r="10" spans="1:34" x14ac:dyDescent="0.2">
      <c r="A10" t="s">
        <v>99</v>
      </c>
      <c r="B10">
        <v>31</v>
      </c>
      <c r="C10" t="s">
        <v>217</v>
      </c>
      <c r="D10">
        <v>59.5</v>
      </c>
      <c r="E10">
        <v>-14.599999999999994</v>
      </c>
      <c r="F10" s="43">
        <v>0.19703103913630224</v>
      </c>
      <c r="H10" t="s">
        <v>266</v>
      </c>
      <c r="I10">
        <v>16</v>
      </c>
      <c r="J10" t="s">
        <v>335</v>
      </c>
      <c r="K10">
        <v>68.099999999999994</v>
      </c>
      <c r="L10">
        <v>28.099999999999994</v>
      </c>
      <c r="M10" s="43">
        <v>0.7024999999999999</v>
      </c>
      <c r="O10" t="s">
        <v>417</v>
      </c>
      <c r="P10">
        <v>15</v>
      </c>
      <c r="Q10" t="s">
        <v>362</v>
      </c>
      <c r="R10">
        <v>35.6</v>
      </c>
      <c r="S10">
        <v>15.32</v>
      </c>
      <c r="T10" s="43">
        <v>0.75542406311637078</v>
      </c>
      <c r="V10" t="s">
        <v>146</v>
      </c>
      <c r="W10">
        <v>22</v>
      </c>
      <c r="X10" t="s">
        <v>217</v>
      </c>
      <c r="Y10">
        <v>33.33</v>
      </c>
      <c r="Z10">
        <v>28.11</v>
      </c>
      <c r="AA10" s="43">
        <v>5.3850574712643677</v>
      </c>
      <c r="AC10" t="s">
        <v>563</v>
      </c>
      <c r="AD10">
        <v>39</v>
      </c>
      <c r="AE10" t="s">
        <v>653</v>
      </c>
      <c r="AF10">
        <v>13.1</v>
      </c>
      <c r="AG10">
        <v>-17.299999999999997</v>
      </c>
      <c r="AH10">
        <v>0.56907894736842102</v>
      </c>
    </row>
    <row r="11" spans="1:34" x14ac:dyDescent="0.2">
      <c r="A11" t="s">
        <v>99</v>
      </c>
      <c r="B11">
        <v>21</v>
      </c>
      <c r="C11" t="s">
        <v>409</v>
      </c>
      <c r="D11">
        <v>81.69</v>
      </c>
      <c r="E11">
        <v>7.5900000000000034</v>
      </c>
      <c r="F11" s="43">
        <v>0.10242914979757091</v>
      </c>
      <c r="H11" t="s">
        <v>266</v>
      </c>
      <c r="I11">
        <v>6</v>
      </c>
      <c r="J11" t="s">
        <v>340</v>
      </c>
      <c r="K11">
        <v>61.53</v>
      </c>
      <c r="L11">
        <v>21.53</v>
      </c>
      <c r="M11" s="43">
        <v>0.53825000000000001</v>
      </c>
      <c r="O11" t="s">
        <v>417</v>
      </c>
      <c r="P11">
        <v>16</v>
      </c>
      <c r="Q11" t="s">
        <v>219</v>
      </c>
      <c r="R11">
        <v>36.659999999999997</v>
      </c>
      <c r="S11">
        <v>16.379999999999995</v>
      </c>
      <c r="T11" s="43">
        <v>0.80769230769230738</v>
      </c>
      <c r="V11" t="s">
        <v>146</v>
      </c>
      <c r="W11">
        <v>23</v>
      </c>
      <c r="X11" t="s">
        <v>337</v>
      </c>
      <c r="Y11">
        <v>33.340000000000003</v>
      </c>
      <c r="Z11">
        <v>28.120000000000005</v>
      </c>
      <c r="AA11" s="43">
        <v>5.3869731800766294</v>
      </c>
      <c r="AC11" t="s">
        <v>563</v>
      </c>
      <c r="AD11">
        <v>24</v>
      </c>
      <c r="AE11" t="s">
        <v>541</v>
      </c>
      <c r="AF11">
        <v>35.33</v>
      </c>
      <c r="AG11">
        <v>4.93</v>
      </c>
      <c r="AH11">
        <v>0.16217105263157894</v>
      </c>
    </row>
    <row r="12" spans="1:34" x14ac:dyDescent="0.2">
      <c r="A12" t="s">
        <v>99</v>
      </c>
      <c r="B12">
        <v>2</v>
      </c>
      <c r="C12" t="s">
        <v>362</v>
      </c>
      <c r="D12">
        <v>74.3</v>
      </c>
      <c r="E12">
        <v>0.20000000000000284</v>
      </c>
      <c r="F12" s="43">
        <v>2.6990553306343165E-3</v>
      </c>
      <c r="H12" t="s">
        <v>266</v>
      </c>
      <c r="I12">
        <v>27</v>
      </c>
      <c r="J12" t="s">
        <v>225</v>
      </c>
      <c r="K12">
        <v>72.25</v>
      </c>
      <c r="L12">
        <v>32.25</v>
      </c>
      <c r="M12" s="43">
        <v>0.80625000000000002</v>
      </c>
      <c r="O12" t="s">
        <v>417</v>
      </c>
      <c r="P12">
        <v>1</v>
      </c>
      <c r="Q12" t="s">
        <v>474</v>
      </c>
      <c r="R12">
        <v>20.399999999999999</v>
      </c>
      <c r="S12">
        <v>0.11999999999999744</v>
      </c>
      <c r="T12" s="43">
        <v>5.9171597633134827E-3</v>
      </c>
      <c r="V12" t="s">
        <v>146</v>
      </c>
      <c r="W12">
        <v>24</v>
      </c>
      <c r="X12" t="s">
        <v>409</v>
      </c>
      <c r="Y12">
        <v>37.549999999999997</v>
      </c>
      <c r="Z12">
        <v>32.33</v>
      </c>
      <c r="AA12" s="43">
        <v>6.1934865900383143</v>
      </c>
      <c r="AC12" t="s">
        <v>563</v>
      </c>
      <c r="AD12">
        <v>41</v>
      </c>
      <c r="AE12" t="s">
        <v>225</v>
      </c>
      <c r="AF12">
        <v>11.11</v>
      </c>
      <c r="AG12">
        <v>-19.29</v>
      </c>
      <c r="AH12">
        <v>0.63453947368421049</v>
      </c>
    </row>
    <row r="13" spans="1:34" x14ac:dyDescent="0.2">
      <c r="A13" t="s">
        <v>99</v>
      </c>
      <c r="B13">
        <v>29</v>
      </c>
      <c r="C13" t="s">
        <v>219</v>
      </c>
      <c r="D13">
        <v>88.08</v>
      </c>
      <c r="E13">
        <v>13.980000000000004</v>
      </c>
      <c r="F13" s="43">
        <v>0.18866396761133611</v>
      </c>
      <c r="H13" t="s">
        <v>266</v>
      </c>
      <c r="I13">
        <v>22</v>
      </c>
      <c r="J13" t="s">
        <v>217</v>
      </c>
      <c r="K13">
        <v>69.959999999999994</v>
      </c>
      <c r="L13">
        <v>29.959999999999994</v>
      </c>
      <c r="M13" s="43">
        <v>0.74899999999999989</v>
      </c>
      <c r="O13" t="s">
        <v>417</v>
      </c>
      <c r="P13">
        <v>10</v>
      </c>
      <c r="Q13" t="s">
        <v>406</v>
      </c>
      <c r="R13">
        <v>32</v>
      </c>
      <c r="S13">
        <v>11.719999999999999</v>
      </c>
      <c r="T13" s="43">
        <v>0.57790927021696248</v>
      </c>
      <c r="V13" t="s">
        <v>146</v>
      </c>
      <c r="W13">
        <v>16</v>
      </c>
      <c r="X13" t="s">
        <v>362</v>
      </c>
      <c r="Y13">
        <v>24.2</v>
      </c>
      <c r="Z13">
        <v>18.98</v>
      </c>
      <c r="AA13" s="43">
        <v>3.6360153256704981</v>
      </c>
      <c r="AC13" t="s">
        <v>563</v>
      </c>
      <c r="AD13">
        <v>12</v>
      </c>
      <c r="AE13" t="s">
        <v>217</v>
      </c>
      <c r="AF13">
        <v>33.33</v>
      </c>
      <c r="AG13">
        <v>2.9299999999999997</v>
      </c>
      <c r="AH13">
        <v>9.6381578947368415E-2</v>
      </c>
    </row>
    <row r="14" spans="1:34" x14ac:dyDescent="0.2">
      <c r="A14" t="s">
        <v>99</v>
      </c>
      <c r="B14">
        <v>5</v>
      </c>
      <c r="C14" t="s">
        <v>223</v>
      </c>
      <c r="D14">
        <v>73.3</v>
      </c>
      <c r="E14">
        <v>-0.79999999999999716</v>
      </c>
      <c r="F14" s="43">
        <v>1.0796221322537075E-2</v>
      </c>
      <c r="H14" t="s">
        <v>266</v>
      </c>
      <c r="I14">
        <v>4</v>
      </c>
      <c r="J14" t="s">
        <v>337</v>
      </c>
      <c r="K14">
        <v>60.06</v>
      </c>
      <c r="L14">
        <v>20.060000000000002</v>
      </c>
      <c r="M14" s="43">
        <v>0.50150000000000006</v>
      </c>
      <c r="O14" t="s">
        <v>417</v>
      </c>
      <c r="P14">
        <v>3</v>
      </c>
      <c r="Q14" t="s">
        <v>336</v>
      </c>
      <c r="R14">
        <v>23.7</v>
      </c>
      <c r="S14">
        <v>3.4199999999999982</v>
      </c>
      <c r="T14" s="43">
        <v>0.16863905325443776</v>
      </c>
      <c r="V14" t="s">
        <v>146</v>
      </c>
      <c r="W14">
        <v>8</v>
      </c>
      <c r="X14" t="s">
        <v>474</v>
      </c>
      <c r="Y14">
        <v>22.5</v>
      </c>
      <c r="Z14">
        <v>17.28</v>
      </c>
      <c r="AA14" s="43">
        <v>3.3103448275862073</v>
      </c>
      <c r="AC14" t="s">
        <v>563</v>
      </c>
      <c r="AD14">
        <v>25</v>
      </c>
      <c r="AE14" t="s">
        <v>337</v>
      </c>
      <c r="AF14">
        <v>35.53</v>
      </c>
      <c r="AG14">
        <v>5.1300000000000026</v>
      </c>
      <c r="AH14">
        <v>0.16875000000000009</v>
      </c>
    </row>
    <row r="15" spans="1:34" x14ac:dyDescent="0.2">
      <c r="A15" t="s">
        <v>99</v>
      </c>
      <c r="B15">
        <v>28</v>
      </c>
      <c r="C15" t="s">
        <v>242</v>
      </c>
      <c r="D15">
        <v>60.5</v>
      </c>
      <c r="E15">
        <v>-13.599999999999994</v>
      </c>
      <c r="F15" s="43">
        <v>0.18353576248313083</v>
      </c>
      <c r="H15" t="s">
        <v>266</v>
      </c>
      <c r="I15">
        <v>19</v>
      </c>
      <c r="J15" t="s">
        <v>409</v>
      </c>
      <c r="K15">
        <v>69.62</v>
      </c>
      <c r="L15">
        <v>29.620000000000005</v>
      </c>
      <c r="M15" s="43">
        <v>0.74050000000000016</v>
      </c>
      <c r="O15" t="s">
        <v>417</v>
      </c>
      <c r="P15">
        <v>5</v>
      </c>
      <c r="Q15" t="s">
        <v>218</v>
      </c>
      <c r="R15">
        <v>26.5</v>
      </c>
      <c r="S15">
        <v>6.2199999999999989</v>
      </c>
      <c r="T15" s="43">
        <v>0.30670611439842199</v>
      </c>
      <c r="V15" t="s">
        <v>146</v>
      </c>
      <c r="W15">
        <v>7</v>
      </c>
      <c r="X15" t="s">
        <v>242</v>
      </c>
      <c r="Y15">
        <v>22</v>
      </c>
      <c r="Z15">
        <v>16.78</v>
      </c>
      <c r="AA15" s="43">
        <v>3.2145593869731806</v>
      </c>
      <c r="AC15" t="s">
        <v>563</v>
      </c>
      <c r="AD15">
        <v>30</v>
      </c>
      <c r="AE15" t="s">
        <v>806</v>
      </c>
      <c r="AF15">
        <v>23.7</v>
      </c>
      <c r="AG15">
        <v>-6.6999999999999993</v>
      </c>
      <c r="AH15">
        <v>0.22039473684210525</v>
      </c>
    </row>
    <row r="16" spans="1:34" x14ac:dyDescent="0.2">
      <c r="A16" t="s">
        <v>99</v>
      </c>
      <c r="B16">
        <v>6</v>
      </c>
      <c r="C16" t="s">
        <v>406</v>
      </c>
      <c r="D16">
        <v>75</v>
      </c>
      <c r="E16">
        <v>0.90000000000000568</v>
      </c>
      <c r="F16" s="43">
        <v>1.2145748987854329E-2</v>
      </c>
      <c r="H16" t="s">
        <v>266</v>
      </c>
      <c r="I16">
        <v>21</v>
      </c>
      <c r="J16" t="s">
        <v>362</v>
      </c>
      <c r="K16">
        <v>69.849999999999994</v>
      </c>
      <c r="L16">
        <v>29.849999999999994</v>
      </c>
      <c r="M16" s="43">
        <v>0.74624999999999986</v>
      </c>
      <c r="O16" t="s">
        <v>417</v>
      </c>
      <c r="P16">
        <v>9</v>
      </c>
      <c r="Q16" t="s">
        <v>222</v>
      </c>
      <c r="R16">
        <v>30.5</v>
      </c>
      <c r="S16">
        <v>10.219999999999999</v>
      </c>
      <c r="T16" s="43">
        <v>0.50394477317554232</v>
      </c>
      <c r="V16" t="s">
        <v>146</v>
      </c>
      <c r="W16">
        <v>21</v>
      </c>
      <c r="X16" t="s">
        <v>406</v>
      </c>
      <c r="Y16">
        <v>28.5</v>
      </c>
      <c r="Z16">
        <v>23.28</v>
      </c>
      <c r="AA16" s="43">
        <v>4.4597701149425291</v>
      </c>
      <c r="AC16" t="s">
        <v>563</v>
      </c>
      <c r="AD16">
        <v>5</v>
      </c>
      <c r="AE16" t="s">
        <v>409</v>
      </c>
      <c r="AF16">
        <v>29.69</v>
      </c>
      <c r="AG16">
        <v>-0.7099999999999973</v>
      </c>
      <c r="AH16">
        <v>2.335526315789465E-2</v>
      </c>
    </row>
    <row r="17" spans="1:34" x14ac:dyDescent="0.2">
      <c r="A17" t="s">
        <v>99</v>
      </c>
      <c r="B17">
        <v>11</v>
      </c>
      <c r="C17" t="s">
        <v>336</v>
      </c>
      <c r="D17">
        <v>71.7</v>
      </c>
      <c r="E17">
        <v>-2.3999999999999915</v>
      </c>
      <c r="F17" s="43">
        <v>3.2388663967611225E-2</v>
      </c>
      <c r="H17" t="s">
        <v>266</v>
      </c>
      <c r="I17">
        <v>20</v>
      </c>
      <c r="J17" t="s">
        <v>219</v>
      </c>
      <c r="K17">
        <v>69.69</v>
      </c>
      <c r="L17">
        <v>29.689999999999998</v>
      </c>
      <c r="M17" s="43">
        <v>0.74224999999999997</v>
      </c>
      <c r="O17" t="s">
        <v>417</v>
      </c>
      <c r="P17">
        <v>24</v>
      </c>
      <c r="Q17" t="s">
        <v>412</v>
      </c>
      <c r="R17">
        <v>61.68</v>
      </c>
      <c r="S17">
        <v>41.4</v>
      </c>
      <c r="T17" s="43">
        <v>2.0414201183431953</v>
      </c>
      <c r="V17" t="s">
        <v>146</v>
      </c>
      <c r="W17">
        <v>6</v>
      </c>
      <c r="X17" t="s">
        <v>336</v>
      </c>
      <c r="Y17">
        <v>20.5</v>
      </c>
      <c r="Z17">
        <v>15.280000000000001</v>
      </c>
      <c r="AA17" s="43">
        <v>2.9272030651340999</v>
      </c>
      <c r="AC17" t="s">
        <v>563</v>
      </c>
      <c r="AD17">
        <v>9</v>
      </c>
      <c r="AE17" t="s">
        <v>362</v>
      </c>
      <c r="AF17">
        <v>28.3</v>
      </c>
      <c r="AG17">
        <v>-2.0999999999999979</v>
      </c>
      <c r="AH17">
        <v>6.907894736842099E-2</v>
      </c>
    </row>
    <row r="18" spans="1:34" x14ac:dyDescent="0.2">
      <c r="A18" t="s">
        <v>99</v>
      </c>
      <c r="B18">
        <v>20</v>
      </c>
      <c r="C18" t="s">
        <v>224</v>
      </c>
      <c r="D18">
        <v>66.56</v>
      </c>
      <c r="E18">
        <v>-7.539999999999992</v>
      </c>
      <c r="F18" s="43">
        <v>0.10175438596491218</v>
      </c>
      <c r="H18" t="s">
        <v>266</v>
      </c>
      <c r="I18">
        <v>10</v>
      </c>
      <c r="J18" t="s">
        <v>406</v>
      </c>
      <c r="K18">
        <v>65</v>
      </c>
      <c r="L18">
        <v>25</v>
      </c>
      <c r="M18" s="43">
        <v>0.625</v>
      </c>
      <c r="O18" t="s">
        <v>417</v>
      </c>
      <c r="P18">
        <v>22</v>
      </c>
      <c r="Q18" t="s">
        <v>401</v>
      </c>
      <c r="R18">
        <v>55</v>
      </c>
      <c r="S18">
        <v>34.72</v>
      </c>
      <c r="T18" s="43">
        <v>1.7120315581854042</v>
      </c>
      <c r="V18" t="s">
        <v>146</v>
      </c>
      <c r="W18">
        <v>14</v>
      </c>
      <c r="X18" t="s">
        <v>411</v>
      </c>
      <c r="Y18">
        <v>23.89</v>
      </c>
      <c r="Z18">
        <v>18.670000000000002</v>
      </c>
      <c r="AA18" s="43">
        <v>3.5766283524904221</v>
      </c>
      <c r="AC18" t="s">
        <v>563</v>
      </c>
      <c r="AD18">
        <v>26</v>
      </c>
      <c r="AE18" t="s">
        <v>652</v>
      </c>
      <c r="AF18">
        <v>35.6</v>
      </c>
      <c r="AG18">
        <v>5.2000000000000028</v>
      </c>
      <c r="AH18">
        <v>0.17105263157894746</v>
      </c>
    </row>
    <row r="19" spans="1:34" x14ac:dyDescent="0.2">
      <c r="A19" t="s">
        <v>99</v>
      </c>
      <c r="B19">
        <v>35</v>
      </c>
      <c r="C19" t="s">
        <v>411</v>
      </c>
      <c r="D19">
        <v>102.78</v>
      </c>
      <c r="E19">
        <v>28.680000000000007</v>
      </c>
      <c r="F19" s="43">
        <v>0.38704453441295561</v>
      </c>
      <c r="H19" t="s">
        <v>266</v>
      </c>
      <c r="I19">
        <v>18</v>
      </c>
      <c r="J19" t="s">
        <v>336</v>
      </c>
      <c r="K19">
        <v>69.2</v>
      </c>
      <c r="L19">
        <v>29.200000000000003</v>
      </c>
      <c r="M19" s="43">
        <v>0.73000000000000009</v>
      </c>
      <c r="O19" t="s">
        <v>417</v>
      </c>
      <c r="P19">
        <v>12</v>
      </c>
      <c r="Q19" t="s">
        <v>408</v>
      </c>
      <c r="R19">
        <v>33.31</v>
      </c>
      <c r="S19">
        <v>13.030000000000001</v>
      </c>
      <c r="T19" s="43">
        <v>0.64250493096646943</v>
      </c>
      <c r="V19" t="s">
        <v>146</v>
      </c>
      <c r="W19">
        <v>19</v>
      </c>
      <c r="X19" t="s">
        <v>218</v>
      </c>
      <c r="Y19">
        <v>25.9</v>
      </c>
      <c r="Z19">
        <v>20.68</v>
      </c>
      <c r="AA19" s="43">
        <v>3.9616858237547894</v>
      </c>
      <c r="AC19" t="s">
        <v>563</v>
      </c>
      <c r="AD19">
        <v>14</v>
      </c>
      <c r="AE19" t="s">
        <v>219</v>
      </c>
      <c r="AF19">
        <v>33.35</v>
      </c>
      <c r="AG19">
        <v>2.9500000000000028</v>
      </c>
      <c r="AH19">
        <v>9.703947368421062E-2</v>
      </c>
    </row>
    <row r="20" spans="1:34" x14ac:dyDescent="0.2">
      <c r="A20" t="s">
        <v>99</v>
      </c>
      <c r="B20">
        <v>25</v>
      </c>
      <c r="C20" t="s">
        <v>218</v>
      </c>
      <c r="D20">
        <v>85.4</v>
      </c>
      <c r="E20">
        <v>11.300000000000011</v>
      </c>
      <c r="F20" s="43">
        <v>0.15249662618083687</v>
      </c>
      <c r="H20" t="s">
        <v>266</v>
      </c>
      <c r="I20">
        <v>28</v>
      </c>
      <c r="J20" t="s">
        <v>224</v>
      </c>
      <c r="K20">
        <v>72.36</v>
      </c>
      <c r="L20">
        <v>32.36</v>
      </c>
      <c r="M20" s="43">
        <v>0.80899999999999994</v>
      </c>
      <c r="O20" t="s">
        <v>417</v>
      </c>
      <c r="P20">
        <v>13</v>
      </c>
      <c r="Q20" t="s">
        <v>414</v>
      </c>
      <c r="R20">
        <v>35.33</v>
      </c>
      <c r="S20">
        <v>15.049999999999997</v>
      </c>
      <c r="T20" s="43">
        <v>0.74211045364891504</v>
      </c>
      <c r="V20" t="s">
        <v>146</v>
      </c>
      <c r="W20">
        <v>3</v>
      </c>
      <c r="X20" t="s">
        <v>222</v>
      </c>
      <c r="Y20">
        <v>18.5</v>
      </c>
      <c r="Z20">
        <v>13.280000000000001</v>
      </c>
      <c r="AA20" s="43">
        <v>2.5440613026819925</v>
      </c>
      <c r="AC20" t="s">
        <v>563</v>
      </c>
      <c r="AD20">
        <v>22</v>
      </c>
      <c r="AE20" t="s">
        <v>474</v>
      </c>
      <c r="AF20">
        <v>35.1</v>
      </c>
      <c r="AG20">
        <v>4.7000000000000028</v>
      </c>
      <c r="AH20">
        <v>0.15460526315789483</v>
      </c>
    </row>
    <row r="21" spans="1:34" x14ac:dyDescent="0.2">
      <c r="A21" t="s">
        <v>99</v>
      </c>
      <c r="B21">
        <v>4</v>
      </c>
      <c r="C21" t="s">
        <v>222</v>
      </c>
      <c r="D21">
        <v>73.45</v>
      </c>
      <c r="E21">
        <v>-0.64999999999999147</v>
      </c>
      <c r="F21" s="43">
        <v>8.7719298245612885E-3</v>
      </c>
      <c r="H21" t="s">
        <v>266</v>
      </c>
      <c r="I21">
        <v>9</v>
      </c>
      <c r="J21" t="s">
        <v>218</v>
      </c>
      <c r="K21">
        <v>64.459999999999994</v>
      </c>
      <c r="L21">
        <v>24.459999999999994</v>
      </c>
      <c r="M21" s="43">
        <v>0.61149999999999982</v>
      </c>
      <c r="O21" t="s">
        <v>417</v>
      </c>
      <c r="P21">
        <v>20</v>
      </c>
      <c r="Q21" t="s">
        <v>364</v>
      </c>
      <c r="R21">
        <v>47.67</v>
      </c>
      <c r="S21">
        <v>27.39</v>
      </c>
      <c r="T21" s="43">
        <v>1.3505917159763312</v>
      </c>
      <c r="V21" t="s">
        <v>146</v>
      </c>
      <c r="W21">
        <v>29</v>
      </c>
      <c r="X21" t="s">
        <v>412</v>
      </c>
      <c r="Y21">
        <v>88.9</v>
      </c>
      <c r="Z21">
        <v>83.68</v>
      </c>
      <c r="AA21" s="43">
        <v>16.030651340996172</v>
      </c>
      <c r="AC21" t="s">
        <v>563</v>
      </c>
      <c r="AD21">
        <v>43</v>
      </c>
      <c r="AE21" t="s">
        <v>242</v>
      </c>
      <c r="AF21">
        <v>7.5</v>
      </c>
      <c r="AG21">
        <v>-22.9</v>
      </c>
      <c r="AH21">
        <v>0.75328947368421051</v>
      </c>
    </row>
    <row r="22" spans="1:34" x14ac:dyDescent="0.2">
      <c r="A22" t="s">
        <v>99</v>
      </c>
      <c r="B22">
        <v>19</v>
      </c>
      <c r="C22" t="s">
        <v>412</v>
      </c>
      <c r="D22">
        <v>81.08</v>
      </c>
      <c r="E22">
        <v>6.980000000000004</v>
      </c>
      <c r="F22" s="43">
        <v>9.4197031039136361E-2</v>
      </c>
      <c r="H22" t="s">
        <v>266</v>
      </c>
      <c r="I22">
        <v>29</v>
      </c>
      <c r="J22" t="s">
        <v>222</v>
      </c>
      <c r="K22">
        <v>73.88</v>
      </c>
      <c r="L22">
        <v>33.879999999999995</v>
      </c>
      <c r="M22" s="43">
        <v>0.84699999999999986</v>
      </c>
      <c r="O22" t="s">
        <v>417</v>
      </c>
      <c r="P22">
        <v>7</v>
      </c>
      <c r="Q22" t="s">
        <v>292</v>
      </c>
      <c r="R22">
        <v>29.4</v>
      </c>
      <c r="S22">
        <v>9.1199999999999974</v>
      </c>
      <c r="T22" s="43">
        <v>0.44970414201183417</v>
      </c>
      <c r="V22" t="s">
        <v>146</v>
      </c>
      <c r="W22">
        <v>28</v>
      </c>
      <c r="X22" t="s">
        <v>401</v>
      </c>
      <c r="Y22">
        <v>47.45</v>
      </c>
      <c r="Z22">
        <v>42.230000000000004</v>
      </c>
      <c r="AA22" s="43">
        <v>8.0900383141762457</v>
      </c>
      <c r="AC22" t="s">
        <v>563</v>
      </c>
      <c r="AD22">
        <v>27</v>
      </c>
      <c r="AE22" t="s">
        <v>406</v>
      </c>
      <c r="AF22">
        <v>25</v>
      </c>
      <c r="AG22">
        <v>-5.3999999999999986</v>
      </c>
      <c r="AH22">
        <v>0.17763157894736839</v>
      </c>
    </row>
    <row r="23" spans="1:34" x14ac:dyDescent="0.2">
      <c r="A23" t="s">
        <v>99</v>
      </c>
      <c r="B23">
        <v>1</v>
      </c>
      <c r="C23" t="s">
        <v>404</v>
      </c>
      <c r="D23">
        <v>74.28</v>
      </c>
      <c r="E23">
        <v>0.18000000000000682</v>
      </c>
      <c r="F23" s="43">
        <v>2.4291497975709423E-3</v>
      </c>
      <c r="H23" t="s">
        <v>266</v>
      </c>
      <c r="I23">
        <v>32</v>
      </c>
      <c r="J23" t="s">
        <v>412</v>
      </c>
      <c r="K23">
        <v>79.8</v>
      </c>
      <c r="L23">
        <v>39.799999999999997</v>
      </c>
      <c r="M23" s="43">
        <v>0.99499999999999988</v>
      </c>
      <c r="O23" t="s">
        <v>417</v>
      </c>
      <c r="P23">
        <v>25</v>
      </c>
      <c r="Q23" t="s">
        <v>473</v>
      </c>
      <c r="R23">
        <v>65.3</v>
      </c>
      <c r="S23">
        <v>45.019999999999996</v>
      </c>
      <c r="T23" s="43">
        <v>2.2199211045364886</v>
      </c>
      <c r="V23" t="s">
        <v>146</v>
      </c>
      <c r="W23">
        <v>17</v>
      </c>
      <c r="X23" t="s">
        <v>408</v>
      </c>
      <c r="Y23">
        <v>24.23</v>
      </c>
      <c r="Z23">
        <v>19.010000000000002</v>
      </c>
      <c r="AA23" s="43">
        <v>3.64176245210728</v>
      </c>
      <c r="AC23" t="s">
        <v>563</v>
      </c>
      <c r="AD23">
        <v>3</v>
      </c>
      <c r="AE23" t="s">
        <v>336</v>
      </c>
      <c r="AF23">
        <v>30.01</v>
      </c>
      <c r="AG23">
        <v>-0.38999999999999702</v>
      </c>
      <c r="AH23">
        <v>1.2828947368420955E-2</v>
      </c>
    </row>
    <row r="24" spans="1:34" x14ac:dyDescent="0.2">
      <c r="A24" t="s">
        <v>99</v>
      </c>
      <c r="B24">
        <v>26</v>
      </c>
      <c r="C24" t="s">
        <v>401</v>
      </c>
      <c r="D24">
        <v>87.1</v>
      </c>
      <c r="E24">
        <v>13</v>
      </c>
      <c r="F24" s="43">
        <v>0.17543859649122809</v>
      </c>
      <c r="H24" t="s">
        <v>266</v>
      </c>
      <c r="I24">
        <v>1</v>
      </c>
      <c r="J24" t="s">
        <v>404</v>
      </c>
      <c r="K24">
        <v>53.54</v>
      </c>
      <c r="L24">
        <v>13.54</v>
      </c>
      <c r="M24" s="43">
        <v>0.33849999999999997</v>
      </c>
      <c r="O24" t="s">
        <v>417</v>
      </c>
      <c r="P24">
        <v>6</v>
      </c>
      <c r="Q24" t="s">
        <v>543</v>
      </c>
      <c r="R24">
        <v>27.24</v>
      </c>
      <c r="S24">
        <v>6.9599999999999973</v>
      </c>
      <c r="T24" s="43">
        <v>0.34319526627218921</v>
      </c>
      <c r="V24" t="s">
        <v>146</v>
      </c>
      <c r="W24">
        <v>13</v>
      </c>
      <c r="X24" t="s">
        <v>414</v>
      </c>
      <c r="Y24">
        <v>23.51</v>
      </c>
      <c r="Z24">
        <v>18.290000000000003</v>
      </c>
      <c r="AA24" s="43">
        <v>3.5038314176245215</v>
      </c>
      <c r="AC24" t="s">
        <v>563</v>
      </c>
      <c r="AD24">
        <v>33</v>
      </c>
      <c r="AE24" t="s">
        <v>411</v>
      </c>
      <c r="AF24">
        <v>22.02</v>
      </c>
      <c r="AG24">
        <v>-8.379999999999999</v>
      </c>
      <c r="AH24">
        <v>0.2756578947368421</v>
      </c>
    </row>
    <row r="25" spans="1:34" x14ac:dyDescent="0.2">
      <c r="A25" t="s">
        <v>99</v>
      </c>
      <c r="B25">
        <v>23</v>
      </c>
      <c r="C25" t="s">
        <v>220</v>
      </c>
      <c r="D25">
        <v>85.2</v>
      </c>
      <c r="E25">
        <v>11.100000000000009</v>
      </c>
      <c r="F25" s="43">
        <v>0.14979757085020257</v>
      </c>
      <c r="H25" t="s">
        <v>266</v>
      </c>
      <c r="I25">
        <v>30</v>
      </c>
      <c r="J25" t="s">
        <v>401</v>
      </c>
      <c r="K25">
        <v>75</v>
      </c>
      <c r="L25">
        <v>35</v>
      </c>
      <c r="M25" s="43">
        <v>0.875</v>
      </c>
      <c r="O25" t="s">
        <v>417</v>
      </c>
      <c r="P25">
        <v>8</v>
      </c>
      <c r="Q25" t="s">
        <v>363</v>
      </c>
      <c r="R25">
        <v>29.8</v>
      </c>
      <c r="S25">
        <v>9.52</v>
      </c>
      <c r="T25" s="43">
        <v>0.46942800788954631</v>
      </c>
      <c r="V25" t="s">
        <v>146</v>
      </c>
      <c r="W25">
        <v>26</v>
      </c>
      <c r="X25" t="s">
        <v>403</v>
      </c>
      <c r="Y25">
        <v>40.25</v>
      </c>
      <c r="Z25">
        <v>35.03</v>
      </c>
      <c r="AA25" s="43">
        <v>6.7107279693486594</v>
      </c>
      <c r="AC25" t="s">
        <v>563</v>
      </c>
      <c r="AD25">
        <v>38</v>
      </c>
      <c r="AE25" t="s">
        <v>218</v>
      </c>
      <c r="AF25">
        <v>15.5</v>
      </c>
      <c r="AG25">
        <v>-14.899999999999999</v>
      </c>
      <c r="AH25">
        <v>0.49013157894736842</v>
      </c>
    </row>
    <row r="26" spans="1:34" x14ac:dyDescent="0.2">
      <c r="A26" t="s">
        <v>99</v>
      </c>
      <c r="B26">
        <v>13</v>
      </c>
      <c r="C26" t="s">
        <v>408</v>
      </c>
      <c r="D26">
        <v>71.23</v>
      </c>
      <c r="E26">
        <v>-2.8699999999999903</v>
      </c>
      <c r="F26" s="43">
        <v>3.8731443994601759E-2</v>
      </c>
      <c r="H26" t="s">
        <v>266</v>
      </c>
      <c r="I26">
        <v>31</v>
      </c>
      <c r="J26" t="s">
        <v>408</v>
      </c>
      <c r="K26">
        <v>75.73</v>
      </c>
      <c r="L26">
        <v>35.730000000000004</v>
      </c>
      <c r="M26" s="43">
        <v>0.8932500000000001</v>
      </c>
      <c r="O26" t="s">
        <v>417</v>
      </c>
      <c r="P26">
        <v>21</v>
      </c>
      <c r="Q26" t="s">
        <v>407</v>
      </c>
      <c r="R26">
        <v>47.72</v>
      </c>
      <c r="S26">
        <v>27.439999999999998</v>
      </c>
      <c r="T26" s="43">
        <v>1.3530571992110452</v>
      </c>
      <c r="V26" t="s">
        <v>146</v>
      </c>
      <c r="W26">
        <v>18</v>
      </c>
      <c r="X26" t="s">
        <v>364</v>
      </c>
      <c r="Y26">
        <v>24.71</v>
      </c>
      <c r="Z26">
        <v>19.490000000000002</v>
      </c>
      <c r="AA26" s="43">
        <v>3.7337164750957861</v>
      </c>
      <c r="AC26" t="s">
        <v>563</v>
      </c>
      <c r="AD26">
        <v>32</v>
      </c>
      <c r="AE26" t="s">
        <v>647</v>
      </c>
      <c r="AF26">
        <v>38.14</v>
      </c>
      <c r="AG26">
        <v>7.740000000000002</v>
      </c>
      <c r="AH26">
        <v>0.25460526315789483</v>
      </c>
    </row>
    <row r="27" spans="1:34" x14ac:dyDescent="0.2">
      <c r="A27" t="s">
        <v>99</v>
      </c>
      <c r="B27">
        <v>30</v>
      </c>
      <c r="C27" t="s">
        <v>403</v>
      </c>
      <c r="D27">
        <v>88.5</v>
      </c>
      <c r="E27">
        <v>14.400000000000006</v>
      </c>
      <c r="F27" s="43">
        <v>0.1943319838056681</v>
      </c>
      <c r="H27" t="s">
        <v>266</v>
      </c>
      <c r="I27">
        <v>8</v>
      </c>
      <c r="J27" t="s">
        <v>414</v>
      </c>
      <c r="K27">
        <v>64.349999999999994</v>
      </c>
      <c r="L27">
        <v>24.349999999999994</v>
      </c>
      <c r="M27" s="43">
        <v>0.6087499999999999</v>
      </c>
      <c r="V27" t="s">
        <v>146</v>
      </c>
      <c r="W27">
        <v>15</v>
      </c>
      <c r="X27" t="s">
        <v>292</v>
      </c>
      <c r="Y27">
        <v>23.9</v>
      </c>
      <c r="Z27">
        <v>18.68</v>
      </c>
      <c r="AA27" s="43">
        <v>3.578544061302682</v>
      </c>
      <c r="AC27" t="s">
        <v>563</v>
      </c>
      <c r="AD27">
        <v>20</v>
      </c>
      <c r="AE27" t="s">
        <v>222</v>
      </c>
      <c r="AF27">
        <v>26.15</v>
      </c>
      <c r="AG27">
        <v>-4.25</v>
      </c>
      <c r="AH27">
        <v>0.13980263157894737</v>
      </c>
    </row>
    <row r="28" spans="1:34" x14ac:dyDescent="0.2">
      <c r="A28" t="s">
        <v>99</v>
      </c>
      <c r="B28">
        <v>34</v>
      </c>
      <c r="C28" t="s">
        <v>410</v>
      </c>
      <c r="D28">
        <v>91.2</v>
      </c>
      <c r="E28">
        <v>17.100000000000009</v>
      </c>
      <c r="F28" s="43">
        <v>0.23076923076923089</v>
      </c>
      <c r="H28" t="s">
        <v>266</v>
      </c>
      <c r="I28">
        <v>25</v>
      </c>
      <c r="J28" t="s">
        <v>364</v>
      </c>
      <c r="K28">
        <v>71.010000000000005</v>
      </c>
      <c r="L28">
        <v>31.010000000000005</v>
      </c>
      <c r="M28" s="43">
        <v>0.77525000000000011</v>
      </c>
      <c r="V28" t="s">
        <v>146</v>
      </c>
      <c r="W28">
        <v>1</v>
      </c>
      <c r="X28" t="s">
        <v>543</v>
      </c>
      <c r="Y28">
        <v>8.27</v>
      </c>
      <c r="Z28">
        <v>3.05</v>
      </c>
      <c r="AA28" s="43">
        <v>0.58429118773946365</v>
      </c>
      <c r="AC28" t="s">
        <v>563</v>
      </c>
      <c r="AD28">
        <v>40</v>
      </c>
      <c r="AE28" t="s">
        <v>412</v>
      </c>
      <c r="AF28">
        <v>48.6</v>
      </c>
      <c r="AG28">
        <v>18.200000000000003</v>
      </c>
      <c r="AH28">
        <v>0.59868421052631593</v>
      </c>
    </row>
    <row r="29" spans="1:34" x14ac:dyDescent="0.2">
      <c r="A29" t="s">
        <v>99</v>
      </c>
      <c r="B29">
        <v>32</v>
      </c>
      <c r="C29" t="s">
        <v>400</v>
      </c>
      <c r="D29">
        <v>89.7</v>
      </c>
      <c r="E29">
        <v>15.600000000000009</v>
      </c>
      <c r="F29" s="43">
        <v>0.21052631578947381</v>
      </c>
      <c r="H29" t="s">
        <v>266</v>
      </c>
      <c r="I29">
        <v>5</v>
      </c>
      <c r="J29" t="s">
        <v>292</v>
      </c>
      <c r="K29">
        <v>60.1</v>
      </c>
      <c r="L29">
        <v>20.100000000000001</v>
      </c>
      <c r="M29" s="43">
        <v>0.50250000000000006</v>
      </c>
      <c r="V29" t="s">
        <v>146</v>
      </c>
      <c r="W29">
        <v>10</v>
      </c>
      <c r="X29" t="s">
        <v>363</v>
      </c>
      <c r="Y29">
        <v>22.8</v>
      </c>
      <c r="Z29">
        <v>17.580000000000002</v>
      </c>
      <c r="AA29" s="43">
        <v>3.3678160919540234</v>
      </c>
      <c r="AC29" t="s">
        <v>563</v>
      </c>
      <c r="AD29">
        <v>1</v>
      </c>
      <c r="AE29" t="s">
        <v>404</v>
      </c>
      <c r="AF29">
        <v>30.5</v>
      </c>
      <c r="AG29">
        <v>0.10000000000000142</v>
      </c>
      <c r="AH29">
        <v>3.2894736842105734E-3</v>
      </c>
    </row>
    <row r="30" spans="1:34" x14ac:dyDescent="0.2">
      <c r="A30" t="s">
        <v>99</v>
      </c>
      <c r="B30">
        <v>22</v>
      </c>
      <c r="C30" t="s">
        <v>405</v>
      </c>
      <c r="D30">
        <v>65.87</v>
      </c>
      <c r="E30">
        <v>-8.2299999999999898</v>
      </c>
      <c r="F30" s="43">
        <v>0.11106612685560041</v>
      </c>
      <c r="H30" t="s">
        <v>266</v>
      </c>
      <c r="I30">
        <v>3</v>
      </c>
      <c r="J30" t="s">
        <v>381</v>
      </c>
      <c r="K30">
        <v>60.02</v>
      </c>
      <c r="L30">
        <v>20.020000000000003</v>
      </c>
      <c r="M30" s="43">
        <v>0.50050000000000006</v>
      </c>
      <c r="V30" t="s">
        <v>146</v>
      </c>
      <c r="W30">
        <v>5</v>
      </c>
      <c r="X30" t="s">
        <v>542</v>
      </c>
      <c r="Y30">
        <v>19.91</v>
      </c>
      <c r="Z30">
        <v>14.690000000000001</v>
      </c>
      <c r="AA30" s="43">
        <v>2.8141762452107284</v>
      </c>
      <c r="AC30" t="s">
        <v>563</v>
      </c>
      <c r="AD30">
        <v>42</v>
      </c>
      <c r="AE30" t="s">
        <v>401</v>
      </c>
      <c r="AF30">
        <v>8.8800000000000008</v>
      </c>
      <c r="AG30">
        <v>-21.519999999999996</v>
      </c>
      <c r="AH30">
        <v>0.70789473684210513</v>
      </c>
    </row>
    <row r="31" spans="1:34" x14ac:dyDescent="0.2">
      <c r="A31" t="s">
        <v>99</v>
      </c>
      <c r="B31">
        <v>27</v>
      </c>
      <c r="C31" t="s">
        <v>227</v>
      </c>
      <c r="D31">
        <v>87.45</v>
      </c>
      <c r="E31">
        <v>13.350000000000009</v>
      </c>
      <c r="F31" s="43">
        <v>0.18016194331983817</v>
      </c>
      <c r="H31" t="s">
        <v>266</v>
      </c>
      <c r="I31">
        <v>34</v>
      </c>
      <c r="J31" t="s">
        <v>416</v>
      </c>
      <c r="K31">
        <v>87.55</v>
      </c>
      <c r="L31">
        <v>47.55</v>
      </c>
      <c r="M31" s="43">
        <v>1.18875</v>
      </c>
      <c r="AC31" t="s">
        <v>563</v>
      </c>
      <c r="AD31">
        <v>6</v>
      </c>
      <c r="AE31" t="s">
        <v>408</v>
      </c>
      <c r="AF31">
        <v>29.6</v>
      </c>
      <c r="AG31">
        <v>-0.79999999999999716</v>
      </c>
      <c r="AH31">
        <v>2.6315789473684119E-2</v>
      </c>
    </row>
    <row r="32" spans="1:34" x14ac:dyDescent="0.2">
      <c r="A32" t="s">
        <v>99</v>
      </c>
      <c r="B32">
        <v>12</v>
      </c>
      <c r="C32" t="s">
        <v>381</v>
      </c>
      <c r="D32">
        <v>76.5</v>
      </c>
      <c r="E32">
        <v>2.4000000000000057</v>
      </c>
      <c r="F32" s="43">
        <v>3.2388663967611413E-2</v>
      </c>
      <c r="H32" t="s">
        <v>266</v>
      </c>
      <c r="I32">
        <v>14</v>
      </c>
      <c r="J32" t="s">
        <v>543</v>
      </c>
      <c r="K32">
        <v>67.2</v>
      </c>
      <c r="L32">
        <v>27.200000000000003</v>
      </c>
      <c r="M32" s="43">
        <v>0.68</v>
      </c>
      <c r="AC32" t="s">
        <v>563</v>
      </c>
      <c r="AD32">
        <v>10</v>
      </c>
      <c r="AE32" t="s">
        <v>414</v>
      </c>
      <c r="AF32">
        <v>28.1</v>
      </c>
      <c r="AG32">
        <v>-2.2999999999999972</v>
      </c>
      <c r="AH32">
        <v>7.5657894736842021E-2</v>
      </c>
    </row>
    <row r="33" spans="1:34" x14ac:dyDescent="0.2">
      <c r="A33" t="s">
        <v>99</v>
      </c>
      <c r="B33">
        <v>14</v>
      </c>
      <c r="C33" t="s">
        <v>363</v>
      </c>
      <c r="D33">
        <v>70.8</v>
      </c>
      <c r="E33">
        <v>-3.2999999999999972</v>
      </c>
      <c r="F33" s="43">
        <v>4.4534412955465549E-2</v>
      </c>
      <c r="H33" t="s">
        <v>266</v>
      </c>
      <c r="I33">
        <v>12</v>
      </c>
      <c r="J33" t="s">
        <v>363</v>
      </c>
      <c r="K33">
        <v>65.400000000000006</v>
      </c>
      <c r="L33">
        <v>25.400000000000006</v>
      </c>
      <c r="M33" s="43">
        <v>0.63500000000000012</v>
      </c>
      <c r="AC33" t="s">
        <v>563</v>
      </c>
      <c r="AD33">
        <v>2</v>
      </c>
      <c r="AE33" t="s">
        <v>403</v>
      </c>
      <c r="AF33">
        <v>30.7</v>
      </c>
      <c r="AG33">
        <v>0.30000000000000071</v>
      </c>
      <c r="AH33">
        <v>9.8684210526316027E-3</v>
      </c>
    </row>
    <row r="34" spans="1:34" x14ac:dyDescent="0.2">
      <c r="A34" t="s">
        <v>99</v>
      </c>
      <c r="B34">
        <v>3</v>
      </c>
      <c r="C34" t="s">
        <v>399</v>
      </c>
      <c r="D34">
        <v>74.56</v>
      </c>
      <c r="E34">
        <v>0.46000000000000796</v>
      </c>
      <c r="F34" s="43">
        <v>6.2078272604589469E-3</v>
      </c>
      <c r="H34" t="s">
        <v>266</v>
      </c>
      <c r="I34">
        <v>13</v>
      </c>
      <c r="J34" t="s">
        <v>399</v>
      </c>
      <c r="K34">
        <v>65.86</v>
      </c>
      <c r="L34">
        <v>25.86</v>
      </c>
      <c r="M34" s="43">
        <v>0.64649999999999996</v>
      </c>
      <c r="AC34" t="s">
        <v>563</v>
      </c>
      <c r="AD34">
        <v>31</v>
      </c>
      <c r="AE34" t="s">
        <v>400</v>
      </c>
      <c r="AF34">
        <v>37.799999999999997</v>
      </c>
      <c r="AG34">
        <v>7.3999999999999986</v>
      </c>
      <c r="AH34">
        <v>0.2434210526315789</v>
      </c>
    </row>
    <row r="35" spans="1:34" x14ac:dyDescent="0.2">
      <c r="A35" t="s">
        <v>99</v>
      </c>
      <c r="B35">
        <v>9</v>
      </c>
      <c r="C35" t="s">
        <v>407</v>
      </c>
      <c r="D35">
        <v>75.650000000000006</v>
      </c>
      <c r="E35">
        <v>1.5500000000000114</v>
      </c>
      <c r="F35" s="43">
        <v>2.091767881241581E-2</v>
      </c>
      <c r="H35" t="s">
        <v>266</v>
      </c>
      <c r="I35">
        <v>33</v>
      </c>
      <c r="J35" t="s">
        <v>339</v>
      </c>
      <c r="K35">
        <v>86.2</v>
      </c>
      <c r="L35">
        <v>46.2</v>
      </c>
      <c r="M35" s="43">
        <v>1.155</v>
      </c>
      <c r="AC35" t="s">
        <v>563</v>
      </c>
      <c r="AD35">
        <v>7</v>
      </c>
      <c r="AE35" t="s">
        <v>364</v>
      </c>
      <c r="AF35">
        <v>31.88</v>
      </c>
      <c r="AG35">
        <v>1.4800000000000004</v>
      </c>
      <c r="AH35">
        <v>4.8684210526315809E-2</v>
      </c>
    </row>
    <row r="36" spans="1:34" x14ac:dyDescent="0.2">
      <c r="A36" t="s">
        <v>99</v>
      </c>
      <c r="B36">
        <v>33</v>
      </c>
      <c r="C36" t="s">
        <v>239</v>
      </c>
      <c r="D36">
        <v>90.1</v>
      </c>
      <c r="E36">
        <v>16</v>
      </c>
      <c r="F36" s="43">
        <v>0.21592442645074225</v>
      </c>
      <c r="H36" t="s">
        <v>266</v>
      </c>
      <c r="I36">
        <v>24</v>
      </c>
      <c r="J36" t="s">
        <v>407</v>
      </c>
      <c r="K36">
        <v>70.22</v>
      </c>
      <c r="L36">
        <v>30.22</v>
      </c>
      <c r="M36" s="43">
        <v>0.75549999999999995</v>
      </c>
      <c r="AC36" t="s">
        <v>563</v>
      </c>
      <c r="AD36">
        <v>15</v>
      </c>
      <c r="AE36" t="s">
        <v>649</v>
      </c>
      <c r="AF36">
        <v>33.36</v>
      </c>
      <c r="AG36">
        <v>2.9600000000000009</v>
      </c>
      <c r="AH36">
        <v>9.7368421052631618E-2</v>
      </c>
    </row>
    <row r="37" spans="1:34" x14ac:dyDescent="0.2">
      <c r="AC37" t="s">
        <v>563</v>
      </c>
      <c r="AD37">
        <v>16</v>
      </c>
      <c r="AE37" t="s">
        <v>648</v>
      </c>
      <c r="AF37">
        <v>27.25</v>
      </c>
      <c r="AG37">
        <v>-3.1499999999999986</v>
      </c>
      <c r="AH37">
        <v>0.10361842105263154</v>
      </c>
    </row>
    <row r="38" spans="1:34" x14ac:dyDescent="0.2">
      <c r="AC38" t="s">
        <v>563</v>
      </c>
      <c r="AD38">
        <v>11</v>
      </c>
      <c r="AE38" t="s">
        <v>381</v>
      </c>
      <c r="AF38">
        <v>27.57</v>
      </c>
      <c r="AG38">
        <v>-2.8299999999999983</v>
      </c>
      <c r="AH38">
        <v>9.3092105263157837E-2</v>
      </c>
    </row>
    <row r="39" spans="1:34" x14ac:dyDescent="0.2">
      <c r="AC39" t="s">
        <v>563</v>
      </c>
      <c r="AD39">
        <v>8</v>
      </c>
      <c r="AE39" t="s">
        <v>543</v>
      </c>
      <c r="AF39">
        <v>28.62</v>
      </c>
      <c r="AG39">
        <v>-1.7799999999999976</v>
      </c>
      <c r="AH39">
        <v>5.8552631578947294E-2</v>
      </c>
    </row>
    <row r="40" spans="1:34" x14ac:dyDescent="0.2">
      <c r="AC40" t="s">
        <v>563</v>
      </c>
      <c r="AD40">
        <v>34</v>
      </c>
      <c r="AE40" t="s">
        <v>363</v>
      </c>
      <c r="AF40">
        <v>21.6</v>
      </c>
      <c r="AG40">
        <v>-8.7999999999999972</v>
      </c>
      <c r="AH40">
        <v>0.28947368421052622</v>
      </c>
    </row>
    <row r="41" spans="1:34" x14ac:dyDescent="0.2">
      <c r="A41" s="138" t="s">
        <v>3</v>
      </c>
      <c r="B41" s="138" t="s">
        <v>12</v>
      </c>
      <c r="C41" s="138" t="s">
        <v>0</v>
      </c>
      <c r="D41" s="138" t="s">
        <v>1</v>
      </c>
      <c r="E41" s="138" t="s">
        <v>5</v>
      </c>
      <c r="F41" s="138" t="s">
        <v>7</v>
      </c>
      <c r="AC41" t="s">
        <v>563</v>
      </c>
      <c r="AD41">
        <v>17</v>
      </c>
      <c r="AE41" t="s">
        <v>542</v>
      </c>
      <c r="AF41">
        <v>26.62</v>
      </c>
      <c r="AG41">
        <v>-3.7799999999999976</v>
      </c>
      <c r="AH41">
        <v>0.12434210526315782</v>
      </c>
    </row>
    <row r="42" spans="1:34" x14ac:dyDescent="0.2">
      <c r="A42" s="138" t="s">
        <v>697</v>
      </c>
      <c r="B42" s="138">
        <v>53</v>
      </c>
      <c r="C42" s="138" t="s">
        <v>804</v>
      </c>
      <c r="D42" s="138">
        <v>99.95</v>
      </c>
      <c r="E42" s="138">
        <v>47.900000000000006</v>
      </c>
      <c r="F42" s="138">
        <v>0.92026897214217118</v>
      </c>
      <c r="AC42" t="s">
        <v>563</v>
      </c>
      <c r="AD42">
        <v>36</v>
      </c>
      <c r="AE42" t="s">
        <v>655</v>
      </c>
      <c r="AF42">
        <v>18.760000000000002</v>
      </c>
      <c r="AG42">
        <v>-11.639999999999997</v>
      </c>
      <c r="AH42">
        <v>0.38289473684210518</v>
      </c>
    </row>
    <row r="43" spans="1:34" x14ac:dyDescent="0.2">
      <c r="A43" s="138" t="s">
        <v>697</v>
      </c>
      <c r="B43" s="138">
        <v>52</v>
      </c>
      <c r="C43" s="138" t="s">
        <v>652</v>
      </c>
      <c r="D43" s="138">
        <v>86.46</v>
      </c>
      <c r="E43" s="138">
        <v>34.409999999999997</v>
      </c>
      <c r="F43" s="138">
        <v>0.66109510086455325</v>
      </c>
      <c r="AC43" t="s">
        <v>563</v>
      </c>
      <c r="AD43">
        <v>23</v>
      </c>
      <c r="AE43" t="s">
        <v>399</v>
      </c>
      <c r="AF43">
        <v>35.229999999999997</v>
      </c>
      <c r="AG43">
        <v>4.8299999999999983</v>
      </c>
      <c r="AH43">
        <v>0.15888157894736837</v>
      </c>
    </row>
    <row r="44" spans="1:34" x14ac:dyDescent="0.2">
      <c r="A44" s="138" t="s">
        <v>697</v>
      </c>
      <c r="B44" s="138">
        <v>48</v>
      </c>
      <c r="C44" s="138" t="s">
        <v>218</v>
      </c>
      <c r="D44" s="138">
        <v>69</v>
      </c>
      <c r="E44" s="138">
        <v>16.950000000000003</v>
      </c>
      <c r="F44" s="138">
        <v>0.32564841498559083</v>
      </c>
      <c r="AC44" t="s">
        <v>563</v>
      </c>
      <c r="AD44">
        <v>37</v>
      </c>
      <c r="AE44" t="s">
        <v>650</v>
      </c>
      <c r="AF44">
        <v>18.12</v>
      </c>
      <c r="AG44">
        <v>-12.279999999999998</v>
      </c>
      <c r="AH44">
        <v>0.40394736842105256</v>
      </c>
    </row>
    <row r="45" spans="1:34" x14ac:dyDescent="0.2">
      <c r="A45" s="138" t="s">
        <v>697</v>
      </c>
      <c r="B45" s="138">
        <v>41</v>
      </c>
      <c r="C45" s="138" t="s">
        <v>803</v>
      </c>
      <c r="D45" s="138">
        <v>63.57</v>
      </c>
      <c r="E45" s="138">
        <v>11.520000000000003</v>
      </c>
      <c r="F45" s="138">
        <v>0.22132564841498567</v>
      </c>
    </row>
    <row r="46" spans="1:34" x14ac:dyDescent="0.2">
      <c r="A46" s="138" t="s">
        <v>697</v>
      </c>
      <c r="B46" s="138">
        <v>40</v>
      </c>
      <c r="C46" s="138" t="s">
        <v>822</v>
      </c>
      <c r="D46" s="138">
        <v>63.18</v>
      </c>
      <c r="E46" s="138">
        <v>11.130000000000003</v>
      </c>
      <c r="F46" s="138">
        <v>0.21383285302593666</v>
      </c>
    </row>
    <row r="47" spans="1:34" x14ac:dyDescent="0.2">
      <c r="A47" s="138" t="s">
        <v>697</v>
      </c>
      <c r="B47" s="138">
        <v>31</v>
      </c>
      <c r="C47" s="138" t="s">
        <v>802</v>
      </c>
      <c r="D47" s="138">
        <v>60.31</v>
      </c>
      <c r="E47" s="138">
        <v>8.2600000000000051</v>
      </c>
      <c r="F47" s="138">
        <v>0.15869356388088388</v>
      </c>
    </row>
    <row r="48" spans="1:34" x14ac:dyDescent="0.2">
      <c r="A48" s="138" t="s">
        <v>697</v>
      </c>
      <c r="B48" s="138">
        <v>29</v>
      </c>
      <c r="C48" s="138" t="s">
        <v>403</v>
      </c>
      <c r="D48" s="138">
        <v>60.1</v>
      </c>
      <c r="E48" s="138">
        <v>8.0500000000000043</v>
      </c>
      <c r="F48" s="138">
        <v>0.15465898174831902</v>
      </c>
    </row>
    <row r="49" spans="1:6" x14ac:dyDescent="0.2">
      <c r="A49" s="138" t="s">
        <v>697</v>
      </c>
      <c r="B49" s="138">
        <v>26</v>
      </c>
      <c r="C49" s="138" t="s">
        <v>328</v>
      </c>
      <c r="D49" s="138">
        <v>59</v>
      </c>
      <c r="E49" s="138">
        <v>6.9500000000000028</v>
      </c>
      <c r="F49" s="138">
        <v>0.13352545629202697</v>
      </c>
    </row>
    <row r="50" spans="1:6" x14ac:dyDescent="0.2">
      <c r="A50" s="138" t="s">
        <v>697</v>
      </c>
      <c r="B50" s="138">
        <v>25</v>
      </c>
      <c r="C50" s="138" t="s">
        <v>219</v>
      </c>
      <c r="D50" s="138">
        <v>58.88</v>
      </c>
      <c r="E50" s="138">
        <v>6.8300000000000054</v>
      </c>
      <c r="F50" s="138">
        <v>0.13121998078770425</v>
      </c>
    </row>
    <row r="51" spans="1:6" x14ac:dyDescent="0.2">
      <c r="A51" s="138" t="s">
        <v>697</v>
      </c>
      <c r="B51" s="138">
        <v>22</v>
      </c>
      <c r="C51" s="138" t="s">
        <v>807</v>
      </c>
      <c r="D51" s="138">
        <v>56.3</v>
      </c>
      <c r="E51" s="138">
        <v>4.25</v>
      </c>
      <c r="F51" s="138">
        <v>8.1652257444764648E-2</v>
      </c>
    </row>
    <row r="52" spans="1:6" x14ac:dyDescent="0.2">
      <c r="A52" s="138" t="s">
        <v>697</v>
      </c>
      <c r="B52" s="138">
        <v>20</v>
      </c>
      <c r="C52" s="138" t="s">
        <v>809</v>
      </c>
      <c r="D52" s="138">
        <v>56.2</v>
      </c>
      <c r="E52" s="138">
        <v>4.1500000000000057</v>
      </c>
      <c r="F52" s="138">
        <v>7.9731027857829123E-2</v>
      </c>
    </row>
    <row r="53" spans="1:6" x14ac:dyDescent="0.2">
      <c r="A53" s="138" t="s">
        <v>697</v>
      </c>
      <c r="B53" s="138">
        <v>18</v>
      </c>
      <c r="C53" s="138" t="s">
        <v>215</v>
      </c>
      <c r="D53" s="138">
        <v>55.55</v>
      </c>
      <c r="E53" s="138">
        <v>3.5</v>
      </c>
      <c r="F53" s="138">
        <v>6.7243035542747367E-2</v>
      </c>
    </row>
    <row r="54" spans="1:6" x14ac:dyDescent="0.2">
      <c r="A54" s="138" t="s">
        <v>697</v>
      </c>
      <c r="B54" s="138">
        <v>17</v>
      </c>
      <c r="C54" s="138" t="s">
        <v>655</v>
      </c>
      <c r="D54" s="138">
        <v>55.33</v>
      </c>
      <c r="E54" s="138">
        <v>3.2800000000000011</v>
      </c>
      <c r="F54" s="138">
        <v>6.301633045148898E-2</v>
      </c>
    </row>
    <row r="55" spans="1:6" x14ac:dyDescent="0.2">
      <c r="A55" s="138" t="s">
        <v>697</v>
      </c>
      <c r="B55" s="138">
        <v>16</v>
      </c>
      <c r="C55" s="138" t="s">
        <v>808</v>
      </c>
      <c r="D55" s="138">
        <v>55.32</v>
      </c>
      <c r="E55" s="138">
        <v>3.2700000000000031</v>
      </c>
      <c r="F55" s="138">
        <v>6.282420749279545E-2</v>
      </c>
    </row>
    <row r="56" spans="1:6" x14ac:dyDescent="0.2">
      <c r="A56" s="138" t="s">
        <v>697</v>
      </c>
      <c r="B56" s="138">
        <v>15</v>
      </c>
      <c r="C56" s="138" t="s">
        <v>810</v>
      </c>
      <c r="D56" s="138">
        <v>55.3</v>
      </c>
      <c r="E56" s="138">
        <v>3.25</v>
      </c>
      <c r="F56" s="138">
        <v>6.2439961575408265E-2</v>
      </c>
    </row>
    <row r="57" spans="1:6" x14ac:dyDescent="0.2">
      <c r="A57" s="138" t="s">
        <v>697</v>
      </c>
      <c r="B57" s="138">
        <v>14</v>
      </c>
      <c r="C57" s="138" t="s">
        <v>406</v>
      </c>
      <c r="D57" s="138">
        <v>55</v>
      </c>
      <c r="E57" s="138">
        <v>2.9500000000000028</v>
      </c>
      <c r="F57" s="138">
        <v>5.66762728146014E-2</v>
      </c>
    </row>
    <row r="58" spans="1:6" x14ac:dyDescent="0.2">
      <c r="A58" s="138" t="s">
        <v>697</v>
      </c>
      <c r="B58" s="138">
        <v>12</v>
      </c>
      <c r="C58" s="138" t="s">
        <v>401</v>
      </c>
      <c r="D58" s="138">
        <v>54.56</v>
      </c>
      <c r="E58" s="138">
        <v>2.5100000000000051</v>
      </c>
      <c r="F58" s="138">
        <v>4.8222862632084633E-2</v>
      </c>
    </row>
    <row r="59" spans="1:6" x14ac:dyDescent="0.2">
      <c r="A59" s="138" t="s">
        <v>697</v>
      </c>
      <c r="B59" s="138">
        <v>11</v>
      </c>
      <c r="C59" s="138" t="s">
        <v>412</v>
      </c>
      <c r="D59" s="138">
        <v>54.22</v>
      </c>
      <c r="E59" s="138">
        <v>2.1700000000000017</v>
      </c>
      <c r="F59" s="138">
        <v>4.1690682036503397E-2</v>
      </c>
    </row>
    <row r="60" spans="1:6" x14ac:dyDescent="0.2">
      <c r="A60" s="138" t="s">
        <v>697</v>
      </c>
      <c r="B60" s="138">
        <v>10</v>
      </c>
      <c r="C60" s="138" t="s">
        <v>805</v>
      </c>
      <c r="D60" s="138">
        <v>53.41</v>
      </c>
      <c r="E60" s="138">
        <v>1.3599999999999994</v>
      </c>
      <c r="F60" s="138">
        <v>2.6128722382324679E-2</v>
      </c>
    </row>
    <row r="61" spans="1:6" x14ac:dyDescent="0.2">
      <c r="A61" s="138" t="s">
        <v>697</v>
      </c>
      <c r="B61" s="138">
        <v>9</v>
      </c>
      <c r="C61" s="138" t="s">
        <v>806</v>
      </c>
      <c r="D61" s="138">
        <v>53.4</v>
      </c>
      <c r="E61" s="138">
        <v>1.3500000000000014</v>
      </c>
      <c r="F61" s="138">
        <v>2.5936599423631152E-2</v>
      </c>
    </row>
    <row r="62" spans="1:6" x14ac:dyDescent="0.2">
      <c r="A62" s="138" t="s">
        <v>697</v>
      </c>
      <c r="B62" s="138">
        <v>7</v>
      </c>
      <c r="C62" s="138" t="s">
        <v>335</v>
      </c>
      <c r="D62" s="138">
        <v>53.21</v>
      </c>
      <c r="E62" s="138">
        <v>1.1600000000000037</v>
      </c>
      <c r="F62" s="138">
        <v>2.2286263208453481E-2</v>
      </c>
    </row>
    <row r="63" spans="1:6" x14ac:dyDescent="0.2">
      <c r="A63" s="138" t="s">
        <v>697</v>
      </c>
      <c r="B63" s="138">
        <v>6</v>
      </c>
      <c r="C63" s="138" t="s">
        <v>414</v>
      </c>
      <c r="D63" s="138">
        <v>53.2</v>
      </c>
      <c r="E63" s="138">
        <v>1.1500000000000057</v>
      </c>
      <c r="F63" s="138">
        <v>2.2094140249759957E-2</v>
      </c>
    </row>
    <row r="64" spans="1:6" x14ac:dyDescent="0.2">
      <c r="A64" s="138" t="s">
        <v>697</v>
      </c>
      <c r="B64" s="138">
        <v>5</v>
      </c>
      <c r="C64" s="138" t="s">
        <v>381</v>
      </c>
      <c r="D64" s="138">
        <v>52.95</v>
      </c>
      <c r="E64" s="138">
        <v>0.90000000000000568</v>
      </c>
      <c r="F64" s="138">
        <v>1.7291066282420858E-2</v>
      </c>
    </row>
    <row r="65" spans="1:6" x14ac:dyDescent="0.2">
      <c r="A65" s="138" t="s">
        <v>697</v>
      </c>
      <c r="B65" s="138">
        <v>2</v>
      </c>
      <c r="C65" s="138" t="s">
        <v>409</v>
      </c>
      <c r="D65" s="138">
        <v>52.5</v>
      </c>
      <c r="E65" s="138">
        <v>0.45000000000000284</v>
      </c>
      <c r="F65" s="138">
        <v>8.6455331412104292E-3</v>
      </c>
    </row>
    <row r="66" spans="1:6" x14ac:dyDescent="0.2">
      <c r="A66" s="138" t="s">
        <v>697</v>
      </c>
      <c r="B66" s="138">
        <v>1</v>
      </c>
      <c r="C66" s="138" t="s">
        <v>404</v>
      </c>
      <c r="D66" s="138">
        <v>52.24</v>
      </c>
      <c r="E66" s="138">
        <v>0.19000000000000483</v>
      </c>
      <c r="F66" s="138">
        <v>3.6503362151778067E-3</v>
      </c>
    </row>
    <row r="67" spans="1:6" x14ac:dyDescent="0.2">
      <c r="A67" s="138" t="s">
        <v>697</v>
      </c>
      <c r="B67" s="138">
        <v>3</v>
      </c>
      <c r="C67" s="138" t="s">
        <v>654</v>
      </c>
      <c r="D67" s="138">
        <v>51.49</v>
      </c>
      <c r="E67" s="138">
        <v>-0.55999999999999517</v>
      </c>
      <c r="F67" s="138">
        <v>1.0758885686839486E-2</v>
      </c>
    </row>
    <row r="68" spans="1:6" x14ac:dyDescent="0.2">
      <c r="A68" s="138" t="s">
        <v>697</v>
      </c>
      <c r="B68" s="138">
        <v>4</v>
      </c>
      <c r="C68" s="138" t="s">
        <v>336</v>
      </c>
      <c r="D68" s="138">
        <v>51.4</v>
      </c>
      <c r="E68" s="138">
        <v>-0.64999999999999858</v>
      </c>
      <c r="F68" s="138">
        <v>1.2487992315081626E-2</v>
      </c>
    </row>
    <row r="69" spans="1:6" x14ac:dyDescent="0.2">
      <c r="A69" s="138" t="s">
        <v>697</v>
      </c>
      <c r="B69" s="138">
        <v>8</v>
      </c>
      <c r="C69" s="138" t="s">
        <v>225</v>
      </c>
      <c r="D69" s="138">
        <v>50.8</v>
      </c>
      <c r="E69" s="138">
        <v>-1.25</v>
      </c>
      <c r="F69" s="138">
        <v>2.4015369836695485E-2</v>
      </c>
    </row>
    <row r="70" spans="1:6" x14ac:dyDescent="0.2">
      <c r="A70" s="138" t="s">
        <v>697</v>
      </c>
      <c r="B70" s="138">
        <v>13</v>
      </c>
      <c r="C70" s="138" t="s">
        <v>543</v>
      </c>
      <c r="D70" s="138">
        <v>49.29</v>
      </c>
      <c r="E70" s="138">
        <v>-2.759999999999998</v>
      </c>
      <c r="F70" s="138">
        <v>5.3025936599423597E-2</v>
      </c>
    </row>
    <row r="71" spans="1:6" x14ac:dyDescent="0.2">
      <c r="A71" s="138" t="s">
        <v>697</v>
      </c>
      <c r="B71" s="138">
        <v>19</v>
      </c>
      <c r="C71" s="138" t="s">
        <v>364</v>
      </c>
      <c r="D71" s="138">
        <v>48.01</v>
      </c>
      <c r="E71" s="138">
        <v>-4.0399999999999991</v>
      </c>
      <c r="F71" s="138">
        <v>7.7617675312199791E-2</v>
      </c>
    </row>
    <row r="72" spans="1:6" x14ac:dyDescent="0.2">
      <c r="A72" s="138" t="s">
        <v>697</v>
      </c>
      <c r="B72" s="138">
        <v>21</v>
      </c>
      <c r="C72" s="138" t="s">
        <v>222</v>
      </c>
      <c r="D72" s="138">
        <v>47.82</v>
      </c>
      <c r="E72" s="138">
        <v>-4.2299999999999969</v>
      </c>
      <c r="F72" s="138">
        <v>8.1268011527377462E-2</v>
      </c>
    </row>
    <row r="73" spans="1:6" x14ac:dyDescent="0.2">
      <c r="A73" s="138" t="s">
        <v>697</v>
      </c>
      <c r="B73" s="138">
        <v>23</v>
      </c>
      <c r="C73" s="138" t="s">
        <v>407</v>
      </c>
      <c r="D73" s="138">
        <v>46.66</v>
      </c>
      <c r="E73" s="138">
        <v>-5.3900000000000006</v>
      </c>
      <c r="F73" s="138">
        <v>0.10355427473583095</v>
      </c>
    </row>
    <row r="74" spans="1:6" x14ac:dyDescent="0.2">
      <c r="A74" t="s">
        <v>697</v>
      </c>
      <c r="B74">
        <v>24</v>
      </c>
      <c r="C74" s="138" t="s">
        <v>242</v>
      </c>
      <c r="D74">
        <v>46.5</v>
      </c>
      <c r="E74">
        <v>-5.5499999999999972</v>
      </c>
      <c r="F74">
        <v>0.10662824207492791</v>
      </c>
    </row>
    <row r="75" spans="1:6" x14ac:dyDescent="0.2">
      <c r="A75" t="s">
        <v>697</v>
      </c>
      <c r="B75">
        <v>27</v>
      </c>
      <c r="C75" s="138" t="s">
        <v>542</v>
      </c>
      <c r="D75">
        <v>44.45</v>
      </c>
      <c r="E75">
        <v>-7.5999999999999943</v>
      </c>
      <c r="F75">
        <v>0.14601344860710844</v>
      </c>
    </row>
    <row r="76" spans="1:6" x14ac:dyDescent="0.2">
      <c r="A76" t="s">
        <v>697</v>
      </c>
      <c r="B76">
        <v>28</v>
      </c>
      <c r="C76" s="138" t="s">
        <v>337</v>
      </c>
      <c r="D76">
        <v>44.44</v>
      </c>
      <c r="E76">
        <v>-7.6099999999999994</v>
      </c>
      <c r="F76">
        <v>0.14620557156580211</v>
      </c>
    </row>
    <row r="77" spans="1:6" x14ac:dyDescent="0.2">
      <c r="A77" t="s">
        <v>697</v>
      </c>
      <c r="B77">
        <v>30</v>
      </c>
      <c r="C77" s="138" t="s">
        <v>292</v>
      </c>
      <c r="D77">
        <v>43.83</v>
      </c>
      <c r="E77">
        <v>-8.2199999999999989</v>
      </c>
      <c r="F77">
        <v>0.1579250720461095</v>
      </c>
    </row>
    <row r="78" spans="1:6" x14ac:dyDescent="0.2">
      <c r="A78" t="s">
        <v>697</v>
      </c>
      <c r="B78">
        <v>32</v>
      </c>
      <c r="C78" s="138" t="s">
        <v>800</v>
      </c>
      <c r="D78">
        <v>43.73</v>
      </c>
      <c r="E78">
        <v>-8.32</v>
      </c>
      <c r="F78">
        <v>0.15984630163304517</v>
      </c>
    </row>
    <row r="79" spans="1:6" x14ac:dyDescent="0.2">
      <c r="A79" t="s">
        <v>697</v>
      </c>
      <c r="B79">
        <v>33</v>
      </c>
      <c r="C79" s="138" t="s">
        <v>647</v>
      </c>
      <c r="D79">
        <v>43.71</v>
      </c>
      <c r="E79">
        <v>-8.3399999999999963</v>
      </c>
      <c r="F79">
        <v>0.1602305475504322</v>
      </c>
    </row>
    <row r="80" spans="1:6" x14ac:dyDescent="0.2">
      <c r="A80" t="s">
        <v>697</v>
      </c>
      <c r="B80">
        <v>34</v>
      </c>
      <c r="C80" s="138" t="s">
        <v>796</v>
      </c>
      <c r="D80">
        <v>43.28</v>
      </c>
      <c r="E80">
        <v>-8.769999999999996</v>
      </c>
      <c r="F80">
        <v>0.16849183477425544</v>
      </c>
    </row>
    <row r="81" spans="1:6" x14ac:dyDescent="0.2">
      <c r="A81" t="s">
        <v>697</v>
      </c>
      <c r="B81">
        <v>35</v>
      </c>
      <c r="C81" s="138" t="s">
        <v>399</v>
      </c>
      <c r="D81">
        <v>43.2</v>
      </c>
      <c r="E81">
        <v>-8.8499999999999943</v>
      </c>
      <c r="F81">
        <v>0.17002881844380394</v>
      </c>
    </row>
    <row r="82" spans="1:6" x14ac:dyDescent="0.2">
      <c r="A82" t="s">
        <v>697</v>
      </c>
      <c r="B82">
        <v>36</v>
      </c>
      <c r="C82" s="138" t="s">
        <v>474</v>
      </c>
      <c r="D82">
        <v>42.25</v>
      </c>
      <c r="E82">
        <v>-9.7999999999999972</v>
      </c>
      <c r="F82">
        <v>0.18828049951969256</v>
      </c>
    </row>
    <row r="83" spans="1:6" x14ac:dyDescent="0.2">
      <c r="A83" t="s">
        <v>697</v>
      </c>
      <c r="B83">
        <v>37</v>
      </c>
      <c r="C83" s="138" t="s">
        <v>362</v>
      </c>
      <c r="D83">
        <v>42.11</v>
      </c>
      <c r="E83">
        <v>-9.9399999999999977</v>
      </c>
      <c r="F83">
        <v>0.19097022094140245</v>
      </c>
    </row>
    <row r="84" spans="1:6" x14ac:dyDescent="0.2">
      <c r="A84" t="s">
        <v>697</v>
      </c>
      <c r="B84">
        <v>38</v>
      </c>
      <c r="C84" s="138" t="s">
        <v>363</v>
      </c>
      <c r="D84">
        <v>42.1</v>
      </c>
      <c r="E84">
        <v>-9.9499999999999957</v>
      </c>
      <c r="F84">
        <v>0.19116234390009598</v>
      </c>
    </row>
    <row r="85" spans="1:6" x14ac:dyDescent="0.2">
      <c r="A85" t="s">
        <v>697</v>
      </c>
      <c r="B85">
        <v>39</v>
      </c>
      <c r="C85" s="138" t="s">
        <v>408</v>
      </c>
      <c r="D85">
        <v>41.91</v>
      </c>
      <c r="E85">
        <v>-10.14</v>
      </c>
      <c r="F85">
        <v>0.19481268011527381</v>
      </c>
    </row>
    <row r="86" spans="1:6" x14ac:dyDescent="0.2">
      <c r="A86" t="s">
        <v>697</v>
      </c>
      <c r="B86">
        <v>42</v>
      </c>
      <c r="C86" s="138" t="s">
        <v>217</v>
      </c>
      <c r="D86">
        <v>39.93</v>
      </c>
      <c r="E86">
        <v>-12.119999999999997</v>
      </c>
      <c r="F86">
        <v>0.2328530259365994</v>
      </c>
    </row>
    <row r="87" spans="1:6" x14ac:dyDescent="0.2">
      <c r="A87" t="s">
        <v>697</v>
      </c>
      <c r="B87">
        <v>43</v>
      </c>
      <c r="C87" s="138" t="s">
        <v>221</v>
      </c>
      <c r="D87">
        <v>39.590000000000003</v>
      </c>
      <c r="E87">
        <v>-12.459999999999994</v>
      </c>
      <c r="F87">
        <v>0.23938520653218048</v>
      </c>
    </row>
    <row r="88" spans="1:6" x14ac:dyDescent="0.2">
      <c r="A88" t="s">
        <v>697</v>
      </c>
      <c r="B88">
        <v>44</v>
      </c>
      <c r="C88" s="138" t="s">
        <v>653</v>
      </c>
      <c r="D88">
        <v>38.9</v>
      </c>
      <c r="E88">
        <v>-13.149999999999999</v>
      </c>
      <c r="F88">
        <v>0.25264169068203651</v>
      </c>
    </row>
    <row r="89" spans="1:6" x14ac:dyDescent="0.2">
      <c r="A89" t="s">
        <v>697</v>
      </c>
      <c r="B89">
        <v>45</v>
      </c>
      <c r="C89" s="138" t="s">
        <v>797</v>
      </c>
      <c r="D89">
        <v>38.5</v>
      </c>
      <c r="E89">
        <v>-13.549999999999997</v>
      </c>
      <c r="F89">
        <v>0.260326609029779</v>
      </c>
    </row>
    <row r="90" spans="1:6" x14ac:dyDescent="0.2">
      <c r="A90" t="s">
        <v>697</v>
      </c>
      <c r="B90">
        <v>46</v>
      </c>
      <c r="C90" s="138" t="s">
        <v>801</v>
      </c>
      <c r="D90">
        <v>35.880000000000003</v>
      </c>
      <c r="E90">
        <v>-16.169999999999995</v>
      </c>
      <c r="F90">
        <v>0.31066282420749269</v>
      </c>
    </row>
    <row r="91" spans="1:6" x14ac:dyDescent="0.2">
      <c r="A91" t="s">
        <v>697</v>
      </c>
      <c r="B91">
        <v>47</v>
      </c>
      <c r="C91" s="138" t="s">
        <v>541</v>
      </c>
      <c r="D91">
        <v>35.15</v>
      </c>
      <c r="E91">
        <v>-16.899999999999999</v>
      </c>
      <c r="F91">
        <v>0.32468780019212296</v>
      </c>
    </row>
    <row r="92" spans="1:6" x14ac:dyDescent="0.2">
      <c r="A92" t="s">
        <v>697</v>
      </c>
      <c r="B92">
        <v>49</v>
      </c>
      <c r="C92" s="138" t="s">
        <v>9</v>
      </c>
      <c r="D92">
        <v>35</v>
      </c>
      <c r="E92">
        <v>-17.049999999999997</v>
      </c>
      <c r="F92">
        <v>0.32756964457252635</v>
      </c>
    </row>
    <row r="93" spans="1:6" x14ac:dyDescent="0.2">
      <c r="A93" t="s">
        <v>697</v>
      </c>
      <c r="B93">
        <v>50</v>
      </c>
      <c r="C93" s="138" t="s">
        <v>799</v>
      </c>
      <c r="D93">
        <v>31.85</v>
      </c>
      <c r="E93">
        <v>-20.199999999999996</v>
      </c>
      <c r="F93">
        <v>0.38808837656099898</v>
      </c>
    </row>
    <row r="94" spans="1:6" x14ac:dyDescent="0.2">
      <c r="A94" t="s">
        <v>697</v>
      </c>
      <c r="B94">
        <v>51</v>
      </c>
      <c r="C94" s="138" t="s">
        <v>411</v>
      </c>
      <c r="D94">
        <v>29.45</v>
      </c>
      <c r="E94">
        <v>-22.599999999999998</v>
      </c>
      <c r="F94">
        <v>0.43419788664745435</v>
      </c>
    </row>
  </sheetData>
  <phoneticPr fontId="9" type="noConversion"/>
  <pageMargins left="0.7" right="0.7" top="0.75" bottom="0.75" header="0.3" footer="0.3"/>
  <tableParts count="6">
    <tablePart r:id="rId1"/>
    <tablePart r:id="rId2"/>
    <tablePart r:id="rId3"/>
    <tablePart r:id="rId4"/>
    <tablePart r:id="rId5"/>
    <tablePart r:id="rId6"/>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A83FA7-4030-4F3C-8475-57AE6A580CA7}">
  <sheetPr codeName="Hoja8"/>
  <dimension ref="A1:R96"/>
  <sheetViews>
    <sheetView showGridLines="0" topLeftCell="A19" workbookViewId="0">
      <selection activeCell="B2" sqref="B2"/>
    </sheetView>
  </sheetViews>
  <sheetFormatPr baseColWidth="10" defaultRowHeight="12" x14ac:dyDescent="0.2"/>
  <cols>
    <col min="1" max="1" width="28.5703125" bestFit="1" customWidth="1"/>
    <col min="2" max="5" width="9.28515625" customWidth="1"/>
    <col min="6" max="6" width="7.85546875" customWidth="1"/>
    <col min="7" max="7" width="9.28515625" customWidth="1"/>
    <col min="8" max="8" width="7.5703125" style="4" customWidth="1"/>
    <col min="9" max="9" width="9.28515625" style="4" customWidth="1"/>
    <col min="10" max="10" width="31.140625" bestFit="1" customWidth="1"/>
  </cols>
  <sheetData>
    <row r="1" spans="1:18" x14ac:dyDescent="0.2">
      <c r="A1" t="s">
        <v>0</v>
      </c>
      <c r="B1" t="s">
        <v>99</v>
      </c>
      <c r="C1" t="s">
        <v>266</v>
      </c>
      <c r="D1" t="s">
        <v>417</v>
      </c>
      <c r="E1" t="s">
        <v>146</v>
      </c>
      <c r="F1" t="s">
        <v>563</v>
      </c>
      <c r="G1" t="s">
        <v>697</v>
      </c>
      <c r="H1" s="62" t="s">
        <v>558</v>
      </c>
      <c r="I1" s="62" t="s">
        <v>669</v>
      </c>
      <c r="J1" s="61" t="s">
        <v>560</v>
      </c>
    </row>
    <row r="2" spans="1:18" x14ac:dyDescent="0.2">
      <c r="A2" s="140" t="s">
        <v>336</v>
      </c>
      <c r="B2" s="140">
        <v>3.2388663967611225E-2</v>
      </c>
      <c r="C2" s="140">
        <v>0.73000000000000009</v>
      </c>
      <c r="D2" s="140">
        <v>0.16863905325443776</v>
      </c>
      <c r="E2" s="47">
        <v>0.49963423555230435</v>
      </c>
      <c r="F2" s="47">
        <v>1.2828947368420955E-2</v>
      </c>
      <c r="G2">
        <v>1.2487992315081626E-2</v>
      </c>
      <c r="H2" s="139">
        <f>$H$82- COUNTIF(acumulado_porcentaje[[#This Row],[Ene 2024]:[Jun 2024]],"")</f>
        <v>6</v>
      </c>
      <c r="I2" s="69">
        <f>IF(acumulado_porcentaje[[#This Row],[contar]]&gt;=$H$83,SUM(SMALL(acumulado_porcentaje[[#This Row],[Ene 2024]:[Jun 2024]],1),SMALL(acumulado_porcentaje[[#This Row],[Ene 2024]:[Jun 2024]],2),SMALL(acumulado_porcentaje[[#This Row],[Ene 2024]:[Jun 2024]],3),SMALL(acumulado_porcentaje[[#This Row],[Ene 2024]:[Jun 2024]],4)),"#N/A")</f>
        <v>0.22634465690555156</v>
      </c>
      <c r="J2" t="str">
        <f>acumulado_porcentaje[[#This Row],[Nombre ]]&amp;" ("&amp;acumulado_porcentaje[[#This Row],[contar]]&amp;")"</f>
        <v>Javier Revuelta Alonso (6)</v>
      </c>
      <c r="L2" s="72">
        <f>ROW(acumulado_porcentaje[[#This Row],[Clasificación]])</f>
        <v>2</v>
      </c>
      <c r="M2" s="72" t="str">
        <f t="shared" ref="M2:M21" si="0">$C$95&amp;L2</f>
        <v>E2</v>
      </c>
      <c r="N2" s="45">
        <f ca="1">LARGE(B2:INDIRECT(M2),1)</f>
        <v>0.73000000000000009</v>
      </c>
      <c r="O2" s="45">
        <f ca="1">LARGE(B2:INDIRECT(M2),2)</f>
        <v>0.49963423555230435</v>
      </c>
      <c r="P2" s="45">
        <f ca="1">SUMIFS(B2:INDIRECT(M2),B2:INDIRECT(M2),"&lt;&gt;"&amp;N2,B2:INDIRECT(M2),"&lt;&gt;"&amp;O2)</f>
        <v>0.20102771722204898</v>
      </c>
      <c r="R2" s="57" t="str">
        <f>H83&amp;" mejores resultados hasta el "&amp;jun!H1&amp;" de junio incluído*"</f>
        <v>4 mejores resultados hasta el 10 de junio incluído*</v>
      </c>
    </row>
    <row r="3" spans="1:18" x14ac:dyDescent="0.2">
      <c r="A3" s="140" t="s">
        <v>404</v>
      </c>
      <c r="B3" s="140">
        <v>2.4291497975709423E-3</v>
      </c>
      <c r="C3" s="140">
        <v>0.33849999999999997</v>
      </c>
      <c r="D3" s="140"/>
      <c r="E3" s="47"/>
      <c r="F3" s="47">
        <v>3.2894736842105734E-3</v>
      </c>
      <c r="G3">
        <v>3.6503362151778067E-3</v>
      </c>
      <c r="H3" s="139">
        <f>$H$82- COUNTIF(acumulado_porcentaje[[#This Row],[Ene 2024]:[Jun 2024]],"")</f>
        <v>4</v>
      </c>
      <c r="I3" s="69">
        <f>IF(acumulado_porcentaje[[#This Row],[contar]]&gt;=$H$83,SUM(SMALL(acumulado_porcentaje[[#This Row],[Ene 2024]:[Jun 2024]],1),SMALL(acumulado_porcentaje[[#This Row],[Ene 2024]:[Jun 2024]],2),SMALL(acumulado_porcentaje[[#This Row],[Ene 2024]:[Jun 2024]],3),SMALL(acumulado_porcentaje[[#This Row],[Ene 2024]:[Jun 2024]],4)),"#N/A")</f>
        <v>0.3478689596969593</v>
      </c>
      <c r="J3" t="str">
        <f>acumulado_porcentaje[[#This Row],[Nombre ]]&amp;" ("&amp;acumulado_porcentaje[[#This Row],[contar]]&amp;")"</f>
        <v>Juan Luis Jarillo Gómez (4)</v>
      </c>
      <c r="L3" s="72">
        <f>ROW(acumulado_porcentaje[[#This Row],[Clasificación]])</f>
        <v>3</v>
      </c>
      <c r="M3" s="72" t="str">
        <f t="shared" si="0"/>
        <v>E3</v>
      </c>
      <c r="N3" s="45">
        <f ca="1">LARGE(B3:INDIRECT(M3),1)</f>
        <v>0.33849999999999997</v>
      </c>
      <c r="O3" s="45">
        <f ca="1">LARGE(B3:INDIRECT(M3),2)</f>
        <v>2.4291497975709423E-3</v>
      </c>
      <c r="P3" s="45">
        <f ca="1">SUMIFS(B3:INDIRECT(M3),B3:INDIRECT(M3),"&lt;&gt;"&amp;N3,B3:INDIRECT(M3),"&lt;&gt;"&amp;O3)</f>
        <v>0</v>
      </c>
    </row>
    <row r="4" spans="1:18" x14ac:dyDescent="0.2">
      <c r="A4" s="140" t="s">
        <v>222</v>
      </c>
      <c r="B4" s="140">
        <v>8.7719298245612885E-3</v>
      </c>
      <c r="C4" s="140">
        <v>0.84699999999999986</v>
      </c>
      <c r="D4" s="140">
        <v>0.50394477317554232</v>
      </c>
      <c r="E4" s="47">
        <v>0.35332845647403072</v>
      </c>
      <c r="F4" s="47">
        <v>0.13980263157894737</v>
      </c>
      <c r="G4">
        <v>8.1268011527377462E-2</v>
      </c>
      <c r="H4" s="139">
        <f>$H$82- COUNTIF(acumulado_porcentaje[[#This Row],[Ene 2024]:[Jun 2024]],"")</f>
        <v>6</v>
      </c>
      <c r="I4" s="69">
        <f>IF(acumulado_porcentaje[[#This Row],[contar]]&gt;=$H$83,SUM(SMALL(acumulado_porcentaje[[#This Row],[Ene 2024]:[Jun 2024]],1),SMALL(acumulado_porcentaje[[#This Row],[Ene 2024]:[Jun 2024]],2),SMALL(acumulado_porcentaje[[#This Row],[Ene 2024]:[Jun 2024]],3),SMALL(acumulado_porcentaje[[#This Row],[Ene 2024]:[Jun 2024]],4)),"#N/A")</f>
        <v>0.58317102940491683</v>
      </c>
      <c r="J4" t="str">
        <f>acumulado_porcentaje[[#This Row],[Nombre ]]&amp;" ("&amp;acumulado_porcentaje[[#This Row],[contar]]&amp;")"</f>
        <v>Jose F Vidal (6)</v>
      </c>
      <c r="L4" s="72">
        <f>ROW(acumulado_porcentaje[[#This Row],[Clasificación]])</f>
        <v>4</v>
      </c>
      <c r="M4" s="72" t="str">
        <f t="shared" si="0"/>
        <v>E4</v>
      </c>
      <c r="N4" s="45">
        <f ca="1">LARGE(B4:INDIRECT(M4),1)</f>
        <v>0.84699999999999986</v>
      </c>
      <c r="O4" s="45">
        <f ca="1">LARGE(B4:INDIRECT(M4),2)</f>
        <v>0.50394477317554232</v>
      </c>
      <c r="P4" s="45">
        <f ca="1">SUMIFS(B4:INDIRECT(M4),B4:INDIRECT(M4),"&lt;&gt;"&amp;N4,B4:INDIRECT(M4),"&lt;&gt;"&amp;O4)</f>
        <v>0.36210038629859198</v>
      </c>
    </row>
    <row r="5" spans="1:18" x14ac:dyDescent="0.2">
      <c r="A5" s="140" t="s">
        <v>221</v>
      </c>
      <c r="B5" s="140">
        <v>5.6410256410256508E-2</v>
      </c>
      <c r="C5" s="140">
        <v>0.48249999999999993</v>
      </c>
      <c r="D5" s="140">
        <v>0.15828402366863892</v>
      </c>
      <c r="E5" s="47">
        <v>0.42648134601316751</v>
      </c>
      <c r="F5" s="47">
        <v>0.17993421052631575</v>
      </c>
      <c r="G5">
        <v>0.23938520653218048</v>
      </c>
      <c r="H5" s="139">
        <f>$H$82- COUNTIF(acumulado_porcentaje[[#This Row],[Ene 2024]:[Jun 2024]],"")</f>
        <v>6</v>
      </c>
      <c r="I5" s="69">
        <f>IF(acumulado_porcentaje[[#This Row],[contar]]&gt;=$H$83,SUM(SMALL(acumulado_porcentaje[[#This Row],[Ene 2024]:[Jun 2024]],1),SMALL(acumulado_porcentaje[[#This Row],[Ene 2024]:[Jun 2024]],2),SMALL(acumulado_porcentaje[[#This Row],[Ene 2024]:[Jun 2024]],3),SMALL(acumulado_porcentaje[[#This Row],[Ene 2024]:[Jun 2024]],4)),"#N/A")</f>
        <v>0.63401369713739175</v>
      </c>
      <c r="J5" t="str">
        <f>acumulado_porcentaje[[#This Row],[Nombre ]]&amp;" ("&amp;acumulado_porcentaje[[#This Row],[contar]]&amp;")"</f>
        <v>Alfonso Lezcano (6)</v>
      </c>
      <c r="L5" s="72">
        <f>ROW(acumulado_porcentaje[[#This Row],[Clasificación]])</f>
        <v>5</v>
      </c>
      <c r="M5" s="72" t="str">
        <f t="shared" si="0"/>
        <v>E5</v>
      </c>
      <c r="N5" s="45">
        <f ca="1">LARGE(B5:INDIRECT(M5),1)</f>
        <v>0.48249999999999993</v>
      </c>
      <c r="O5" s="45">
        <f ca="1">LARGE(B5:INDIRECT(M5),2)</f>
        <v>0.42648134601316751</v>
      </c>
      <c r="P5" s="45">
        <f ca="1">SUMIFS(B5:INDIRECT(M5),B5:INDIRECT(M5),"&lt;&gt;"&amp;N5,B5:INDIRECT(M5),"&lt;&gt;"&amp;O5)</f>
        <v>0.21469428007889543</v>
      </c>
    </row>
    <row r="6" spans="1:18" x14ac:dyDescent="0.2">
      <c r="A6" s="140" t="s">
        <v>381</v>
      </c>
      <c r="B6" s="140">
        <v>3.2388663967611413E-2</v>
      </c>
      <c r="C6" s="140">
        <v>0.50050000000000006</v>
      </c>
      <c r="D6" s="140"/>
      <c r="E6" s="47"/>
      <c r="F6" s="47">
        <v>9.3092105263157837E-2</v>
      </c>
      <c r="G6">
        <v>1.7291066282420858E-2</v>
      </c>
      <c r="H6" s="139">
        <f>$H$82- COUNTIF(acumulado_porcentaje[[#This Row],[Ene 2024]:[Jun 2024]],"")</f>
        <v>4</v>
      </c>
      <c r="I6" s="69">
        <f>IF(acumulado_porcentaje[[#This Row],[contar]]&gt;=$H$83,SUM(SMALL(acumulado_porcentaje[[#This Row],[Ene 2024]:[Jun 2024]],1),SMALL(acumulado_porcentaje[[#This Row],[Ene 2024]:[Jun 2024]],2),SMALL(acumulado_porcentaje[[#This Row],[Ene 2024]:[Jun 2024]],3),SMALL(acumulado_porcentaje[[#This Row],[Ene 2024]:[Jun 2024]],4)),"#N/A")</f>
        <v>0.64327183551319012</v>
      </c>
      <c r="J6" t="str">
        <f>acumulado_porcentaje[[#This Row],[Nombre ]]&amp;" ("&amp;acumulado_porcentaje[[#This Row],[contar]]&amp;")"</f>
        <v>Roberto Cavero García (4)</v>
      </c>
      <c r="L6" s="72">
        <f>ROW(acumulado_porcentaje[[#This Row],[Clasificación]])</f>
        <v>6</v>
      </c>
      <c r="M6" s="72" t="str">
        <f t="shared" si="0"/>
        <v>E6</v>
      </c>
      <c r="N6" s="45">
        <f ca="1">LARGE(B6:INDIRECT(M6),1)</f>
        <v>0.50050000000000006</v>
      </c>
      <c r="O6" s="45">
        <f ca="1">LARGE(B6:INDIRECT(M6),2)</f>
        <v>3.2388663967611413E-2</v>
      </c>
      <c r="P6" s="45">
        <f ca="1">SUMIFS(B6:INDIRECT(M6),B6:INDIRECT(M6),"&lt;&gt;"&amp;N6,B6:INDIRECT(M6),"&lt;&gt;"&amp;O6)</f>
        <v>0</v>
      </c>
    </row>
    <row r="7" spans="1:18" x14ac:dyDescent="0.2">
      <c r="A7" s="140" t="s">
        <v>406</v>
      </c>
      <c r="B7" s="140">
        <v>1.2145748987854329E-2</v>
      </c>
      <c r="C7" s="140">
        <v>0.625</v>
      </c>
      <c r="D7" s="140">
        <v>0.57790927021696248</v>
      </c>
      <c r="E7" s="47">
        <v>1.0848573518653988</v>
      </c>
      <c r="F7" s="47">
        <v>0.17763157894736839</v>
      </c>
      <c r="G7">
        <v>5.66762728146014E-2</v>
      </c>
      <c r="H7" s="139">
        <f>$H$82- COUNTIF(acumulado_porcentaje[[#This Row],[Ene 2024]:[Jun 2024]],"")</f>
        <v>6</v>
      </c>
      <c r="I7" s="69">
        <f>IF(acumulado_porcentaje[[#This Row],[contar]]&gt;=$H$83,SUM(SMALL(acumulado_porcentaje[[#This Row],[Ene 2024]:[Jun 2024]],1),SMALL(acumulado_porcentaje[[#This Row],[Ene 2024]:[Jun 2024]],2),SMALL(acumulado_porcentaje[[#This Row],[Ene 2024]:[Jun 2024]],3),SMALL(acumulado_porcentaje[[#This Row],[Ene 2024]:[Jun 2024]],4)),"#N/A")</f>
        <v>0.82436287096678662</v>
      </c>
      <c r="J7" t="str">
        <f>acumulado_porcentaje[[#This Row],[Nombre ]]&amp;" ("&amp;acumulado_porcentaje[[#This Row],[contar]]&amp;")"</f>
        <v>Javier Pérez Salazar (6)</v>
      </c>
      <c r="L7" s="72">
        <f>ROW(acumulado_porcentaje[[#This Row],[Clasificación]])</f>
        <v>7</v>
      </c>
      <c r="M7" s="72" t="str">
        <f t="shared" si="0"/>
        <v>E7</v>
      </c>
      <c r="N7" s="45">
        <f ca="1">LARGE(B7:INDIRECT(M7),1)</f>
        <v>1.0848573518653988</v>
      </c>
      <c r="O7" s="45">
        <f ca="1">LARGE(B7:INDIRECT(M7),2)</f>
        <v>0.625</v>
      </c>
      <c r="P7" s="45">
        <f ca="1">SUMIFS(B7:INDIRECT(M7),B7:INDIRECT(M7),"&lt;&gt;"&amp;N7,B7:INDIRECT(M7),"&lt;&gt;"&amp;O7)</f>
        <v>0.59005501920481684</v>
      </c>
    </row>
    <row r="8" spans="1:18" x14ac:dyDescent="0.2">
      <c r="A8" s="140" t="s">
        <v>543</v>
      </c>
      <c r="B8" s="140"/>
      <c r="C8" s="140">
        <v>0.68</v>
      </c>
      <c r="D8" s="140">
        <v>0.34319526627218921</v>
      </c>
      <c r="E8" s="47">
        <v>0.39502560351133875</v>
      </c>
      <c r="F8" s="47">
        <v>5.8552631578947294E-2</v>
      </c>
      <c r="G8">
        <v>5.3025936599423597E-2</v>
      </c>
      <c r="H8" s="139">
        <f>$H$82- COUNTIF(acumulado_porcentaje[[#This Row],[Ene 2024]:[Jun 2024]],"")</f>
        <v>5</v>
      </c>
      <c r="I8" s="69">
        <f>IF(acumulado_porcentaje[[#This Row],[contar]]&gt;=$H$83,SUM(SMALL(acumulado_porcentaje[[#This Row],[Ene 2024]:[Jun 2024]],1),SMALL(acumulado_porcentaje[[#This Row],[Ene 2024]:[Jun 2024]],2),SMALL(acumulado_porcentaje[[#This Row],[Ene 2024]:[Jun 2024]],3),SMALL(acumulado_porcentaje[[#This Row],[Ene 2024]:[Jun 2024]],4)),"#N/A")</f>
        <v>0.84979943796189883</v>
      </c>
      <c r="J8" t="str">
        <f>acumulado_porcentaje[[#This Row],[Nombre ]]&amp;" ("&amp;acumulado_porcentaje[[#This Row],[contar]]&amp;")"</f>
        <v>Roberto Parro Cortés (5)</v>
      </c>
      <c r="L8" s="72">
        <f>ROW(acumulado_porcentaje[[#This Row],[Clasificación]])</f>
        <v>8</v>
      </c>
      <c r="M8" s="72" t="str">
        <f t="shared" si="0"/>
        <v>E8</v>
      </c>
      <c r="N8" s="45">
        <f ca="1">LARGE(B8:INDIRECT(M8),1)</f>
        <v>0.68</v>
      </c>
      <c r="O8" s="45">
        <f ca="1">LARGE(B8:INDIRECT(M8),2)</f>
        <v>0.39502560351133875</v>
      </c>
      <c r="P8" s="45">
        <f ca="1">SUMIFS(B8:INDIRECT(M8),B8:INDIRECT(M8),"&lt;&gt;"&amp;N8,B8:INDIRECT(M8),"&lt;&gt;"&amp;O8)</f>
        <v>0.34319526627218921</v>
      </c>
    </row>
    <row r="9" spans="1:18" x14ac:dyDescent="0.2">
      <c r="A9" s="140" t="s">
        <v>409</v>
      </c>
      <c r="B9" s="140">
        <v>0.10242914979757091</v>
      </c>
      <c r="C9" s="140">
        <v>0.74050000000000016</v>
      </c>
      <c r="D9" s="140">
        <v>1.7460552268244574</v>
      </c>
      <c r="E9" s="47">
        <v>1.7468910021945863</v>
      </c>
      <c r="F9" s="47">
        <v>2.335526315789465E-2</v>
      </c>
      <c r="G9">
        <v>8.6455331412104292E-3</v>
      </c>
      <c r="H9" s="139">
        <f>$H$82- COUNTIF(acumulado_porcentaje[[#This Row],[Ene 2024]:[Jun 2024]],"")</f>
        <v>6</v>
      </c>
      <c r="I9" s="69">
        <f>IF(acumulado_porcentaje[[#This Row],[contar]]&gt;=$H$83,SUM(SMALL(acumulado_porcentaje[[#This Row],[Ene 2024]:[Jun 2024]],1),SMALL(acumulado_porcentaje[[#This Row],[Ene 2024]:[Jun 2024]],2),SMALL(acumulado_porcentaje[[#This Row],[Ene 2024]:[Jun 2024]],3),SMALL(acumulado_porcentaje[[#This Row],[Ene 2024]:[Jun 2024]],4)),"#N/A")</f>
        <v>0.87492994609667618</v>
      </c>
      <c r="J9" t="str">
        <f>acumulado_porcentaje[[#This Row],[Nombre ]]&amp;" ("&amp;acumulado_porcentaje[[#This Row],[contar]]&amp;")"</f>
        <v>Gladys Rocha Blanco (6)</v>
      </c>
      <c r="L9" s="72">
        <f>ROW(acumulado_porcentaje[[#This Row],[Clasificación]])</f>
        <v>9</v>
      </c>
      <c r="M9" s="72" t="str">
        <f t="shared" si="0"/>
        <v>E9</v>
      </c>
      <c r="N9" s="45">
        <f ca="1">LARGE(B9:INDIRECT(M9),1)</f>
        <v>1.7468910021945863</v>
      </c>
      <c r="O9" s="45">
        <f ca="1">LARGE(B9:INDIRECT(M9),2)</f>
        <v>1.7460552268244574</v>
      </c>
      <c r="P9" s="45">
        <f ca="1">SUMIFS(B9:INDIRECT(M9),B9:INDIRECT(M9),"&lt;&gt;"&amp;N9,B9:INDIRECT(M9),"&lt;&gt;"&amp;O9)</f>
        <v>0.84292914979757105</v>
      </c>
    </row>
    <row r="10" spans="1:18" x14ac:dyDescent="0.2">
      <c r="A10" s="140" t="s">
        <v>408</v>
      </c>
      <c r="B10" s="140">
        <v>3.8731443994601759E-2</v>
      </c>
      <c r="C10" s="140">
        <v>0.8932500000000001</v>
      </c>
      <c r="D10" s="140">
        <v>0.64250493096646943</v>
      </c>
      <c r="E10" s="47">
        <v>0.77249451353328458</v>
      </c>
      <c r="F10" s="47">
        <v>2.6315789473684119E-2</v>
      </c>
      <c r="G10">
        <v>0.19481268011527381</v>
      </c>
      <c r="H10" s="139">
        <f>$H$82- COUNTIF(acumulado_porcentaje[[#This Row],[Ene 2024]:[Jun 2024]],"")</f>
        <v>6</v>
      </c>
      <c r="I10" s="69">
        <f>IF(acumulado_porcentaje[[#This Row],[contar]]&gt;=$H$83,SUM(SMALL(acumulado_porcentaje[[#This Row],[Ene 2024]:[Jun 2024]],1),SMALL(acumulado_porcentaje[[#This Row],[Ene 2024]:[Jun 2024]],2),SMALL(acumulado_porcentaje[[#This Row],[Ene 2024]:[Jun 2024]],3),SMALL(acumulado_porcentaje[[#This Row],[Ene 2024]:[Jun 2024]],4)),"#N/A")</f>
        <v>0.90236484455002919</v>
      </c>
      <c r="J10" t="str">
        <f>acumulado_porcentaje[[#This Row],[Nombre ]]&amp;" ("&amp;acumulado_porcentaje[[#This Row],[contar]]&amp;")"</f>
        <v>Julián Mateo Muñoz (6)</v>
      </c>
      <c r="L10" s="72">
        <f>ROW(acumulado_porcentaje[[#This Row],[Clasificación]])</f>
        <v>10</v>
      </c>
      <c r="M10" s="72" t="str">
        <f t="shared" si="0"/>
        <v>E10</v>
      </c>
      <c r="N10" s="45">
        <f ca="1">LARGE(B10:INDIRECT(M10),1)</f>
        <v>0.8932500000000001</v>
      </c>
      <c r="O10" s="45">
        <f ca="1">LARGE(B10:INDIRECT(M10),2)</f>
        <v>0.77249451353328458</v>
      </c>
      <c r="P10" s="45">
        <f ca="1">SUMIFS(B10:INDIRECT(M10),B10:INDIRECT(M10),"&lt;&gt;"&amp;N10,B10:INDIRECT(M10),"&lt;&gt;"&amp;O10)</f>
        <v>0.68123637496107114</v>
      </c>
    </row>
    <row r="11" spans="1:18" x14ac:dyDescent="0.2">
      <c r="A11" s="140" t="s">
        <v>335</v>
      </c>
      <c r="B11" s="140">
        <v>7.0175438596491266E-2</v>
      </c>
      <c r="C11" s="140">
        <v>0.7024999999999999</v>
      </c>
      <c r="D11" s="140"/>
      <c r="E11" s="47"/>
      <c r="F11" s="47">
        <v>0.12532894736842112</v>
      </c>
      <c r="G11">
        <v>2.2286263208453481E-2</v>
      </c>
      <c r="H11" s="139">
        <f>$H$82- COUNTIF(acumulado_porcentaje[[#This Row],[Ene 2024]:[Jun 2024]],"")</f>
        <v>4</v>
      </c>
      <c r="I11" s="69">
        <f>IF(acumulado_porcentaje[[#This Row],[contar]]&gt;=$H$83,SUM(SMALL(acumulado_porcentaje[[#This Row],[Ene 2024]:[Jun 2024]],1),SMALL(acumulado_porcentaje[[#This Row],[Ene 2024]:[Jun 2024]],2),SMALL(acumulado_porcentaje[[#This Row],[Ene 2024]:[Jun 2024]],3),SMALL(acumulado_porcentaje[[#This Row],[Ene 2024]:[Jun 2024]],4)),"#N/A")</f>
        <v>0.92029064917336578</v>
      </c>
      <c r="J11" t="str">
        <f>acumulado_porcentaje[[#This Row],[Nombre ]]&amp;" ("&amp;acumulado_porcentaje[[#This Row],[contar]]&amp;")"</f>
        <v>Carlos Callejón (4)</v>
      </c>
      <c r="L11" s="72">
        <f>ROW(acumulado_porcentaje[[#This Row],[Clasificación]])</f>
        <v>11</v>
      </c>
      <c r="M11" s="72" t="str">
        <f t="shared" si="0"/>
        <v>E11</v>
      </c>
      <c r="N11" s="45">
        <f ca="1">LARGE(B11:INDIRECT(M11),1)</f>
        <v>0.7024999999999999</v>
      </c>
      <c r="O11" s="45">
        <f ca="1">LARGE(B11:INDIRECT(M11),2)</f>
        <v>7.0175438596491266E-2</v>
      </c>
      <c r="P11" s="45">
        <f ca="1">SUMIFS(B11:INDIRECT(M11),B11:INDIRECT(M11),"&lt;&gt;"&amp;N11,B11:INDIRECT(M11),"&lt;&gt;"&amp;O11)</f>
        <v>0</v>
      </c>
    </row>
    <row r="12" spans="1:18" x14ac:dyDescent="0.2">
      <c r="A12" s="140" t="s">
        <v>399</v>
      </c>
      <c r="B12" s="140">
        <v>6.2078272604589469E-3</v>
      </c>
      <c r="C12" s="140">
        <v>0.64649999999999996</v>
      </c>
      <c r="D12" s="140"/>
      <c r="E12" s="47"/>
      <c r="F12" s="47">
        <v>0.15888157894736837</v>
      </c>
      <c r="G12">
        <v>0.17002881844380394</v>
      </c>
      <c r="H12" s="139">
        <f>$H$82- COUNTIF(acumulado_porcentaje[[#This Row],[Ene 2024]:[Jun 2024]],"")</f>
        <v>4</v>
      </c>
      <c r="I12" s="69">
        <f>IF(acumulado_porcentaje[[#This Row],[contar]]&gt;=$H$83,SUM(SMALL(acumulado_porcentaje[[#This Row],[Ene 2024]:[Jun 2024]],1),SMALL(acumulado_porcentaje[[#This Row],[Ene 2024]:[Jun 2024]],2),SMALL(acumulado_porcentaje[[#This Row],[Ene 2024]:[Jun 2024]],3),SMALL(acumulado_porcentaje[[#This Row],[Ene 2024]:[Jun 2024]],4)),"#N/A")</f>
        <v>0.98161822465163118</v>
      </c>
      <c r="J12" t="str">
        <f>acumulado_porcentaje[[#This Row],[Nombre ]]&amp;" ("&amp;acumulado_porcentaje[[#This Row],[contar]]&amp;")"</f>
        <v>Sergio Lopez Oliver (4)</v>
      </c>
      <c r="L12" s="72">
        <f>ROW(acumulado_porcentaje[[#This Row],[Clasificación]])</f>
        <v>12</v>
      </c>
      <c r="M12" s="72" t="str">
        <f t="shared" si="0"/>
        <v>E12</v>
      </c>
      <c r="N12" s="45">
        <f ca="1">LARGE(B12:INDIRECT(M12),1)</f>
        <v>0.64649999999999996</v>
      </c>
      <c r="O12" s="45">
        <f ca="1">LARGE(B12:INDIRECT(M12),2)</f>
        <v>6.2078272604589469E-3</v>
      </c>
      <c r="P12" s="45">
        <f ca="1">SUMIFS(B12:INDIRECT(M12),B12:INDIRECT(M12),"&lt;&gt;"&amp;N12,B12:INDIRECT(M12),"&lt;&gt;"&amp;O12)</f>
        <v>0</v>
      </c>
    </row>
    <row r="13" spans="1:18" x14ac:dyDescent="0.2">
      <c r="A13" s="140" t="s">
        <v>363</v>
      </c>
      <c r="B13" s="140">
        <v>4.4534412955465549E-2</v>
      </c>
      <c r="C13" s="140">
        <v>0.63500000000000012</v>
      </c>
      <c r="D13" s="140">
        <v>0.46942800788954631</v>
      </c>
      <c r="E13" s="47">
        <v>0.66788588149231898</v>
      </c>
      <c r="F13" s="47">
        <v>0.28947368421052622</v>
      </c>
      <c r="G13">
        <v>0.19116234390009598</v>
      </c>
      <c r="H13" s="139">
        <f>$H$82- COUNTIF(acumulado_porcentaje[[#This Row],[Ene 2024]:[Jun 2024]],"")</f>
        <v>6</v>
      </c>
      <c r="I13" s="69">
        <f>IF(acumulado_porcentaje[[#This Row],[contar]]&gt;=$H$83,SUM(SMALL(acumulado_porcentaje[[#This Row],[Ene 2024]:[Jun 2024]],1),SMALL(acumulado_porcentaje[[#This Row],[Ene 2024]:[Jun 2024]],2),SMALL(acumulado_porcentaje[[#This Row],[Ene 2024]:[Jun 2024]],3),SMALL(acumulado_porcentaje[[#This Row],[Ene 2024]:[Jun 2024]],4)),"#N/A")</f>
        <v>0.9945984489556341</v>
      </c>
      <c r="J13" t="str">
        <f>acumulado_porcentaje[[#This Row],[Nombre ]]&amp;" ("&amp;acumulado_porcentaje[[#This Row],[contar]]&amp;")"</f>
        <v>Roque Alonso Alonso (6)</v>
      </c>
      <c r="L13" s="72">
        <f>ROW(acumulado_porcentaje[[#This Row],[Clasificación]])</f>
        <v>13</v>
      </c>
      <c r="M13" s="72" t="str">
        <f t="shared" si="0"/>
        <v>E13</v>
      </c>
      <c r="N13" s="45">
        <f ca="1">LARGE(B13:INDIRECT(M13),1)</f>
        <v>0.66788588149231898</v>
      </c>
      <c r="O13" s="45">
        <f ca="1">LARGE(B13:INDIRECT(M13),2)</f>
        <v>0.63500000000000012</v>
      </c>
      <c r="P13" s="45">
        <f ca="1">SUMIFS(B13:INDIRECT(M13),B13:INDIRECT(M13),"&lt;&gt;"&amp;N13,B13:INDIRECT(M13),"&lt;&gt;"&amp;O13)</f>
        <v>0.51396242084501187</v>
      </c>
    </row>
    <row r="14" spans="1:18" x14ac:dyDescent="0.2">
      <c r="A14" s="140" t="s">
        <v>474</v>
      </c>
      <c r="B14" s="140"/>
      <c r="C14" s="140"/>
      <c r="D14" s="140">
        <v>5.9171597633134827E-3</v>
      </c>
      <c r="E14" s="47">
        <v>0.64594001463057793</v>
      </c>
      <c r="F14" s="47">
        <v>0.15460526315789483</v>
      </c>
      <c r="G14">
        <v>0.18828049951969256</v>
      </c>
      <c r="H14" s="139">
        <f>$H$82- COUNTIF(acumulado_porcentaje[[#This Row],[Ene 2024]:[Jun 2024]],"")</f>
        <v>4</v>
      </c>
      <c r="I14" s="69">
        <f>IF(acumulado_porcentaje[[#This Row],[contar]]&gt;=$H$83,SUM(SMALL(acumulado_porcentaje[[#This Row],[Ene 2024]:[Jun 2024]],1),SMALL(acumulado_porcentaje[[#This Row],[Ene 2024]:[Jun 2024]],2),SMALL(acumulado_porcentaje[[#This Row],[Ene 2024]:[Jun 2024]],3),SMALL(acumulado_porcentaje[[#This Row],[Ene 2024]:[Jun 2024]],4)),"#N/A")</f>
        <v>0.99474293707147876</v>
      </c>
      <c r="J14" t="str">
        <f>acumulado_porcentaje[[#This Row],[Nombre ]]&amp;" ("&amp;acumulado_porcentaje[[#This Row],[contar]]&amp;")"</f>
        <v>Javier Colón Cortegoso (4)</v>
      </c>
      <c r="L14" s="72">
        <f>ROW(acumulado_porcentaje[[#This Row],[Clasificación]])</f>
        <v>14</v>
      </c>
      <c r="M14" s="72" t="str">
        <f t="shared" si="0"/>
        <v>E14</v>
      </c>
      <c r="N14" s="45">
        <f ca="1">LARGE(B14:INDIRECT(M14),1)</f>
        <v>0.64594001463057793</v>
      </c>
      <c r="O14" s="45">
        <f ca="1">LARGE(B14:INDIRECT(M14),2)</f>
        <v>5.9171597633134827E-3</v>
      </c>
      <c r="P14" s="45">
        <f ca="1">SUMIFS(B14:INDIRECT(M14),B14:INDIRECT(M14),"&lt;&gt;"&amp;N14,B14:INDIRECT(M14),"&lt;&gt;"&amp;O14)</f>
        <v>0</v>
      </c>
    </row>
    <row r="15" spans="1:18" x14ac:dyDescent="0.2">
      <c r="A15" s="140" t="s">
        <v>226</v>
      </c>
      <c r="B15" s="140">
        <v>1.6869095816464237E-2</v>
      </c>
      <c r="C15" s="140">
        <v>0.5625</v>
      </c>
      <c r="D15" s="140">
        <v>0.22287968441814593</v>
      </c>
      <c r="E15" s="47">
        <v>0.64667154352596945</v>
      </c>
      <c r="F15" s="47">
        <v>0.19769736842105257</v>
      </c>
      <c r="H15" s="139">
        <f>$H$82- COUNTIF(acumulado_porcentaje[[#This Row],[Ene 2024]:[Jun 2024]],"")</f>
        <v>5</v>
      </c>
      <c r="I15" s="69">
        <f>IF(acumulado_porcentaje[[#This Row],[contar]]&gt;=$H$83,SUM(SMALL(acumulado_porcentaje[[#This Row],[Ene 2024]:[Jun 2024]],1),SMALL(acumulado_porcentaje[[#This Row],[Ene 2024]:[Jun 2024]],2),SMALL(acumulado_porcentaje[[#This Row],[Ene 2024]:[Jun 2024]],3),SMALL(acumulado_porcentaje[[#This Row],[Ene 2024]:[Jun 2024]],4)),"#N/A")</f>
        <v>0.99994614865566267</v>
      </c>
      <c r="J15" t="str">
        <f>acumulado_porcentaje[[#This Row],[Nombre ]]&amp;" ("&amp;acumulado_porcentaje[[#This Row],[contar]]&amp;")"</f>
        <v>Alejandro A. Díaz González (5)</v>
      </c>
      <c r="L15" s="72">
        <f>ROW(acumulado_porcentaje[[#This Row],[Clasificación]])</f>
        <v>15</v>
      </c>
      <c r="M15" s="72" t="str">
        <f t="shared" si="0"/>
        <v>E15</v>
      </c>
      <c r="N15" s="45">
        <f ca="1">LARGE(B15:INDIRECT(M15),1)</f>
        <v>0.64667154352596945</v>
      </c>
      <c r="O15" s="45">
        <f ca="1">LARGE(B15:INDIRECT(M15),2)</f>
        <v>0.5625</v>
      </c>
      <c r="P15" s="45">
        <f ca="1">SUMIFS(B15:INDIRECT(M15),B15:INDIRECT(M15),"&lt;&gt;"&amp;N15,B15:INDIRECT(M15),"&lt;&gt;"&amp;O15)</f>
        <v>0.23974878023461016</v>
      </c>
    </row>
    <row r="16" spans="1:18" x14ac:dyDescent="0.2">
      <c r="A16" s="140" t="s">
        <v>362</v>
      </c>
      <c r="B16" s="140">
        <v>2.6990553306343165E-3</v>
      </c>
      <c r="C16" s="140">
        <v>0.74624999999999986</v>
      </c>
      <c r="D16" s="140">
        <v>0.75542406311637078</v>
      </c>
      <c r="E16" s="47">
        <v>0.77029992684711046</v>
      </c>
      <c r="F16" s="47">
        <v>6.907894736842099E-2</v>
      </c>
      <c r="G16">
        <v>0.19097022094140245</v>
      </c>
      <c r="H16" s="139">
        <f>$H$82- COUNTIF(acumulado_porcentaje[[#This Row],[Ene 2024]:[Jun 2024]],"")</f>
        <v>6</v>
      </c>
      <c r="I16" s="69">
        <f>IF(acumulado_porcentaje[[#This Row],[contar]]&gt;=$H$83,SUM(SMALL(acumulado_porcentaje[[#This Row],[Ene 2024]:[Jun 2024]],1),SMALL(acumulado_porcentaje[[#This Row],[Ene 2024]:[Jun 2024]],2),SMALL(acumulado_porcentaje[[#This Row],[Ene 2024]:[Jun 2024]],3),SMALL(acumulado_porcentaje[[#This Row],[Ene 2024]:[Jun 2024]],4)),"#N/A")</f>
        <v>1.0089982236404575</v>
      </c>
      <c r="J16" t="str">
        <f>acumulado_porcentaje[[#This Row],[Nombre ]]&amp;" ("&amp;acumulado_porcentaje[[#This Row],[contar]]&amp;")"</f>
        <v>Inés Monroy (6)</v>
      </c>
      <c r="L16" s="72">
        <f>ROW(acumulado_porcentaje[[#This Row],[Clasificación]])</f>
        <v>16</v>
      </c>
      <c r="M16" s="72" t="str">
        <f t="shared" si="0"/>
        <v>E16</v>
      </c>
      <c r="N16" s="45">
        <f ca="1">LARGE(B16:INDIRECT(M16),1)</f>
        <v>0.77029992684711046</v>
      </c>
      <c r="O16" s="45">
        <f ca="1">LARGE(B16:INDIRECT(M16),2)</f>
        <v>0.75542406311637078</v>
      </c>
      <c r="P16" s="45">
        <f ca="1">SUMIFS(B16:INDIRECT(M16),B16:INDIRECT(M16),"&lt;&gt;"&amp;N16,B16:INDIRECT(M16),"&lt;&gt;"&amp;O16)</f>
        <v>0.74894905533063416</v>
      </c>
    </row>
    <row r="17" spans="1:16" x14ac:dyDescent="0.2">
      <c r="A17" s="140" t="s">
        <v>219</v>
      </c>
      <c r="B17" s="140">
        <v>0.18866396761133611</v>
      </c>
      <c r="C17" s="140">
        <v>0.74224999999999997</v>
      </c>
      <c r="D17" s="140">
        <v>0.80769230769230738</v>
      </c>
      <c r="E17" s="47"/>
      <c r="F17" s="47">
        <v>9.703947368421062E-2</v>
      </c>
      <c r="G17">
        <v>0.13121998078770425</v>
      </c>
      <c r="H17" s="139">
        <f>$H$82- COUNTIF(acumulado_porcentaje[[#This Row],[Ene 2024]:[Jun 2024]],"")</f>
        <v>5</v>
      </c>
      <c r="I17" s="69">
        <f>IF(acumulado_porcentaje[[#This Row],[contar]]&gt;=$H$83,SUM(SMALL(acumulado_porcentaje[[#This Row],[Ene 2024]:[Jun 2024]],1),SMALL(acumulado_porcentaje[[#This Row],[Ene 2024]:[Jun 2024]],2),SMALL(acumulado_porcentaje[[#This Row],[Ene 2024]:[Jun 2024]],3),SMALL(acumulado_porcentaje[[#This Row],[Ene 2024]:[Jun 2024]],4)),"#N/A")</f>
        <v>1.159173422083251</v>
      </c>
      <c r="J17" t="str">
        <f>acumulado_porcentaje[[#This Row],[Nombre ]]&amp;" ("&amp;acumulado_porcentaje[[#This Row],[contar]]&amp;")"</f>
        <v>Jaime Larrañaga Juez (5)</v>
      </c>
      <c r="L17" s="72">
        <f>ROW(acumulado_porcentaje[[#This Row],[Clasificación]])</f>
        <v>17</v>
      </c>
      <c r="M17" s="72" t="str">
        <f t="shared" si="0"/>
        <v>E17</v>
      </c>
      <c r="N17" s="45">
        <f ca="1">LARGE(B17:INDIRECT(M17),1)</f>
        <v>0.80769230769230738</v>
      </c>
      <c r="O17" s="45">
        <f ca="1">LARGE(B17:INDIRECT(M17),2)</f>
        <v>0.74224999999999997</v>
      </c>
      <c r="P17" s="45">
        <f ca="1">SUMIFS(B17:INDIRECT(M17),B17:INDIRECT(M17),"&lt;&gt;"&amp;N17,B17:INDIRECT(M17),"&lt;&gt;"&amp;O17)</f>
        <v>0.18866396761133611</v>
      </c>
    </row>
    <row r="18" spans="1:16" x14ac:dyDescent="0.2">
      <c r="A18" s="140" t="s">
        <v>215</v>
      </c>
      <c r="B18" s="140">
        <v>4.8582995951417123E-2</v>
      </c>
      <c r="C18" s="140">
        <v>0.72375000000000012</v>
      </c>
      <c r="D18" s="140"/>
      <c r="E18" s="47">
        <v>2.2553035844915872</v>
      </c>
      <c r="F18" s="47">
        <v>0.35197368421052644</v>
      </c>
      <c r="G18">
        <v>6.7243035542747367E-2</v>
      </c>
      <c r="H18" s="139">
        <f>$H$82- COUNTIF(acumulado_porcentaje[[#This Row],[Ene 2024]:[Jun 2024]],"")</f>
        <v>5</v>
      </c>
      <c r="I18" s="69">
        <f>IF(acumulado_porcentaje[[#This Row],[contar]]&gt;=$H$83,SUM(SMALL(acumulado_porcentaje[[#This Row],[Ene 2024]:[Jun 2024]],1),SMALL(acumulado_porcentaje[[#This Row],[Ene 2024]:[Jun 2024]],2),SMALL(acumulado_porcentaje[[#This Row],[Ene 2024]:[Jun 2024]],3),SMALL(acumulado_porcentaje[[#This Row],[Ene 2024]:[Jun 2024]],4)),"#N/A")</f>
        <v>1.191549715704691</v>
      </c>
      <c r="J18" t="str">
        <f>acumulado_porcentaje[[#This Row],[Nombre ]]&amp;" ("&amp;acumulado_porcentaje[[#This Row],[contar]]&amp;")"</f>
        <v>Carles Estruch Puig (5)</v>
      </c>
      <c r="L18" s="72">
        <f>ROW(acumulado_porcentaje[[#This Row],[Clasificación]])</f>
        <v>18</v>
      </c>
      <c r="M18" s="72" t="str">
        <f t="shared" si="0"/>
        <v>E18</v>
      </c>
      <c r="N18" s="45">
        <f ca="1">LARGE(B18:INDIRECT(M18),1)</f>
        <v>2.2553035844915872</v>
      </c>
      <c r="O18" s="45">
        <f ca="1">LARGE(B18:INDIRECT(M18),2)</f>
        <v>0.72375000000000012</v>
      </c>
      <c r="P18" s="45">
        <f ca="1">SUMIFS(B18:INDIRECT(M18),B18:INDIRECT(M18),"&lt;&gt;"&amp;N18,B18:INDIRECT(M18),"&lt;&gt;"&amp;O18)</f>
        <v>4.8582995951417123E-2</v>
      </c>
    </row>
    <row r="19" spans="1:16" x14ac:dyDescent="0.2">
      <c r="A19" s="140" t="s">
        <v>9</v>
      </c>
      <c r="B19" s="140">
        <v>7.9622132253711286E-2</v>
      </c>
      <c r="C19" s="140">
        <v>0.7</v>
      </c>
      <c r="D19" s="140">
        <v>1.2189349112426033</v>
      </c>
      <c r="E19" s="47">
        <v>1.9261155815654718</v>
      </c>
      <c r="F19" s="47">
        <v>0.15131578947368426</v>
      </c>
      <c r="G19">
        <v>0.32756964457252635</v>
      </c>
      <c r="H19" s="139">
        <f>$H$82- COUNTIF(acumulado_porcentaje[[#This Row],[Ene 2024]:[Jun 2024]],"")</f>
        <v>6</v>
      </c>
      <c r="I19" s="69">
        <f>IF(acumulado_porcentaje[[#This Row],[contar]]&gt;=$H$83,SUM(SMALL(acumulado_porcentaje[[#This Row],[Ene 2024]:[Jun 2024]],1),SMALL(acumulado_porcentaje[[#This Row],[Ene 2024]:[Jun 2024]],2),SMALL(acumulado_porcentaje[[#This Row],[Ene 2024]:[Jun 2024]],3),SMALL(acumulado_porcentaje[[#This Row],[Ene 2024]:[Jun 2024]],4)),"#N/A")</f>
        <v>1.2585075662999219</v>
      </c>
      <c r="J19" t="str">
        <f>acumulado_porcentaje[[#This Row],[Nombre ]]&amp;" ("&amp;acumulado_porcentaje[[#This Row],[contar]]&amp;")"</f>
        <v>Alfonso Zárate Conde (6)</v>
      </c>
      <c r="L19" s="72">
        <f>ROW(acumulado_porcentaje[[#This Row],[Clasificación]])</f>
        <v>19</v>
      </c>
      <c r="M19" s="72" t="str">
        <f t="shared" si="0"/>
        <v>E19</v>
      </c>
      <c r="N19" s="45">
        <f ca="1">LARGE(B19:INDIRECT(M19),1)</f>
        <v>1.9261155815654718</v>
      </c>
      <c r="O19" s="45">
        <f ca="1">LARGE(B19:INDIRECT(M19),2)</f>
        <v>1.2189349112426033</v>
      </c>
      <c r="P19" s="45">
        <f ca="1">SUMIFS(B19:INDIRECT(M19),B19:INDIRECT(M19),"&lt;&gt;"&amp;N19,B19:INDIRECT(M19),"&lt;&gt;"&amp;O19)</f>
        <v>0.77962213225371124</v>
      </c>
    </row>
    <row r="20" spans="1:16" x14ac:dyDescent="0.2">
      <c r="A20" s="140" t="s">
        <v>218</v>
      </c>
      <c r="B20" s="140">
        <v>0.15249662618083687</v>
      </c>
      <c r="C20" s="140">
        <v>0.61149999999999982</v>
      </c>
      <c r="D20" s="140">
        <v>0.30670611439842199</v>
      </c>
      <c r="E20" s="47">
        <v>0.89465983906364288</v>
      </c>
      <c r="F20" s="47">
        <v>0.49013157894736842</v>
      </c>
      <c r="G20">
        <v>0.32564841498559083</v>
      </c>
      <c r="H20" s="139">
        <f>$H$82- COUNTIF(acumulado_porcentaje[[#This Row],[Ene 2024]:[Jun 2024]],"")</f>
        <v>6</v>
      </c>
      <c r="I20" s="69">
        <f>IF(acumulado_porcentaje[[#This Row],[contar]]&gt;=$H$83,SUM(SMALL(acumulado_porcentaje[[#This Row],[Ene 2024]:[Jun 2024]],1),SMALL(acumulado_porcentaje[[#This Row],[Ene 2024]:[Jun 2024]],2),SMALL(acumulado_porcentaje[[#This Row],[Ene 2024]:[Jun 2024]],3),SMALL(acumulado_porcentaje[[#This Row],[Ene 2024]:[Jun 2024]],4)),"#N/A")</f>
        <v>1.274982734512218</v>
      </c>
      <c r="J20" t="str">
        <f>acumulado_porcentaje[[#This Row],[Nombre ]]&amp;" ("&amp;acumulado_porcentaje[[#This Row],[contar]]&amp;")"</f>
        <v>Jorge Antonio González Sánchez (6)</v>
      </c>
      <c r="L20" s="72">
        <f>ROW(acumulado_porcentaje[[#This Row],[Clasificación]])</f>
        <v>20</v>
      </c>
      <c r="M20" s="72" t="str">
        <f t="shared" si="0"/>
        <v>E20</v>
      </c>
      <c r="N20" s="45">
        <f ca="1">LARGE(B20:INDIRECT(M20),1)</f>
        <v>0.89465983906364288</v>
      </c>
      <c r="O20" s="45">
        <f ca="1">LARGE(B20:INDIRECT(M20),2)</f>
        <v>0.61149999999999982</v>
      </c>
      <c r="P20" s="45">
        <f ca="1">SUMIFS(B20:INDIRECT(M20),B20:INDIRECT(M20),"&lt;&gt;"&amp;N20,B20:INDIRECT(M20),"&lt;&gt;"&amp;O20)</f>
        <v>0.45920274057925886</v>
      </c>
    </row>
    <row r="21" spans="1:16" x14ac:dyDescent="0.2">
      <c r="A21" s="140" t="s">
        <v>217</v>
      </c>
      <c r="B21" s="140">
        <v>0.19703103913630224</v>
      </c>
      <c r="C21" s="140">
        <v>0.74899999999999989</v>
      </c>
      <c r="D21" s="140">
        <v>1.2194280078895461</v>
      </c>
      <c r="E21" s="47">
        <v>1.4381858083394292</v>
      </c>
      <c r="F21" s="47">
        <v>9.6381578947368415E-2</v>
      </c>
      <c r="G21">
        <v>0.2328530259365994</v>
      </c>
      <c r="H21" s="139">
        <f>$H$82- COUNTIF(acumulado_porcentaje[[#This Row],[Ene 2024]:[Jun 2024]],"")</f>
        <v>6</v>
      </c>
      <c r="I21" s="69">
        <f>IF(acumulado_porcentaje[[#This Row],[contar]]&gt;=$H$83,SUM(SMALL(acumulado_porcentaje[[#This Row],[Ene 2024]:[Jun 2024]],1),SMALL(acumulado_porcentaje[[#This Row],[Ene 2024]:[Jun 2024]],2),SMALL(acumulado_porcentaje[[#This Row],[Ene 2024]:[Jun 2024]],3),SMALL(acumulado_porcentaje[[#This Row],[Ene 2024]:[Jun 2024]],4)),"#N/A")</f>
        <v>1.2752656440202699</v>
      </c>
      <c r="J21" t="str">
        <f>acumulado_porcentaje[[#This Row],[Nombre ]]&amp;" ("&amp;acumulado_porcentaje[[#This Row],[contar]]&amp;")"</f>
        <v>Fernando Sánchez-Rey Maeso (6)</v>
      </c>
      <c r="L21" s="72">
        <f>ROW(acumulado_porcentaje[[#This Row],[Clasificación]])</f>
        <v>21</v>
      </c>
      <c r="M21" s="72" t="str">
        <f t="shared" si="0"/>
        <v>E21</v>
      </c>
      <c r="N21" s="45">
        <f ca="1">LARGE(B21:INDIRECT(M21),1)</f>
        <v>1.4381858083394292</v>
      </c>
      <c r="O21" s="45">
        <f ca="1">LARGE(B21:INDIRECT(M21),2)</f>
        <v>1.2194280078895461</v>
      </c>
      <c r="P21" s="45">
        <f ca="1">SUMIFS(B21:INDIRECT(M21),B21:INDIRECT(M21),"&lt;&gt;"&amp;N21,B21:INDIRECT(M21),"&lt;&gt;"&amp;O21)</f>
        <v>0.94603103913630215</v>
      </c>
    </row>
    <row r="22" spans="1:16" x14ac:dyDescent="0.2">
      <c r="A22" s="140" t="s">
        <v>414</v>
      </c>
      <c r="B22" s="140"/>
      <c r="C22" s="140">
        <v>0.6087499999999999</v>
      </c>
      <c r="D22" s="140">
        <v>0.74211045364891504</v>
      </c>
      <c r="E22" s="47">
        <v>0.71982443306510624</v>
      </c>
      <c r="F22" s="47">
        <v>7.5657894736842021E-2</v>
      </c>
      <c r="G22">
        <v>2.2094140249759957E-2</v>
      </c>
      <c r="H22" s="139">
        <f>$H$82- COUNTIF(acumulado_porcentaje[[#This Row],[Ene 2024]:[Jun 2024]],"")</f>
        <v>5</v>
      </c>
      <c r="I22" s="69">
        <f>IF(acumulado_porcentaje[[#This Row],[contar]]&gt;=$H$83,SUM(SMALL(acumulado_porcentaje[[#This Row],[Ene 2024]:[Jun 2024]],1),SMALL(acumulado_porcentaje[[#This Row],[Ene 2024]:[Jun 2024]],2),SMALL(acumulado_porcentaje[[#This Row],[Ene 2024]:[Jun 2024]],3),SMALL(acumulado_porcentaje[[#This Row],[Ene 2024]:[Jun 2024]],4)),"#N/A")</f>
        <v>1.426326468051708</v>
      </c>
      <c r="J22" t="str">
        <f>acumulado_porcentaje[[#This Row],[Nombre ]]&amp;" ("&amp;acumulado_porcentaje[[#This Row],[contar]]&amp;")"</f>
        <v>Laura Gómez López (5)</v>
      </c>
      <c r="L22" s="72">
        <f>ROW(acumulado_porcentaje[[#This Row],[Clasificación]])</f>
        <v>22</v>
      </c>
      <c r="M22" s="72" t="str">
        <f t="shared" ref="M22:M33" si="1">$C$95&amp;L22</f>
        <v>E22</v>
      </c>
      <c r="N22" s="45">
        <f ca="1">LARGE(B22:INDIRECT(M22),1)</f>
        <v>0.74211045364891504</v>
      </c>
      <c r="O22" s="45">
        <f ca="1">LARGE(B22:INDIRECT(M22),2)</f>
        <v>0.71982443306510624</v>
      </c>
      <c r="P22" s="45">
        <f ca="1">SUMIFS(B22:INDIRECT(M22),B22:INDIRECT(M22),"&lt;&gt;"&amp;N22,B22:INDIRECT(M22),"&lt;&gt;"&amp;O22)</f>
        <v>0.6087499999999999</v>
      </c>
    </row>
    <row r="23" spans="1:16" x14ac:dyDescent="0.2">
      <c r="A23" s="140" t="s">
        <v>225</v>
      </c>
      <c r="B23" s="140">
        <v>0.15141700404858299</v>
      </c>
      <c r="C23" s="140">
        <v>0.80625000000000002</v>
      </c>
      <c r="D23" s="140">
        <v>1.2795857988165678</v>
      </c>
      <c r="E23" s="47">
        <v>0.70592538405267014</v>
      </c>
      <c r="F23" s="47">
        <v>0.63453947368421049</v>
      </c>
      <c r="G23">
        <v>2.4015369836695485E-2</v>
      </c>
      <c r="H23" s="139">
        <f>$H$82- COUNTIF(acumulado_porcentaje[[#This Row],[Ene 2024]:[Jun 2024]],"")</f>
        <v>6</v>
      </c>
      <c r="I23" s="69">
        <f>IF(acumulado_porcentaje[[#This Row],[contar]]&gt;=$H$83,SUM(SMALL(acumulado_porcentaje[[#This Row],[Ene 2024]:[Jun 2024]],1),SMALL(acumulado_porcentaje[[#This Row],[Ene 2024]:[Jun 2024]],2),SMALL(acumulado_porcentaje[[#This Row],[Ene 2024]:[Jun 2024]],3),SMALL(acumulado_porcentaje[[#This Row],[Ene 2024]:[Jun 2024]],4)),"#N/A")</f>
        <v>1.5158972316221591</v>
      </c>
      <c r="J23" t="str">
        <f>acumulado_porcentaje[[#This Row],[Nombre ]]&amp;" ("&amp;acumulado_porcentaje[[#This Row],[contar]]&amp;")"</f>
        <v>Elena Muñoz Vioque (6)</v>
      </c>
      <c r="L23" s="72">
        <f>ROW(acumulado_porcentaje[[#This Row],[Clasificación]])</f>
        <v>23</v>
      </c>
      <c r="M23" s="72" t="str">
        <f t="shared" si="1"/>
        <v>E23</v>
      </c>
      <c r="N23" s="45">
        <f ca="1">LARGE(B23:INDIRECT(M23),1)</f>
        <v>1.2795857988165678</v>
      </c>
      <c r="O23" s="45">
        <f ca="1">LARGE(B23:INDIRECT(M23),2)</f>
        <v>0.80625000000000002</v>
      </c>
      <c r="P23" s="45">
        <f ca="1">SUMIFS(B23:INDIRECT(M23),B23:INDIRECT(M23),"&lt;&gt;"&amp;N23,B23:INDIRECT(M23),"&lt;&gt;"&amp;O23)</f>
        <v>0.85734238810125318</v>
      </c>
    </row>
    <row r="24" spans="1:16" x14ac:dyDescent="0.2">
      <c r="A24" s="140" t="s">
        <v>242</v>
      </c>
      <c r="B24" s="140">
        <v>0.18353576248313083</v>
      </c>
      <c r="C24" s="140"/>
      <c r="D24" s="140"/>
      <c r="E24" s="47">
        <v>0.60936356986100948</v>
      </c>
      <c r="F24" s="47">
        <v>0.75328947368421051</v>
      </c>
      <c r="G24">
        <v>0.10662824207492791</v>
      </c>
      <c r="H24" s="139">
        <f>$H$82- COUNTIF(acumulado_porcentaje[[#This Row],[Ene 2024]:[Jun 2024]],"")</f>
        <v>4</v>
      </c>
      <c r="I24" s="69">
        <f>IF(acumulado_porcentaje[[#This Row],[contar]]&gt;=$H$83,SUM(SMALL(acumulado_porcentaje[[#This Row],[Ene 2024]:[Jun 2024]],1),SMALL(acumulado_porcentaje[[#This Row],[Ene 2024]:[Jun 2024]],2),SMALL(acumulado_porcentaje[[#This Row],[Ene 2024]:[Jun 2024]],3),SMALL(acumulado_porcentaje[[#This Row],[Ene 2024]:[Jun 2024]],4)),"#N/A")</f>
        <v>1.6528170481032789</v>
      </c>
      <c r="J24" t="str">
        <f>acumulado_porcentaje[[#This Row],[Nombre ]]&amp;" ("&amp;acumulado_porcentaje[[#This Row],[contar]]&amp;")"</f>
        <v>Javier Espelta (4)</v>
      </c>
      <c r="L24" s="72">
        <f>ROW(acumulado_porcentaje[[#This Row],[Clasificación]])</f>
        <v>24</v>
      </c>
      <c r="M24" s="72" t="str">
        <f t="shared" si="1"/>
        <v>E24</v>
      </c>
      <c r="N24" s="45">
        <f ca="1">LARGE(B24:INDIRECT(M24),1)</f>
        <v>0.60936356986100948</v>
      </c>
      <c r="O24" s="45">
        <f ca="1">LARGE(B24:INDIRECT(M24),2)</f>
        <v>0.18353576248313083</v>
      </c>
      <c r="P24" s="45">
        <f ca="1">SUMIFS(B24:INDIRECT(M24),B24:INDIRECT(M24),"&lt;&gt;"&amp;N24,B24:INDIRECT(M24),"&lt;&gt;"&amp;O24)</f>
        <v>0</v>
      </c>
    </row>
    <row r="25" spans="1:16" x14ac:dyDescent="0.2">
      <c r="A25" s="140" t="s">
        <v>364</v>
      </c>
      <c r="B25" s="140"/>
      <c r="C25" s="140">
        <v>0.77525000000000011</v>
      </c>
      <c r="D25" s="140">
        <v>1.3505917159763312</v>
      </c>
      <c r="E25" s="47">
        <v>0.80760790051207032</v>
      </c>
      <c r="F25" s="47">
        <v>4.8684210526315809E-2</v>
      </c>
      <c r="G25">
        <v>7.7617675312199791E-2</v>
      </c>
      <c r="H25" s="139">
        <f>$H$82- COUNTIF(acumulado_porcentaje[[#This Row],[Ene 2024]:[Jun 2024]],"")</f>
        <v>5</v>
      </c>
      <c r="I25" s="69">
        <f>IF(acumulado_porcentaje[[#This Row],[contar]]&gt;=$H$83,SUM(SMALL(acumulado_porcentaje[[#This Row],[Ene 2024]:[Jun 2024]],1),SMALL(acumulado_porcentaje[[#This Row],[Ene 2024]:[Jun 2024]],2),SMALL(acumulado_porcentaje[[#This Row],[Ene 2024]:[Jun 2024]],3),SMALL(acumulado_porcentaje[[#This Row],[Ene 2024]:[Jun 2024]],4)),"#N/A")</f>
        <v>1.7091597863505861</v>
      </c>
      <c r="J25" t="str">
        <f>acumulado_porcentaje[[#This Row],[Nombre ]]&amp;" ("&amp;acumulado_porcentaje[[#This Row],[contar]]&amp;")"</f>
        <v>Marcos Fortea Escolano (5)</v>
      </c>
      <c r="L25" s="72">
        <f>ROW(acumulado_porcentaje[[#This Row],[Clasificación]])</f>
        <v>25</v>
      </c>
      <c r="M25" s="72" t="str">
        <f t="shared" si="1"/>
        <v>E25</v>
      </c>
      <c r="N25" s="45">
        <f ca="1">LARGE(B25:INDIRECT(M25),1)</f>
        <v>1.3505917159763312</v>
      </c>
      <c r="O25" s="45">
        <f ca="1">LARGE(B25:INDIRECT(M25),2)</f>
        <v>0.80760790051207032</v>
      </c>
      <c r="P25" s="45">
        <f ca="1">SUMIFS(B25:INDIRECT(M25),B25:INDIRECT(M25),"&lt;&gt;"&amp;N25,B25:INDIRECT(M25),"&lt;&gt;"&amp;O25)</f>
        <v>0.77525000000000011</v>
      </c>
    </row>
    <row r="26" spans="1:16" x14ac:dyDescent="0.2">
      <c r="A26" s="140" t="s">
        <v>412</v>
      </c>
      <c r="B26" s="140">
        <v>9.4197031039136361E-2</v>
      </c>
      <c r="C26" s="140">
        <v>0.99499999999999988</v>
      </c>
      <c r="D26" s="140">
        <v>2.0414201183431953</v>
      </c>
      <c r="E26" s="47">
        <v>5.5032918800292618</v>
      </c>
      <c r="F26" s="47">
        <v>0.59868421052631593</v>
      </c>
      <c r="G26">
        <v>4.1690682036503397E-2</v>
      </c>
      <c r="H26" s="139">
        <f>$H$82- COUNTIF(acumulado_porcentaje[[#This Row],[Ene 2024]:[Jun 2024]],"")</f>
        <v>6</v>
      </c>
      <c r="I26" s="69">
        <f>IF(acumulado_porcentaje[[#This Row],[contar]]&gt;=$H$83,SUM(SMALL(acumulado_porcentaje[[#This Row],[Ene 2024]:[Jun 2024]],1),SMALL(acumulado_porcentaje[[#This Row],[Ene 2024]:[Jun 2024]],2),SMALL(acumulado_porcentaje[[#This Row],[Ene 2024]:[Jun 2024]],3),SMALL(acumulado_porcentaje[[#This Row],[Ene 2024]:[Jun 2024]],4)),"#N/A")</f>
        <v>1.7295719236019556</v>
      </c>
      <c r="J26" t="str">
        <f>acumulado_porcentaje[[#This Row],[Nombre ]]&amp;" ("&amp;acumulado_porcentaje[[#This Row],[contar]]&amp;")"</f>
        <v>Jose Manuel Otero López (6)</v>
      </c>
      <c r="L26" s="72">
        <f>ROW(acumulado_porcentaje[[#This Row],[Clasificación]])</f>
        <v>26</v>
      </c>
      <c r="M26" s="72" t="str">
        <f t="shared" si="1"/>
        <v>E26</v>
      </c>
      <c r="N26" s="45">
        <f ca="1">LARGE(B26:INDIRECT(M26),1)</f>
        <v>5.5032918800292618</v>
      </c>
      <c r="O26" s="45">
        <f ca="1">LARGE(B26:INDIRECT(M26),2)</f>
        <v>2.0414201183431953</v>
      </c>
      <c r="P26" s="45">
        <f ca="1">SUMIFS(B26:INDIRECT(M26),B26:INDIRECT(M26),"&lt;&gt;"&amp;N26,B26:INDIRECT(M26),"&lt;&gt;"&amp;O26)</f>
        <v>1.0891970310391363</v>
      </c>
    </row>
    <row r="27" spans="1:16" x14ac:dyDescent="0.2">
      <c r="A27" s="140" t="s">
        <v>328</v>
      </c>
      <c r="B27" s="140"/>
      <c r="C27" s="140">
        <v>0.63000000000000012</v>
      </c>
      <c r="D27" s="140"/>
      <c r="E27" s="47">
        <v>1.0190197512801757</v>
      </c>
      <c r="F27" s="47">
        <v>1.3157894736842059E-2</v>
      </c>
      <c r="G27">
        <v>0.13352545629202697</v>
      </c>
      <c r="H27" s="139">
        <f>$H$82- COUNTIF(acumulado_porcentaje[[#This Row],[Ene 2024]:[Jun 2024]],"")</f>
        <v>4</v>
      </c>
      <c r="I27" s="69">
        <f>IF(acumulado_porcentaje[[#This Row],[contar]]&gt;=$H$83,SUM(SMALL(acumulado_porcentaje[[#This Row],[Ene 2024]:[Jun 2024]],1),SMALL(acumulado_porcentaje[[#This Row],[Ene 2024]:[Jun 2024]],2),SMALL(acumulado_porcentaje[[#This Row],[Ene 2024]:[Jun 2024]],3),SMALL(acumulado_porcentaje[[#This Row],[Ene 2024]:[Jun 2024]],4)),"#N/A")</f>
        <v>1.7957031023090448</v>
      </c>
      <c r="J27" t="str">
        <f>acumulado_porcentaje[[#This Row],[Nombre ]]&amp;" ("&amp;acumulado_porcentaje[[#This Row],[contar]]&amp;")"</f>
        <v>Aitor Folch (4)</v>
      </c>
      <c r="L27" s="72">
        <f>ROW(acumulado_porcentaje[[#This Row],[Clasificación]])</f>
        <v>27</v>
      </c>
      <c r="M27" s="72" t="str">
        <f t="shared" si="1"/>
        <v>E27</v>
      </c>
      <c r="N27" s="45">
        <f ca="1">LARGE(B27:INDIRECT(M27),1)</f>
        <v>1.0190197512801757</v>
      </c>
      <c r="O27" s="45">
        <f ca="1">LARGE(B27:INDIRECT(M27),2)</f>
        <v>0.63000000000000012</v>
      </c>
      <c r="P27" s="45">
        <f ca="1">SUMIFS(B27:INDIRECT(M27),B27:INDIRECT(M27),"&lt;&gt;"&amp;N27,B27:INDIRECT(M27),"&lt;&gt;"&amp;O27)</f>
        <v>0</v>
      </c>
    </row>
    <row r="28" spans="1:16" x14ac:dyDescent="0.2">
      <c r="A28" s="140" t="s">
        <v>401</v>
      </c>
      <c r="B28" s="140">
        <v>0.17543859649122809</v>
      </c>
      <c r="C28" s="140">
        <v>0.875</v>
      </c>
      <c r="D28" s="140">
        <v>1.7120315581854042</v>
      </c>
      <c r="E28" s="47">
        <v>2.4711046086320412</v>
      </c>
      <c r="F28" s="142">
        <v>0.70789473684210513</v>
      </c>
      <c r="G28">
        <v>4.8222862632084633E-2</v>
      </c>
      <c r="H28" s="139">
        <f>$H$82- COUNTIF(acumulado_porcentaje[[#This Row],[Ene 2024]:[Jun 2024]],"")</f>
        <v>6</v>
      </c>
      <c r="I28" s="69">
        <f>IF(acumulado_porcentaje[[#This Row],[contar]]&gt;=$H$83,SUM(SMALL(acumulado_porcentaje[[#This Row],[Ene 2024]:[Jun 2024]],1),SMALL(acumulado_porcentaje[[#This Row],[Ene 2024]:[Jun 2024]],2),SMALL(acumulado_porcentaje[[#This Row],[Ene 2024]:[Jun 2024]],3),SMALL(acumulado_porcentaje[[#This Row],[Ene 2024]:[Jun 2024]],4)),"#N/A")</f>
        <v>1.8065561959654177</v>
      </c>
      <c r="J28" t="str">
        <f>acumulado_porcentaje[[#This Row],[Nombre ]]&amp;" ("&amp;acumulado_porcentaje[[#This Row],[contar]]&amp;")"</f>
        <v>Juan Pedro Conejo Sanchez (6)</v>
      </c>
      <c r="L28" s="72">
        <f>ROW(acumulado_porcentaje[[#This Row],[Clasificación]])</f>
        <v>28</v>
      </c>
      <c r="M28" s="72" t="str">
        <f t="shared" si="1"/>
        <v>E28</v>
      </c>
      <c r="N28" s="45">
        <f ca="1">LARGE(B28:INDIRECT(M28),1)</f>
        <v>2.4711046086320412</v>
      </c>
      <c r="O28" s="45">
        <f ca="1">LARGE(B28:INDIRECT(M28),2)</f>
        <v>1.7120315581854042</v>
      </c>
      <c r="P28" s="45">
        <f ca="1">SUMIFS(B28:INDIRECT(M28),B28:INDIRECT(M28),"&lt;&gt;"&amp;N28,B28:INDIRECT(M28),"&lt;&gt;"&amp;O28)</f>
        <v>1.0504385964912282</v>
      </c>
    </row>
    <row r="29" spans="1:16" x14ac:dyDescent="0.2">
      <c r="A29" s="140" t="s">
        <v>411</v>
      </c>
      <c r="B29" s="140">
        <v>0.38704453441295561</v>
      </c>
      <c r="C29" s="140"/>
      <c r="D29" s="140"/>
      <c r="E29" s="47">
        <v>0.74762253108997812</v>
      </c>
      <c r="F29" s="47">
        <v>0.2756578947368421</v>
      </c>
      <c r="G29">
        <v>0.43419788664745435</v>
      </c>
      <c r="H29" s="139">
        <f>$H$82- COUNTIF(acumulado_porcentaje[[#This Row],[Ene 2024]:[Jun 2024]],"")</f>
        <v>4</v>
      </c>
      <c r="I29" s="69">
        <f>IF(acumulado_porcentaje[[#This Row],[contar]]&gt;=$H$83,SUM(SMALL(acumulado_porcentaje[[#This Row],[Ene 2024]:[Jun 2024]],1),SMALL(acumulado_porcentaje[[#This Row],[Ene 2024]:[Jun 2024]],2),SMALL(acumulado_porcentaje[[#This Row],[Ene 2024]:[Jun 2024]],3),SMALL(acumulado_porcentaje[[#This Row],[Ene 2024]:[Jun 2024]],4)),"#N/A")</f>
        <v>1.8445228468872301</v>
      </c>
      <c r="J29" t="str">
        <f>acumulado_porcentaje[[#This Row],[Nombre ]]&amp;" ("&amp;acumulado_porcentaje[[#This Row],[contar]]&amp;")"</f>
        <v>Jonathan Pazmiño Espinoza (4)</v>
      </c>
      <c r="L29" s="72">
        <f>ROW(acumulado_porcentaje[[#This Row],[Clasificación]])</f>
        <v>29</v>
      </c>
      <c r="M29" s="72" t="str">
        <f t="shared" si="1"/>
        <v>E29</v>
      </c>
      <c r="N29" s="45">
        <f ca="1">LARGE(B29:INDIRECT(M29),1)</f>
        <v>0.74762253108997812</v>
      </c>
      <c r="O29" s="45">
        <f ca="1">LARGE(B29:INDIRECT(M29),2)</f>
        <v>0.38704453441295561</v>
      </c>
      <c r="P29" s="45">
        <f ca="1">SUMIFS(B29:INDIRECT(M29),B29:INDIRECT(M29),"&lt;&gt;"&amp;N29,B29:INDIRECT(M29),"&lt;&gt;"&amp;O29)</f>
        <v>0</v>
      </c>
    </row>
    <row r="30" spans="1:16" x14ac:dyDescent="0.2">
      <c r="A30" s="140" t="s">
        <v>292</v>
      </c>
      <c r="B30" s="140"/>
      <c r="C30" s="140">
        <v>0.50250000000000006</v>
      </c>
      <c r="D30" s="140">
        <v>0.44970414201183417</v>
      </c>
      <c r="E30" s="47">
        <v>0.7483540599853693</v>
      </c>
      <c r="F30" s="47"/>
      <c r="G30">
        <v>0.1579250720461095</v>
      </c>
      <c r="H30" s="139">
        <f>$H$82- COUNTIF(acumulado_porcentaje[[#This Row],[Ene 2024]:[Jun 2024]],"")</f>
        <v>4</v>
      </c>
      <c r="I30" s="69">
        <f>IF(acumulado_porcentaje[[#This Row],[contar]]&gt;=$H$83,SUM(SMALL(acumulado_porcentaje[[#This Row],[Ene 2024]:[Jun 2024]],1),SMALL(acumulado_porcentaje[[#This Row],[Ene 2024]:[Jun 2024]],2),SMALL(acumulado_porcentaje[[#This Row],[Ene 2024]:[Jun 2024]],3),SMALL(acumulado_porcentaje[[#This Row],[Ene 2024]:[Jun 2024]],4)),"#N/A")</f>
        <v>1.858483274043313</v>
      </c>
      <c r="J30" t="str">
        <f>acumulado_porcentaje[[#This Row],[Nombre ]]&amp;" ("&amp;acumulado_porcentaje[[#This Row],[contar]]&amp;")"</f>
        <v>Oscar Mulas Crespo (4)</v>
      </c>
      <c r="L30" s="72">
        <f>ROW(acumulado_porcentaje[[#This Row],[Clasificación]])</f>
        <v>30</v>
      </c>
      <c r="M30" s="72" t="str">
        <f t="shared" si="1"/>
        <v>E30</v>
      </c>
      <c r="N30" s="45">
        <f ca="1">LARGE(B30:INDIRECT(M30),1)</f>
        <v>0.7483540599853693</v>
      </c>
      <c r="O30" s="45">
        <f ca="1">LARGE(B30:INDIRECT(M30),2)</f>
        <v>0.50250000000000006</v>
      </c>
      <c r="P30" s="45">
        <f ca="1">SUMIFS(B30:INDIRECT(M30),B30:INDIRECT(M30),"&lt;&gt;"&amp;N30,B30:INDIRECT(M30),"&lt;&gt;"&amp;O30)</f>
        <v>0.44970414201183417</v>
      </c>
    </row>
    <row r="31" spans="1:16" x14ac:dyDescent="0.2">
      <c r="A31" s="140" t="s">
        <v>407</v>
      </c>
      <c r="B31" s="140">
        <v>2.091767881241581E-2</v>
      </c>
      <c r="C31" s="140">
        <v>0.75549999999999995</v>
      </c>
      <c r="D31" s="140">
        <v>1.3530571992110452</v>
      </c>
      <c r="E31" s="47"/>
      <c r="F31" s="47"/>
      <c r="G31">
        <v>0.10355427473583095</v>
      </c>
      <c r="H31" s="139">
        <f>$H$82- COUNTIF(acumulado_porcentaje[[#This Row],[Ene 2024]:[Jun 2024]],"")</f>
        <v>4</v>
      </c>
      <c r="I31" s="69">
        <f>IF(acumulado_porcentaje[[#This Row],[contar]]&gt;=$H$83,SUM(SMALL(acumulado_porcentaje[[#This Row],[Ene 2024]:[Jun 2024]],1),SMALL(acumulado_porcentaje[[#This Row],[Ene 2024]:[Jun 2024]],2),SMALL(acumulado_porcentaje[[#This Row],[Ene 2024]:[Jun 2024]],3),SMALL(acumulado_porcentaje[[#This Row],[Ene 2024]:[Jun 2024]],4)),"#N/A")</f>
        <v>2.233029152759292</v>
      </c>
      <c r="J31" t="str">
        <f>acumulado_porcentaje[[#This Row],[Nombre ]]&amp;" ("&amp;acumulado_porcentaje[[#This Row],[contar]]&amp;")"</f>
        <v>Vicente Fayos Gavila (4)</v>
      </c>
      <c r="L31" s="72">
        <f>ROW(acumulado_porcentaje[[#This Row],[Clasificación]])</f>
        <v>31</v>
      </c>
      <c r="M31" s="72" t="str">
        <f t="shared" si="1"/>
        <v>E31</v>
      </c>
      <c r="N31" s="45">
        <f ca="1">LARGE(B31:INDIRECT(M31),1)</f>
        <v>1.3530571992110452</v>
      </c>
      <c r="O31" s="45">
        <f ca="1">LARGE(B31:INDIRECT(M31),2)</f>
        <v>0.75549999999999995</v>
      </c>
      <c r="P31" s="45">
        <f ca="1">SUMIFS(B31:INDIRECT(M31),B31:INDIRECT(M31),"&lt;&gt;"&amp;N31,B31:INDIRECT(M31),"&lt;&gt;"&amp;O31)</f>
        <v>2.091767881241581E-2</v>
      </c>
    </row>
    <row r="32" spans="1:16" x14ac:dyDescent="0.2">
      <c r="A32" s="140" t="s">
        <v>337</v>
      </c>
      <c r="B32" s="140"/>
      <c r="C32" s="140">
        <v>0.50150000000000006</v>
      </c>
      <c r="D32" s="140"/>
      <c r="E32" s="47">
        <v>1.438917337234821</v>
      </c>
      <c r="F32" s="47">
        <v>0.16875000000000009</v>
      </c>
      <c r="G32">
        <v>0.14620557156580211</v>
      </c>
      <c r="H32" s="139">
        <f>$H$82- COUNTIF(acumulado_porcentaje[[#This Row],[Ene 2024]:[Jun 2024]],"")</f>
        <v>4</v>
      </c>
      <c r="I32" s="69">
        <f>IF(acumulado_porcentaje[[#This Row],[contar]]&gt;=$H$83,SUM(SMALL(acumulado_porcentaje[[#This Row],[Ene 2024]:[Jun 2024]],1),SMALL(acumulado_porcentaje[[#This Row],[Ene 2024]:[Jun 2024]],2),SMALL(acumulado_porcentaje[[#This Row],[Ene 2024]:[Jun 2024]],3),SMALL(acumulado_porcentaje[[#This Row],[Ene 2024]:[Jun 2024]],4)),"#N/A")</f>
        <v>2.2553729088006231</v>
      </c>
      <c r="J32" t="str">
        <f>acumulado_porcentaje[[#This Row],[Nombre ]]&amp;" ("&amp;acumulado_porcentaje[[#This Row],[contar]]&amp;")"</f>
        <v>Francisco Valverde Sánchez (4)</v>
      </c>
      <c r="L32" s="72">
        <f>ROW(acumulado_porcentaje[[#This Row],[Clasificación]])</f>
        <v>32</v>
      </c>
      <c r="M32" s="72" t="str">
        <f t="shared" si="1"/>
        <v>E32</v>
      </c>
      <c r="N32" s="45">
        <f ca="1">LARGE(B32:INDIRECT(M32),1)</f>
        <v>1.438917337234821</v>
      </c>
      <c r="O32" s="45">
        <f ca="1">LARGE(B32:INDIRECT(M32),2)</f>
        <v>0.50150000000000006</v>
      </c>
      <c r="P32" s="45">
        <f ca="1">SUMIFS(B32:INDIRECT(M32),B32:INDIRECT(M32),"&lt;&gt;"&amp;N32,B32:INDIRECT(M32),"&lt;&gt;"&amp;O32)</f>
        <v>0</v>
      </c>
    </row>
    <row r="33" spans="1:16" x14ac:dyDescent="0.2">
      <c r="A33" s="140" t="s">
        <v>403</v>
      </c>
      <c r="B33" s="140">
        <v>0.1943319838056681</v>
      </c>
      <c r="C33" s="140"/>
      <c r="D33" s="140"/>
      <c r="E33" s="47">
        <v>1.944403803950256</v>
      </c>
      <c r="F33" s="47">
        <v>9.8684210526316027E-3</v>
      </c>
      <c r="G33">
        <v>0.15465898174831902</v>
      </c>
      <c r="H33" s="139">
        <f>$H$82- COUNTIF(acumulado_porcentaje[[#This Row],[Ene 2024]:[Jun 2024]],"")</f>
        <v>4</v>
      </c>
      <c r="I33" s="69">
        <f>IF(acumulado_porcentaje[[#This Row],[contar]]&gt;=$H$83,SUM(SMALL(acumulado_porcentaje[[#This Row],[Ene 2024]:[Jun 2024]],1),SMALL(acumulado_porcentaje[[#This Row],[Ene 2024]:[Jun 2024]],2),SMALL(acumulado_porcentaje[[#This Row],[Ene 2024]:[Jun 2024]],3),SMALL(acumulado_porcentaje[[#This Row],[Ene 2024]:[Jun 2024]],4)),"#N/A")</f>
        <v>2.3032631905568746</v>
      </c>
      <c r="J33" t="str">
        <f>acumulado_porcentaje[[#This Row],[Nombre ]]&amp;" ("&amp;acumulado_porcentaje[[#This Row],[contar]]&amp;")"</f>
        <v>Luis Angel Garzon Velasco (4)</v>
      </c>
      <c r="L33" s="72">
        <f>ROW(acumulado_porcentaje[[#This Row],[Clasificación]])</f>
        <v>33</v>
      </c>
      <c r="M33" s="72" t="str">
        <f t="shared" si="1"/>
        <v>E33</v>
      </c>
      <c r="N33" s="45">
        <f ca="1">LARGE(B33:INDIRECT(M33),1)</f>
        <v>1.944403803950256</v>
      </c>
      <c r="O33" s="45">
        <f ca="1">LARGE(B33:INDIRECT(M33),2)</f>
        <v>0.1943319838056681</v>
      </c>
      <c r="P33" s="45">
        <f ca="1">SUMIFS(B33:INDIRECT(M33),B33:INDIRECT(M33),"&lt;&gt;"&amp;N33,B33:INDIRECT(M33),"&lt;&gt;"&amp;O33)</f>
        <v>0</v>
      </c>
    </row>
    <row r="34" spans="1:16" x14ac:dyDescent="0.2">
      <c r="A34" s="140" t="s">
        <v>338</v>
      </c>
      <c r="B34" s="140"/>
      <c r="C34" s="140">
        <v>1.2309999999999999</v>
      </c>
      <c r="D34" s="140"/>
      <c r="E34" s="47"/>
      <c r="F34" s="47"/>
      <c r="H34" s="139">
        <f>$H$82- COUNTIF(acumulado_porcentaje[[#This Row],[Ene 2024]:[Jun 2024]],"")</f>
        <v>1</v>
      </c>
      <c r="I34" s="69" t="str">
        <f>IF(acumulado_porcentaje[[#This Row],[contar]]&gt;=$H$83,SUM(SMALL(acumulado_porcentaje[[#This Row],[Ene 2024]:[Jun 2024]],1),SMALL(acumulado_porcentaje[[#This Row],[Ene 2024]:[Jun 2024]],2),SMALL(acumulado_porcentaje[[#This Row],[Ene 2024]:[Jun 2024]],3),SMALL(acumulado_porcentaje[[#This Row],[Ene 2024]:[Jun 2024]],4)),"#N/A")</f>
        <v>#N/A</v>
      </c>
      <c r="J34" t="str">
        <f>acumulado_porcentaje[[#This Row],[Nombre ]]&amp;" ("&amp;acumulado_porcentaje[[#This Row],[contar]]&amp;")"</f>
        <v>Alejandro Ld (1)</v>
      </c>
    </row>
    <row r="35" spans="1:16" x14ac:dyDescent="0.2">
      <c r="A35" s="140" t="s">
        <v>805</v>
      </c>
      <c r="B35" s="140"/>
      <c r="C35" s="140"/>
      <c r="D35" s="140"/>
      <c r="E35" s="47"/>
      <c r="F35" s="47"/>
      <c r="G35">
        <v>2.6128722382324679E-2</v>
      </c>
      <c r="H35" s="139">
        <f>$H$82- COUNTIF(acumulado_porcentaje[[#This Row],[Ene 2024]:[Jun 2024]],"")</f>
        <v>1</v>
      </c>
      <c r="I35" s="69" t="str">
        <f>IF(acumulado_porcentaje[[#This Row],[contar]]&gt;=$H$83,SUM(SMALL(acumulado_porcentaje[[#This Row],[Ene 2024]:[Jun 2024]],1),SMALL(acumulado_porcentaje[[#This Row],[Ene 2024]:[Jun 2024]],2),SMALL(acumulado_porcentaje[[#This Row],[Ene 2024]:[Jun 2024]],3),SMALL(acumulado_porcentaje[[#This Row],[Ene 2024]:[Jun 2024]],4)),"#N/A")</f>
        <v>#N/A</v>
      </c>
      <c r="J35" t="str">
        <f>acumulado_porcentaje[[#This Row],[Nombre ]]&amp;" ("&amp;acumulado_porcentaje[[#This Row],[contar]]&amp;")"</f>
        <v>Alejandro Lopez Fernandez (1)</v>
      </c>
    </row>
    <row r="36" spans="1:16" x14ac:dyDescent="0.2">
      <c r="A36" s="140" t="s">
        <v>402</v>
      </c>
      <c r="B36" s="140">
        <v>2.6180836707152658E-2</v>
      </c>
      <c r="C36" s="140"/>
      <c r="D36" s="140"/>
      <c r="E36" s="47"/>
      <c r="F36" s="47"/>
      <c r="H36" s="139">
        <f>$H$82- COUNTIF(acumulado_porcentaje[[#This Row],[Ene 2024]:[Jun 2024]],"")</f>
        <v>1</v>
      </c>
      <c r="I36" s="69" t="str">
        <f>IF(acumulado_porcentaje[[#This Row],[contar]]&gt;=$H$83,SUM(SMALL(acumulado_porcentaje[[#This Row],[Ene 2024]:[Jun 2024]],1),SMALL(acumulado_porcentaje[[#This Row],[Ene 2024]:[Jun 2024]],2),SMALL(acumulado_porcentaje[[#This Row],[Ene 2024]:[Jun 2024]],3),SMALL(acumulado_porcentaje[[#This Row],[Ene 2024]:[Jun 2024]],4)),"#N/A")</f>
        <v>#N/A</v>
      </c>
      <c r="J36" t="str">
        <f>acumulado_porcentaje[[#This Row],[Nombre ]]&amp;" ("&amp;acumulado_porcentaje[[#This Row],[contar]]&amp;")"</f>
        <v>Alfredo Cotrina Martínez (1)</v>
      </c>
    </row>
    <row r="37" spans="1:16" x14ac:dyDescent="0.2">
      <c r="A37" s="140" t="s">
        <v>544</v>
      </c>
      <c r="B37" s="140"/>
      <c r="C37" s="140"/>
      <c r="D37" s="140"/>
      <c r="E37" s="47">
        <v>0.71909290416971472</v>
      </c>
      <c r="F37" s="47"/>
      <c r="H37" s="139">
        <f>$H$82- COUNTIF(acumulado_porcentaje[[#This Row],[Ene 2024]:[Jun 2024]],"")</f>
        <v>1</v>
      </c>
      <c r="I37" s="69" t="str">
        <f>IF(acumulado_porcentaje[[#This Row],[contar]]&gt;=$H$83,SUM(SMALL(acumulado_porcentaje[[#This Row],[Ene 2024]:[Jun 2024]],1),SMALL(acumulado_porcentaje[[#This Row],[Ene 2024]:[Jun 2024]],2),SMALL(acumulado_porcentaje[[#This Row],[Ene 2024]:[Jun 2024]],3),SMALL(acumulado_porcentaje[[#This Row],[Ene 2024]:[Jun 2024]],4)),"#N/A")</f>
        <v>#N/A</v>
      </c>
      <c r="J37" t="str">
        <f>acumulado_porcentaje[[#This Row],[Nombre ]]&amp;" ("&amp;acumulado_porcentaje[[#This Row],[contar]]&amp;")"</f>
        <v>Álvaro Barahona San Marcos (1)</v>
      </c>
    </row>
    <row r="38" spans="1:16" x14ac:dyDescent="0.2">
      <c r="A38" s="140" t="s">
        <v>415</v>
      </c>
      <c r="B38" s="140"/>
      <c r="C38" s="140">
        <v>0.75249999999999984</v>
      </c>
      <c r="D38" s="140"/>
      <c r="E38" s="47"/>
      <c r="F38" s="47"/>
      <c r="H38" s="139">
        <f>$H$82- COUNTIF(acumulado_porcentaje[[#This Row],[Ene 2024]:[Jun 2024]],"")</f>
        <v>1</v>
      </c>
      <c r="I38" s="69" t="str">
        <f>IF(acumulado_porcentaje[[#This Row],[contar]]&gt;=$H$83,SUM(SMALL(acumulado_porcentaje[[#This Row],[Ene 2024]:[Jun 2024]],1),SMALL(acumulado_porcentaje[[#This Row],[Ene 2024]:[Jun 2024]],2),SMALL(acumulado_porcentaje[[#This Row],[Ene 2024]:[Jun 2024]],3),SMALL(acumulado_porcentaje[[#This Row],[Ene 2024]:[Jun 2024]],4)),"#N/A")</f>
        <v>#N/A</v>
      </c>
      <c r="J38" t="str">
        <f>acumulado_porcentaje[[#This Row],[Nombre ]]&amp;" ("&amp;acumulado_porcentaje[[#This Row],[contar]]&amp;")"</f>
        <v>Antonio López Gómez-Millán (1)</v>
      </c>
    </row>
    <row r="39" spans="1:16" x14ac:dyDescent="0.2">
      <c r="A39" s="140" t="s">
        <v>413</v>
      </c>
      <c r="B39" s="140"/>
      <c r="C39" s="140">
        <v>0.80500000000000005</v>
      </c>
      <c r="D39" s="140"/>
      <c r="E39" s="47"/>
      <c r="F39" s="47">
        <v>9.6710526315789636E-2</v>
      </c>
      <c r="H39" s="139">
        <f>$H$82- COUNTIF(acumulado_porcentaje[[#This Row],[Ene 2024]:[Jun 2024]],"")</f>
        <v>2</v>
      </c>
      <c r="I39" s="69" t="str">
        <f>IF(acumulado_porcentaje[[#This Row],[contar]]&gt;=$H$83,SUM(SMALL(acumulado_porcentaje[[#This Row],[Ene 2024]:[Jun 2024]],1),SMALL(acumulado_porcentaje[[#This Row],[Ene 2024]:[Jun 2024]],2),SMALL(acumulado_porcentaje[[#This Row],[Ene 2024]:[Jun 2024]],3),SMALL(acumulado_porcentaje[[#This Row],[Ene 2024]:[Jun 2024]],4)),"#N/A")</f>
        <v>#N/A</v>
      </c>
      <c r="J39" t="str">
        <f>acumulado_porcentaje[[#This Row],[Nombre ]]&amp;" ("&amp;acumulado_porcentaje[[#This Row],[contar]]&amp;")"</f>
        <v>Beatriz Muñoz Rioboo (2)</v>
      </c>
    </row>
    <row r="40" spans="1:16" x14ac:dyDescent="0.2">
      <c r="A40" s="140" t="s">
        <v>216</v>
      </c>
      <c r="B40" s="140">
        <v>1.4170040485830114E-2</v>
      </c>
      <c r="C40" s="140"/>
      <c r="D40" s="140"/>
      <c r="E40" s="47"/>
      <c r="F40" s="47"/>
      <c r="H40" s="139">
        <f>$H$82- COUNTIF(acumulado_porcentaje[[#This Row],[Ene 2024]:[Jun 2024]],"")</f>
        <v>1</v>
      </c>
      <c r="I40" s="69" t="str">
        <f>IF(acumulado_porcentaje[[#This Row],[contar]]&gt;=$H$83,SUM(SMALL(acumulado_porcentaje[[#This Row],[Ene 2024]:[Jun 2024]],1),SMALL(acumulado_porcentaje[[#This Row],[Ene 2024]:[Jun 2024]],2),SMALL(acumulado_porcentaje[[#This Row],[Ene 2024]:[Jun 2024]],3),SMALL(acumulado_porcentaje[[#This Row],[Ene 2024]:[Jun 2024]],4)),"#N/A")</f>
        <v>#N/A</v>
      </c>
      <c r="J40" t="str">
        <f>acumulado_porcentaje[[#This Row],[Nombre ]]&amp;" ("&amp;acumulado_porcentaje[[#This Row],[contar]]&amp;")"</f>
        <v>Brais García (1)</v>
      </c>
    </row>
    <row r="41" spans="1:16" x14ac:dyDescent="0.2">
      <c r="A41" s="140" t="s">
        <v>475</v>
      </c>
      <c r="B41" s="140"/>
      <c r="C41" s="140"/>
      <c r="D41" s="140">
        <v>0.7435897435897435</v>
      </c>
      <c r="E41" s="47"/>
      <c r="F41" s="47"/>
      <c r="H41" s="139">
        <f>$H$82- COUNTIF(acumulado_porcentaje[[#This Row],[Ene 2024]:[Jun 2024]],"")</f>
        <v>1</v>
      </c>
      <c r="I41" s="69" t="str">
        <f>IF(acumulado_porcentaje[[#This Row],[contar]]&gt;=$H$83,SUM(SMALL(acumulado_porcentaje[[#This Row],[Ene 2024]:[Jun 2024]],1),SMALL(acumulado_porcentaje[[#This Row],[Ene 2024]:[Jun 2024]],2),SMALL(acumulado_porcentaje[[#This Row],[Ene 2024]:[Jun 2024]],3),SMALL(acumulado_porcentaje[[#This Row],[Ene 2024]:[Jun 2024]],4)),"#N/A")</f>
        <v>#N/A</v>
      </c>
      <c r="J41" t="str">
        <f>acumulado_porcentaje[[#This Row],[Nombre ]]&amp;" ("&amp;acumulado_porcentaje[[#This Row],[contar]]&amp;")"</f>
        <v>Carlos Alcaide Méndez (1)</v>
      </c>
    </row>
    <row r="42" spans="1:16" x14ac:dyDescent="0.2">
      <c r="A42" s="140" t="s">
        <v>654</v>
      </c>
      <c r="B42" s="140"/>
      <c r="C42" s="140"/>
      <c r="D42" s="140"/>
      <c r="E42" s="47"/>
      <c r="F42" s="47">
        <v>0.13388157894736843</v>
      </c>
      <c r="G42">
        <v>1.0758885686839486E-2</v>
      </c>
      <c r="H42" s="139">
        <f>$H$82- COUNTIF(acumulado_porcentaje[[#This Row],[Ene 2024]:[Jun 2024]],"")</f>
        <v>2</v>
      </c>
      <c r="I42" s="69" t="str">
        <f>IF(acumulado_porcentaje[[#This Row],[contar]]&gt;=$H$83,SUM(SMALL(acumulado_porcentaje[[#This Row],[Ene 2024]:[Jun 2024]],1),SMALL(acumulado_porcentaje[[#This Row],[Ene 2024]:[Jun 2024]],2),SMALL(acumulado_porcentaje[[#This Row],[Ene 2024]:[Jun 2024]],3),SMALL(acumulado_porcentaje[[#This Row],[Ene 2024]:[Jun 2024]],4)),"#N/A")</f>
        <v>#N/A</v>
      </c>
      <c r="J42" t="str">
        <f>acumulado_porcentaje[[#This Row],[Nombre ]]&amp;" ("&amp;acumulado_porcentaje[[#This Row],[contar]]&amp;")"</f>
        <v>Carlos Martin (2)</v>
      </c>
    </row>
    <row r="43" spans="1:16" x14ac:dyDescent="0.2">
      <c r="A43" s="140" t="s">
        <v>653</v>
      </c>
      <c r="B43" s="140"/>
      <c r="C43" s="140"/>
      <c r="D43" s="140"/>
      <c r="E43" s="47"/>
      <c r="F43" s="47">
        <v>0.56907894736842102</v>
      </c>
      <c r="G43">
        <v>0.25264169068203651</v>
      </c>
      <c r="H43" s="139">
        <f>$H$82- COUNTIF(acumulado_porcentaje[[#This Row],[Ene 2024]:[Jun 2024]],"")</f>
        <v>2</v>
      </c>
      <c r="I43" s="69" t="str">
        <f>IF(acumulado_porcentaje[[#This Row],[contar]]&gt;=$H$83,SUM(SMALL(acumulado_porcentaje[[#This Row],[Ene 2024]:[Jun 2024]],1),SMALL(acumulado_porcentaje[[#This Row],[Ene 2024]:[Jun 2024]],2),SMALL(acumulado_porcentaje[[#This Row],[Ene 2024]:[Jun 2024]],3),SMALL(acumulado_porcentaje[[#This Row],[Ene 2024]:[Jun 2024]],4)),"#N/A")</f>
        <v>#N/A</v>
      </c>
      <c r="J43" t="str">
        <f>acumulado_porcentaje[[#This Row],[Nombre ]]&amp;" ("&amp;acumulado_porcentaje[[#This Row],[contar]]&amp;")"</f>
        <v>Carlos Martínez García (2)</v>
      </c>
    </row>
    <row r="44" spans="1:16" x14ac:dyDescent="0.2">
      <c r="A44" s="140" t="s">
        <v>340</v>
      </c>
      <c r="B44" s="140"/>
      <c r="C44" s="140">
        <v>0.53825000000000001</v>
      </c>
      <c r="D44" s="140"/>
      <c r="E44" s="47"/>
      <c r="F44" s="47"/>
      <c r="H44" s="139">
        <f>$H$82- COUNTIF(acumulado_porcentaje[[#This Row],[Ene 2024]:[Jun 2024]],"")</f>
        <v>1</v>
      </c>
      <c r="I44" s="69" t="str">
        <f>IF(acumulado_porcentaje[[#This Row],[contar]]&gt;=$H$83,SUM(SMALL(acumulado_porcentaje[[#This Row],[Ene 2024]:[Jun 2024]],1),SMALL(acumulado_porcentaje[[#This Row],[Ene 2024]:[Jun 2024]],2),SMALL(acumulado_porcentaje[[#This Row],[Ene 2024]:[Jun 2024]],3),SMALL(acumulado_porcentaje[[#This Row],[Ene 2024]:[Jun 2024]],4)),"#N/A")</f>
        <v>#N/A</v>
      </c>
      <c r="J44" t="str">
        <f>acumulado_porcentaje[[#This Row],[Nombre ]]&amp;" ("&amp;acumulado_porcentaje[[#This Row],[contar]]&amp;")"</f>
        <v>Cristian Trapero (1)</v>
      </c>
    </row>
    <row r="45" spans="1:16" x14ac:dyDescent="0.2">
      <c r="A45" s="140" t="s">
        <v>797</v>
      </c>
      <c r="B45" s="140"/>
      <c r="C45" s="140"/>
      <c r="D45" s="140"/>
      <c r="E45" s="47"/>
      <c r="F45" s="47"/>
      <c r="G45">
        <v>0.260326609029779</v>
      </c>
      <c r="H45" s="139">
        <f>$H$82- COUNTIF(acumulado_porcentaje[[#This Row],[Ene 2024]:[Jun 2024]],"")</f>
        <v>1</v>
      </c>
      <c r="I45" s="69" t="str">
        <f>IF(acumulado_porcentaje[[#This Row],[contar]]&gt;=$H$83,SUM(SMALL(acumulado_porcentaje[[#This Row],[Ene 2024]:[Jun 2024]],1),SMALL(acumulado_porcentaje[[#This Row],[Ene 2024]:[Jun 2024]],2),SMALL(acumulado_porcentaje[[#This Row],[Ene 2024]:[Jun 2024]],3),SMALL(acumulado_porcentaje[[#This Row],[Ene 2024]:[Jun 2024]],4)),"#N/A")</f>
        <v>#N/A</v>
      </c>
      <c r="J45" t="str">
        <f>acumulado_porcentaje[[#This Row],[Nombre ]]&amp;" ("&amp;acumulado_porcentaje[[#This Row],[contar]]&amp;")"</f>
        <v>Daniel Pérez Carrasco (1)</v>
      </c>
    </row>
    <row r="46" spans="1:16" x14ac:dyDescent="0.2">
      <c r="A46" s="140" t="s">
        <v>541</v>
      </c>
      <c r="B46" s="140"/>
      <c r="C46" s="140"/>
      <c r="D46" s="140"/>
      <c r="E46" s="47">
        <v>0.26773957571324053</v>
      </c>
      <c r="F46" s="47">
        <v>0.16217105263157894</v>
      </c>
      <c r="G46">
        <v>0.32468780019212296</v>
      </c>
      <c r="H46" s="139">
        <f>$H$82- COUNTIF(acumulado_porcentaje[[#This Row],[Ene 2024]:[Jun 2024]],"")</f>
        <v>3</v>
      </c>
      <c r="I46" s="69" t="str">
        <f>IF(acumulado_porcentaje[[#This Row],[contar]]&gt;=$H$83,SUM(SMALL(acumulado_porcentaje[[#This Row],[Ene 2024]:[Jun 2024]],1),SMALL(acumulado_porcentaje[[#This Row],[Ene 2024]:[Jun 2024]],2),SMALL(acumulado_porcentaje[[#This Row],[Ene 2024]:[Jun 2024]],3),SMALL(acumulado_porcentaje[[#This Row],[Ene 2024]:[Jun 2024]],4)),"#N/A")</f>
        <v>#N/A</v>
      </c>
      <c r="J46" t="str">
        <f>acumulado_porcentaje[[#This Row],[Nombre ]]&amp;" ("&amp;acumulado_porcentaje[[#This Row],[contar]]&amp;")"</f>
        <v>Daniel Reganon (3)</v>
      </c>
    </row>
    <row r="47" spans="1:16" x14ac:dyDescent="0.2">
      <c r="A47" s="140" t="s">
        <v>472</v>
      </c>
      <c r="B47" s="140"/>
      <c r="C47" s="140"/>
      <c r="D47" s="140">
        <v>0.6060157790927021</v>
      </c>
      <c r="E47" s="47"/>
      <c r="F47" s="47"/>
      <c r="H47" s="139">
        <f>$H$82- COUNTIF(acumulado_porcentaje[[#This Row],[Ene 2024]:[Jun 2024]],"")</f>
        <v>1</v>
      </c>
      <c r="I47" s="69" t="str">
        <f>IF(acumulado_porcentaje[[#This Row],[contar]]&gt;=$H$83,SUM(SMALL(acumulado_porcentaje[[#This Row],[Ene 2024]:[Jun 2024]],1),SMALL(acumulado_porcentaje[[#This Row],[Ene 2024]:[Jun 2024]],2),SMALL(acumulado_porcentaje[[#This Row],[Ene 2024]:[Jun 2024]],3),SMALL(acumulado_porcentaje[[#This Row],[Ene 2024]:[Jun 2024]],4)),"#N/A")</f>
        <v>#N/A</v>
      </c>
      <c r="J47" t="str">
        <f>acumulado_porcentaje[[#This Row],[Nombre ]]&amp;" ("&amp;acumulado_porcentaje[[#This Row],[contar]]&amp;")"</f>
        <v>Eduardo Caro Eduardo Caro (1)</v>
      </c>
    </row>
    <row r="48" spans="1:16" x14ac:dyDescent="0.2">
      <c r="A48" s="140" t="s">
        <v>806</v>
      </c>
      <c r="B48" s="140"/>
      <c r="C48" s="140"/>
      <c r="D48" s="140"/>
      <c r="E48" s="47"/>
      <c r="F48" s="47">
        <v>0.22039473684210525</v>
      </c>
      <c r="G48">
        <v>2.5936599423631152E-2</v>
      </c>
      <c r="H48" s="139">
        <f>$H$82- COUNTIF(acumulado_porcentaje[[#This Row],[Ene 2024]:[Jun 2024]],"")</f>
        <v>2</v>
      </c>
      <c r="I48" s="69" t="str">
        <f>IF(acumulado_porcentaje[[#This Row],[contar]]&gt;=$H$83,SUM(SMALL(acumulado_porcentaje[[#This Row],[Ene 2024]:[Jun 2024]],1),SMALL(acumulado_porcentaje[[#This Row],[Ene 2024]:[Jun 2024]],2),SMALL(acumulado_porcentaje[[#This Row],[Ene 2024]:[Jun 2024]],3),SMALL(acumulado_porcentaje[[#This Row],[Ene 2024]:[Jun 2024]],4)),"#N/A")</f>
        <v>#N/A</v>
      </c>
      <c r="J48" t="str">
        <f>acumulado_porcentaje[[#This Row],[Nombre ]]&amp;" ("&amp;acumulado_porcentaje[[#This Row],[contar]]&amp;")"</f>
        <v>Gabino Jiménez-Castillo (2)</v>
      </c>
    </row>
    <row r="49" spans="1:10" x14ac:dyDescent="0.2">
      <c r="A49" s="140" t="s">
        <v>810</v>
      </c>
      <c r="B49" s="140"/>
      <c r="C49" s="140"/>
      <c r="D49" s="140"/>
      <c r="E49" s="47"/>
      <c r="F49" s="47"/>
      <c r="G49">
        <v>6.2439961575408265E-2</v>
      </c>
      <c r="H49" s="139">
        <f>$H$82- COUNTIF(acumulado_porcentaje[[#This Row],[Ene 2024]:[Jun 2024]],"")</f>
        <v>1</v>
      </c>
      <c r="I49" s="69" t="str">
        <f>IF(acumulado_porcentaje[[#This Row],[contar]]&gt;=$H$83,SUM(SMALL(acumulado_porcentaje[[#This Row],[Ene 2024]:[Jun 2024]],1),SMALL(acumulado_porcentaje[[#This Row],[Ene 2024]:[Jun 2024]],2),SMALL(acumulado_porcentaje[[#This Row],[Ene 2024]:[Jun 2024]],3),SMALL(acumulado_porcentaje[[#This Row],[Ene 2024]:[Jun 2024]],4)),"#N/A")</f>
        <v>#N/A</v>
      </c>
      <c r="J49" t="str">
        <f>acumulado_porcentaje[[#This Row],[Nombre ]]&amp;" ("&amp;acumulado_porcentaje[[#This Row],[contar]]&amp;")"</f>
        <v>Gorka Arratibel Pastor (1)</v>
      </c>
    </row>
    <row r="50" spans="1:10" x14ac:dyDescent="0.2">
      <c r="A50" s="140" t="s">
        <v>801</v>
      </c>
      <c r="B50" s="140"/>
      <c r="C50" s="140"/>
      <c r="D50" s="140"/>
      <c r="E50" s="47"/>
      <c r="F50" s="47"/>
      <c r="G50">
        <v>0.31066282420749269</v>
      </c>
      <c r="H50" s="139">
        <f>$H$82- COUNTIF(acumulado_porcentaje[[#This Row],[Ene 2024]:[Jun 2024]],"")</f>
        <v>1</v>
      </c>
      <c r="I50" s="69" t="str">
        <f>IF(acumulado_porcentaje[[#This Row],[contar]]&gt;=$H$83,SUM(SMALL(acumulado_porcentaje[[#This Row],[Ene 2024]:[Jun 2024]],1),SMALL(acumulado_porcentaje[[#This Row],[Ene 2024]:[Jun 2024]],2),SMALL(acumulado_porcentaje[[#This Row],[Ene 2024]:[Jun 2024]],3),SMALL(acumulado_porcentaje[[#This Row],[Ene 2024]:[Jun 2024]],4)),"#N/A")</f>
        <v>#N/A</v>
      </c>
      <c r="J50" t="str">
        <f>acumulado_porcentaje[[#This Row],[Nombre ]]&amp;" ("&amp;acumulado_porcentaje[[#This Row],[contar]]&amp;")"</f>
        <v>Ignacio Irigoyen (1)</v>
      </c>
    </row>
    <row r="51" spans="1:10" x14ac:dyDescent="0.2">
      <c r="A51" s="140" t="s">
        <v>652</v>
      </c>
      <c r="B51" s="140"/>
      <c r="C51" s="140"/>
      <c r="D51" s="140"/>
      <c r="E51" s="47"/>
      <c r="F51" s="47">
        <v>0.17105263157894746</v>
      </c>
      <c r="G51">
        <v>0.66109510086455325</v>
      </c>
      <c r="H51" s="139">
        <f>$H$82- COUNTIF(acumulado_porcentaje[[#This Row],[Ene 2024]:[Jun 2024]],"")</f>
        <v>2</v>
      </c>
      <c r="I51" s="69" t="str">
        <f>IF(acumulado_porcentaje[[#This Row],[contar]]&gt;=$H$83,SUM(SMALL(acumulado_porcentaje[[#This Row],[Ene 2024]:[Jun 2024]],1),SMALL(acumulado_porcentaje[[#This Row],[Ene 2024]:[Jun 2024]],2),SMALL(acumulado_porcentaje[[#This Row],[Ene 2024]:[Jun 2024]],3),SMALL(acumulado_porcentaje[[#This Row],[Ene 2024]:[Jun 2024]],4)),"#N/A")</f>
        <v>#N/A</v>
      </c>
      <c r="J51" t="str">
        <f>acumulado_porcentaje[[#This Row],[Nombre ]]&amp;" ("&amp;acumulado_porcentaje[[#This Row],[contar]]&amp;")"</f>
        <v>Iñaki Moriana García (2)</v>
      </c>
    </row>
    <row r="52" spans="1:10" x14ac:dyDescent="0.2">
      <c r="A52" s="140" t="s">
        <v>223</v>
      </c>
      <c r="B52" s="140">
        <v>1.0796221322537075E-2</v>
      </c>
      <c r="C52" s="140"/>
      <c r="D52" s="140"/>
      <c r="E52" s="47"/>
      <c r="F52" s="47"/>
      <c r="H52" s="139">
        <f>$H$82- COUNTIF(acumulado_porcentaje[[#This Row],[Ene 2024]:[Jun 2024]],"")</f>
        <v>1</v>
      </c>
      <c r="I52" s="69" t="str">
        <f>IF(acumulado_porcentaje[[#This Row],[contar]]&gt;=$H$83,SUM(SMALL(acumulado_porcentaje[[#This Row],[Ene 2024]:[Jun 2024]],1),SMALL(acumulado_porcentaje[[#This Row],[Ene 2024]:[Jun 2024]],2),SMALL(acumulado_porcentaje[[#This Row],[Ene 2024]:[Jun 2024]],3),SMALL(acumulado_porcentaje[[#This Row],[Ene 2024]:[Jun 2024]],4)),"#N/A")</f>
        <v>#N/A</v>
      </c>
      <c r="J52" t="str">
        <f>acumulado_porcentaje[[#This Row],[Nombre ]]&amp;" ("&amp;acumulado_porcentaje[[#This Row],[contar]]&amp;")"</f>
        <v>Javier Cervera (1)</v>
      </c>
    </row>
    <row r="53" spans="1:10" x14ac:dyDescent="0.2">
      <c r="A53" s="140" t="s">
        <v>796</v>
      </c>
      <c r="B53" s="140"/>
      <c r="C53" s="140"/>
      <c r="D53" s="140"/>
      <c r="E53" s="47"/>
      <c r="F53" s="47"/>
      <c r="G53">
        <v>0.16849183477425544</v>
      </c>
      <c r="H53" s="139">
        <f>$H$82- COUNTIF(acumulado_porcentaje[[#This Row],[Ene 2024]:[Jun 2024]],"")</f>
        <v>1</v>
      </c>
      <c r="I53" s="69" t="str">
        <f>IF(acumulado_porcentaje[[#This Row],[contar]]&gt;=$H$83,SUM(SMALL(acumulado_porcentaje[[#This Row],[Ene 2024]:[Jun 2024]],1),SMALL(acumulado_porcentaje[[#This Row],[Ene 2024]:[Jun 2024]],2),SMALL(acumulado_porcentaje[[#This Row],[Ene 2024]:[Jun 2024]],3),SMALL(acumulado_porcentaje[[#This Row],[Ene 2024]:[Jun 2024]],4)),"#N/A")</f>
        <v>#N/A</v>
      </c>
      <c r="J53" t="str">
        <f>acumulado_porcentaje[[#This Row],[Nombre ]]&amp;" ("&amp;acumulado_porcentaje[[#This Row],[contar]]&amp;")"</f>
        <v>Javier Fernandez Maza (1)</v>
      </c>
    </row>
    <row r="54" spans="1:10" x14ac:dyDescent="0.2">
      <c r="A54" s="140" t="s">
        <v>807</v>
      </c>
      <c r="B54" s="140"/>
      <c r="C54" s="140"/>
      <c r="D54" s="140"/>
      <c r="E54" s="47"/>
      <c r="F54" s="47"/>
      <c r="G54">
        <v>8.1652257444764648E-2</v>
      </c>
      <c r="H54" s="139">
        <f>$H$82- COUNTIF(acumulado_porcentaje[[#This Row],[Ene 2024]:[Jun 2024]],"")</f>
        <v>1</v>
      </c>
      <c r="I54" s="69" t="str">
        <f>IF(acumulado_porcentaje[[#This Row],[contar]]&gt;=$H$83,SUM(SMALL(acumulado_porcentaje[[#This Row],[Ene 2024]:[Jun 2024]],1),SMALL(acumulado_porcentaje[[#This Row],[Ene 2024]:[Jun 2024]],2),SMALL(acumulado_porcentaje[[#This Row],[Ene 2024]:[Jun 2024]],3),SMALL(acumulado_porcentaje[[#This Row],[Ene 2024]:[Jun 2024]],4)),"#N/A")</f>
        <v>#N/A</v>
      </c>
      <c r="J54" t="str">
        <f>acumulado_porcentaje[[#This Row],[Nombre ]]&amp;" ("&amp;acumulado_porcentaje[[#This Row],[contar]]&amp;")"</f>
        <v>Javier Lazaro (1)</v>
      </c>
    </row>
    <row r="55" spans="1:10" x14ac:dyDescent="0.2">
      <c r="A55" s="140" t="s">
        <v>804</v>
      </c>
      <c r="B55" s="140"/>
      <c r="C55" s="140"/>
      <c r="D55" s="140"/>
      <c r="E55" s="47"/>
      <c r="F55" s="141"/>
      <c r="G55">
        <v>0.92026897214217118</v>
      </c>
      <c r="H55" s="139">
        <f>$H$82- COUNTIF(acumulado_porcentaje[[#This Row],[Ene 2024]:[Jun 2024]],"")</f>
        <v>1</v>
      </c>
      <c r="I55" s="69" t="str">
        <f>IF(acumulado_porcentaje[[#This Row],[contar]]&gt;=$H$83,SUM(SMALL(acumulado_porcentaje[[#This Row],[Ene 2024]:[Jun 2024]],1),SMALL(acumulado_porcentaje[[#This Row],[Ene 2024]:[Jun 2024]],2),SMALL(acumulado_porcentaje[[#This Row],[Ene 2024]:[Jun 2024]],3),SMALL(acumulado_porcentaje[[#This Row],[Ene 2024]:[Jun 2024]],4)),"#N/A")</f>
        <v>#N/A</v>
      </c>
      <c r="J55" t="str">
        <f>acumulado_porcentaje[[#This Row],[Nombre ]]&amp;" ("&amp;acumulado_porcentaje[[#This Row],[contar]]&amp;")"</f>
        <v>Jesús Aceituno López (1)</v>
      </c>
    </row>
    <row r="56" spans="1:10" x14ac:dyDescent="0.2">
      <c r="A56" s="140" t="s">
        <v>224</v>
      </c>
      <c r="B56" s="140">
        <v>0.10175438596491218</v>
      </c>
      <c r="C56" s="140">
        <v>0.80899999999999994</v>
      </c>
      <c r="D56" s="140"/>
      <c r="E56" s="47"/>
      <c r="F56" s="47"/>
      <c r="H56" s="139">
        <f>$H$82- COUNTIF(acumulado_porcentaje[[#This Row],[Ene 2024]:[Jun 2024]],"")</f>
        <v>2</v>
      </c>
      <c r="I56" s="69" t="str">
        <f>IF(acumulado_porcentaje[[#This Row],[contar]]&gt;=$H$83,SUM(SMALL(acumulado_porcentaje[[#This Row],[Ene 2024]:[Jun 2024]],1),SMALL(acumulado_porcentaje[[#This Row],[Ene 2024]:[Jun 2024]],2),SMALL(acumulado_porcentaje[[#This Row],[Ene 2024]:[Jun 2024]],3),SMALL(acumulado_porcentaje[[#This Row],[Ene 2024]:[Jun 2024]],4)),"#N/A")</f>
        <v>#N/A</v>
      </c>
      <c r="J56" t="str">
        <f>acumulado_porcentaje[[#This Row],[Nombre ]]&amp;" ("&amp;acumulado_porcentaje[[#This Row],[contar]]&amp;")"</f>
        <v>Jesús López (2)</v>
      </c>
    </row>
    <row r="57" spans="1:10" x14ac:dyDescent="0.2">
      <c r="A57" s="140" t="s">
        <v>822</v>
      </c>
      <c r="B57" s="140"/>
      <c r="C57" s="140"/>
      <c r="D57" s="140"/>
      <c r="E57" s="47"/>
      <c r="F57" s="47"/>
      <c r="G57">
        <v>0.21383285302593666</v>
      </c>
      <c r="H57" s="139">
        <f>$H$82- COUNTIF(acumulado_porcentaje[[#This Row],[Ene 2024]:[Jun 2024]],"")</f>
        <v>1</v>
      </c>
      <c r="I57" s="69" t="str">
        <f>IF(acumulado_porcentaje[[#This Row],[contar]]&gt;=$H$83,SUM(SMALL(acumulado_porcentaje[[#This Row],[Ene 2024]:[Jun 2024]],1),SMALL(acumulado_porcentaje[[#This Row],[Ene 2024]:[Jun 2024]],2),SMALL(acumulado_porcentaje[[#This Row],[Ene 2024]:[Jun 2024]],3),SMALL(acumulado_porcentaje[[#This Row],[Ene 2024]:[Jun 2024]],4)),"#N/A")</f>
        <v>#N/A</v>
      </c>
      <c r="J57" s="47" t="str">
        <f>acumulado_porcentaje[[#This Row],[Nombre ]]&amp;" ("&amp;acumulado_porcentaje[[#This Row],[contar]]&amp;")"</f>
        <v>Jorge González Arconada (1)</v>
      </c>
    </row>
    <row r="58" spans="1:10" x14ac:dyDescent="0.2">
      <c r="A58" s="140" t="s">
        <v>799</v>
      </c>
      <c r="B58" s="140"/>
      <c r="C58" s="140"/>
      <c r="D58" s="140"/>
      <c r="E58" s="47"/>
      <c r="F58" s="47"/>
      <c r="G58">
        <v>0.38808837656099898</v>
      </c>
      <c r="H58" s="139">
        <f>$H$82- COUNTIF(acumulado_porcentaje[[#This Row],[Ene 2024]:[Jun 2024]],"")</f>
        <v>1</v>
      </c>
      <c r="I58" s="69" t="str">
        <f>IF(acumulado_porcentaje[[#This Row],[contar]]&gt;=$H$83,SUM(SMALL(acumulado_porcentaje[[#This Row],[Ene 2024]:[Jun 2024]],1),SMALL(acumulado_porcentaje[[#This Row],[Ene 2024]:[Jun 2024]],2),SMALL(acumulado_porcentaje[[#This Row],[Ene 2024]:[Jun 2024]],3),SMALL(acumulado_porcentaje[[#This Row],[Ene 2024]:[Jun 2024]],4)),"#N/A")</f>
        <v>#N/A</v>
      </c>
      <c r="J58" t="str">
        <f>acumulado_porcentaje[[#This Row],[Nombre ]]&amp;" ("&amp;acumulado_porcentaje[[#This Row],[contar]]&amp;")"</f>
        <v>Jorge Gonzalez Onieva Johansson (1)</v>
      </c>
    </row>
    <row r="59" spans="1:10" x14ac:dyDescent="0.2">
      <c r="A59" s="140" t="s">
        <v>647</v>
      </c>
      <c r="B59" s="140"/>
      <c r="C59" s="140"/>
      <c r="D59" s="140"/>
      <c r="E59" s="47"/>
      <c r="F59" s="47">
        <v>0.25460526315789483</v>
      </c>
      <c r="G59">
        <v>0.1602305475504322</v>
      </c>
      <c r="H59" s="139">
        <f>$H$82- COUNTIF(acumulado_porcentaje[[#This Row],[Ene 2024]:[Jun 2024]],"")</f>
        <v>2</v>
      </c>
      <c r="I59" s="69" t="str">
        <f>IF(acumulado_porcentaje[[#This Row],[contar]]&gt;=$H$83,SUM(SMALL(acumulado_porcentaje[[#This Row],[Ene 2024]:[Jun 2024]],1),SMALL(acumulado_porcentaje[[#This Row],[Ene 2024]:[Jun 2024]],2),SMALL(acumulado_porcentaje[[#This Row],[Ene 2024]:[Jun 2024]],3),SMALL(acumulado_porcentaje[[#This Row],[Ene 2024]:[Jun 2024]],4)),"#N/A")</f>
        <v>#N/A</v>
      </c>
      <c r="J59" t="str">
        <f>acumulado_porcentaje[[#This Row],[Nombre ]]&amp;" ("&amp;acumulado_porcentaje[[#This Row],[contar]]&amp;")"</f>
        <v>Jose Antonio Quidiello Antuña (2)</v>
      </c>
    </row>
    <row r="60" spans="1:10" x14ac:dyDescent="0.2">
      <c r="A60" s="140" t="s">
        <v>220</v>
      </c>
      <c r="B60" s="140">
        <v>0.14979757085020257</v>
      </c>
      <c r="C60" s="140"/>
      <c r="D60" s="140"/>
      <c r="E60" s="47"/>
      <c r="F60" s="47"/>
      <c r="H60" s="139">
        <f>$H$82- COUNTIF(acumulado_porcentaje[[#This Row],[Ene 2024]:[Jun 2024]],"")</f>
        <v>1</v>
      </c>
      <c r="I60" s="69" t="str">
        <f>IF(acumulado_porcentaje[[#This Row],[contar]]&gt;=$H$83,SUM(SMALL(acumulado_porcentaje[[#This Row],[Ene 2024]:[Jun 2024]],1),SMALL(acumulado_porcentaje[[#This Row],[Ene 2024]:[Jun 2024]],2),SMALL(acumulado_porcentaje[[#This Row],[Ene 2024]:[Jun 2024]],3),SMALL(acumulado_porcentaje[[#This Row],[Ene 2024]:[Jun 2024]],4)),"#N/A")</f>
        <v>#N/A</v>
      </c>
      <c r="J60" t="str">
        <f>acumulado_porcentaje[[#This Row],[Nombre ]]&amp;" ("&amp;acumulado_porcentaje[[#This Row],[contar]]&amp;")"</f>
        <v>Juan Sanjorge Sanjorge Grandal (1)</v>
      </c>
    </row>
    <row r="61" spans="1:10" x14ac:dyDescent="0.2">
      <c r="A61" s="140" t="s">
        <v>410</v>
      </c>
      <c r="B61" s="140">
        <v>0.23076923076923089</v>
      </c>
      <c r="C61" s="140"/>
      <c r="D61" s="140"/>
      <c r="E61" s="47"/>
      <c r="F61" s="47"/>
      <c r="H61" s="139">
        <f>$H$82- COUNTIF(acumulado_porcentaje[[#This Row],[Ene 2024]:[Jun 2024]],"")</f>
        <v>1</v>
      </c>
      <c r="I61" s="69" t="str">
        <f>IF(acumulado_porcentaje[[#This Row],[contar]]&gt;=$H$83,SUM(SMALL(acumulado_porcentaje[[#This Row],[Ene 2024]:[Jun 2024]],1),SMALL(acumulado_porcentaje[[#This Row],[Ene 2024]:[Jun 2024]],2),SMALL(acumulado_porcentaje[[#This Row],[Ene 2024]:[Jun 2024]],3),SMALL(acumulado_porcentaje[[#This Row],[Ene 2024]:[Jun 2024]],4)),"#N/A")</f>
        <v>#N/A</v>
      </c>
      <c r="J61" t="str">
        <f>acumulado_porcentaje[[#This Row],[Nombre ]]&amp;" ("&amp;acumulado_porcentaje[[#This Row],[contar]]&amp;")"</f>
        <v>Manuel Bueno Pérez (1)</v>
      </c>
    </row>
    <row r="62" spans="1:10" x14ac:dyDescent="0.2">
      <c r="A62" s="140" t="s">
        <v>400</v>
      </c>
      <c r="B62" s="140">
        <v>0.21052631578947381</v>
      </c>
      <c r="C62" s="140"/>
      <c r="D62" s="140"/>
      <c r="E62" s="47"/>
      <c r="F62" s="47">
        <v>0.2434210526315789</v>
      </c>
      <c r="H62" s="139">
        <f>$H$82- COUNTIF(acumulado_porcentaje[[#This Row],[Ene 2024]:[Jun 2024]],"")</f>
        <v>2</v>
      </c>
      <c r="I62" s="69" t="str">
        <f>IF(acumulado_porcentaje[[#This Row],[contar]]&gt;=$H$83,SUM(SMALL(acumulado_porcentaje[[#This Row],[Ene 2024]:[Jun 2024]],1),SMALL(acumulado_porcentaje[[#This Row],[Ene 2024]:[Jun 2024]],2),SMALL(acumulado_porcentaje[[#This Row],[Ene 2024]:[Jun 2024]],3),SMALL(acumulado_porcentaje[[#This Row],[Ene 2024]:[Jun 2024]],4)),"#N/A")</f>
        <v>#N/A</v>
      </c>
      <c r="J62" t="str">
        <f>acumulado_porcentaje[[#This Row],[Nombre ]]&amp;" ("&amp;acumulado_porcentaje[[#This Row],[contar]]&amp;")"</f>
        <v>Manuel Nogales Guillén (2)</v>
      </c>
    </row>
    <row r="63" spans="1:10" x14ac:dyDescent="0.2">
      <c r="A63" s="140" t="s">
        <v>405</v>
      </c>
      <c r="B63" s="140">
        <v>0.11106612685560041</v>
      </c>
      <c r="C63" s="140"/>
      <c r="D63" s="140"/>
      <c r="E63" s="47"/>
      <c r="F63" s="47"/>
      <c r="H63" s="139">
        <f>$H$82- COUNTIF(acumulado_porcentaje[[#This Row],[Ene 2024]:[Jun 2024]],"")</f>
        <v>1</v>
      </c>
      <c r="I63" s="69" t="str">
        <f>IF(acumulado_porcentaje[[#This Row],[contar]]&gt;=$H$83,SUM(SMALL(acumulado_porcentaje[[#This Row],[Ene 2024]:[Jun 2024]],1),SMALL(acumulado_porcentaje[[#This Row],[Ene 2024]:[Jun 2024]],2),SMALL(acumulado_porcentaje[[#This Row],[Ene 2024]:[Jun 2024]],3),SMALL(acumulado_porcentaje[[#This Row],[Ene 2024]:[Jun 2024]],4)),"#N/A")</f>
        <v>#N/A</v>
      </c>
      <c r="J63" t="str">
        <f>acumulado_porcentaje[[#This Row],[Nombre ]]&amp;" ("&amp;acumulado_porcentaje[[#This Row],[contar]]&amp;")"</f>
        <v>Marc Soler Collell (1)</v>
      </c>
    </row>
    <row r="64" spans="1:10" x14ac:dyDescent="0.2">
      <c r="A64" s="140" t="s">
        <v>649</v>
      </c>
      <c r="B64" s="140"/>
      <c r="C64" s="140"/>
      <c r="D64" s="140"/>
      <c r="E64" s="47"/>
      <c r="F64" s="47">
        <v>9.7368421052631618E-2</v>
      </c>
      <c r="H64" s="139">
        <f>$H$82- COUNTIF(acumulado_porcentaje[[#This Row],[Ene 2024]:[Jun 2024]],"")</f>
        <v>1</v>
      </c>
      <c r="I64" s="69" t="str">
        <f>IF(acumulado_porcentaje[[#This Row],[contar]]&gt;=$H$83,SUM(SMALL(acumulado_porcentaje[[#This Row],[Ene 2024]:[Jun 2024]],1),SMALL(acumulado_porcentaje[[#This Row],[Ene 2024]:[Jun 2024]],2),SMALL(acumulado_porcentaje[[#This Row],[Ene 2024]:[Jun 2024]],3),SMALL(acumulado_porcentaje[[#This Row],[Ene 2024]:[Jun 2024]],4)),"#N/A")</f>
        <v>#N/A</v>
      </c>
      <c r="J64" t="str">
        <f>acumulado_porcentaje[[#This Row],[Nombre ]]&amp;" ("&amp;acumulado_porcentaje[[#This Row],[contar]]&amp;")"</f>
        <v>Miguel Roa Prieto (1)</v>
      </c>
    </row>
    <row r="65" spans="1:10" x14ac:dyDescent="0.2">
      <c r="A65" s="140" t="s">
        <v>648</v>
      </c>
      <c r="B65" s="140"/>
      <c r="C65" s="140"/>
      <c r="D65" s="140"/>
      <c r="E65" s="47"/>
      <c r="F65" s="47">
        <v>0.10361842105263154</v>
      </c>
      <c r="H65" s="139">
        <f>$H$82- COUNTIF(acumulado_porcentaje[[#This Row],[Ene 2024]:[Jun 2024]],"")</f>
        <v>1</v>
      </c>
      <c r="I65" s="69" t="str">
        <f>IF(acumulado_porcentaje[[#This Row],[contar]]&gt;=$H$83,SUM(SMALL(acumulado_porcentaje[[#This Row],[Ene 2024]:[Jun 2024]],1),SMALL(acumulado_porcentaje[[#This Row],[Ene 2024]:[Jun 2024]],2),SMALL(acumulado_porcentaje[[#This Row],[Ene 2024]:[Jun 2024]],3),SMALL(acumulado_porcentaje[[#This Row],[Ene 2024]:[Jun 2024]],4)),"#N/A")</f>
        <v>#N/A</v>
      </c>
      <c r="J65" t="str">
        <f>acumulado_porcentaje[[#This Row],[Nombre ]]&amp;" ("&amp;acumulado_porcentaje[[#This Row],[contar]]&amp;")"</f>
        <v>Nelson Hernandez Hernandez (1)</v>
      </c>
    </row>
    <row r="66" spans="1:10" x14ac:dyDescent="0.2">
      <c r="A66" s="140" t="s">
        <v>227</v>
      </c>
      <c r="B66" s="140">
        <v>0.18016194331983817</v>
      </c>
      <c r="C66" s="140"/>
      <c r="D66" s="140"/>
      <c r="E66" s="47"/>
      <c r="F66" s="47"/>
      <c r="H66" s="139">
        <f>$H$82- COUNTIF(acumulado_porcentaje[[#This Row],[Ene 2024]:[Jun 2024]],"")</f>
        <v>1</v>
      </c>
      <c r="I66" s="69" t="str">
        <f>IF(acumulado_porcentaje[[#This Row],[contar]]&gt;=$H$83,SUM(SMALL(acumulado_porcentaje[[#This Row],[Ene 2024]:[Jun 2024]],1),SMALL(acumulado_porcentaje[[#This Row],[Ene 2024]:[Jun 2024]],2),SMALL(acumulado_porcentaje[[#This Row],[Ene 2024]:[Jun 2024]],3),SMALL(acumulado_porcentaje[[#This Row],[Ene 2024]:[Jun 2024]],4)),"#N/A")</f>
        <v>#N/A</v>
      </c>
      <c r="J66" t="str">
        <f>acumulado_porcentaje[[#This Row],[Nombre ]]&amp;" ("&amp;acumulado_porcentaje[[#This Row],[contar]]&amp;")"</f>
        <v>Olivia Infantes (1)</v>
      </c>
    </row>
    <row r="67" spans="1:10" x14ac:dyDescent="0.2">
      <c r="A67" s="140" t="s">
        <v>473</v>
      </c>
      <c r="B67" s="140"/>
      <c r="C67" s="140"/>
      <c r="D67" s="140">
        <v>2.2199211045364886</v>
      </c>
      <c r="E67" s="47"/>
      <c r="F67" s="47"/>
      <c r="H67" s="139">
        <f>$H$82- COUNTIF(acumulado_porcentaje[[#This Row],[Ene 2024]:[Jun 2024]],"")</f>
        <v>1</v>
      </c>
      <c r="I67" s="69" t="str">
        <f>IF(acumulado_porcentaje[[#This Row],[contar]]&gt;=$H$83,SUM(SMALL(acumulado_porcentaje[[#This Row],[Ene 2024]:[Jun 2024]],1),SMALL(acumulado_porcentaje[[#This Row],[Ene 2024]:[Jun 2024]],2),SMALL(acumulado_porcentaje[[#This Row],[Ene 2024]:[Jun 2024]],3),SMALL(acumulado_porcentaje[[#This Row],[Ene 2024]:[Jun 2024]],4)),"#N/A")</f>
        <v>#N/A</v>
      </c>
      <c r="J67" t="str">
        <f>acumulado_porcentaje[[#This Row],[Nombre ]]&amp;" ("&amp;acumulado_porcentaje[[#This Row],[contar]]&amp;")"</f>
        <v>Pablo Baigorria Kobylinski (1)</v>
      </c>
    </row>
    <row r="68" spans="1:10" x14ac:dyDescent="0.2">
      <c r="A68" s="140" t="s">
        <v>802</v>
      </c>
      <c r="B68" s="140"/>
      <c r="C68" s="140"/>
      <c r="D68" s="140"/>
      <c r="E68" s="47"/>
      <c r="F68" s="47"/>
      <c r="G68">
        <v>0.15869356388088388</v>
      </c>
      <c r="H68" s="139">
        <f>$H$82- COUNTIF(acumulado_porcentaje[[#This Row],[Ene 2024]:[Jun 2024]],"")</f>
        <v>1</v>
      </c>
      <c r="I68" s="69" t="str">
        <f>IF(acumulado_porcentaje[[#This Row],[contar]]&gt;=$H$83,SUM(SMALL(acumulado_porcentaje[[#This Row],[Ene 2024]:[Jun 2024]],1),SMALL(acumulado_porcentaje[[#This Row],[Ene 2024]:[Jun 2024]],2),SMALL(acumulado_porcentaje[[#This Row],[Ene 2024]:[Jun 2024]],3),SMALL(acumulado_porcentaje[[#This Row],[Ene 2024]:[Jun 2024]],4)),"#N/A")</f>
        <v>#N/A</v>
      </c>
      <c r="J68" t="str">
        <f>acumulado_porcentaje[[#This Row],[Nombre ]]&amp;" ("&amp;acumulado_porcentaje[[#This Row],[contar]]&amp;")"</f>
        <v>Paco Cuadrado (1)</v>
      </c>
    </row>
    <row r="69" spans="1:10" x14ac:dyDescent="0.2">
      <c r="A69" s="140" t="s">
        <v>809</v>
      </c>
      <c r="B69" s="140"/>
      <c r="C69" s="140"/>
      <c r="D69" s="140"/>
      <c r="E69" s="47"/>
      <c r="F69" s="47"/>
      <c r="G69">
        <v>7.9731027857829123E-2</v>
      </c>
      <c r="H69" s="139">
        <f>$H$82- COUNTIF(acumulado_porcentaje[[#This Row],[Ene 2024]:[Jun 2024]],"")</f>
        <v>1</v>
      </c>
      <c r="I69" s="69" t="str">
        <f>IF(acumulado_porcentaje[[#This Row],[contar]]&gt;=$H$83,SUM(SMALL(acumulado_porcentaje[[#This Row],[Ene 2024]:[Jun 2024]],1),SMALL(acumulado_porcentaje[[#This Row],[Ene 2024]:[Jun 2024]],2),SMALL(acumulado_porcentaje[[#This Row],[Ene 2024]:[Jun 2024]],3),SMALL(acumulado_porcentaje[[#This Row],[Ene 2024]:[Jun 2024]],4)),"#N/A")</f>
        <v>#N/A</v>
      </c>
      <c r="J69" t="str">
        <f>acumulado_porcentaje[[#This Row],[Nombre ]]&amp;" ("&amp;acumulado_porcentaje[[#This Row],[contar]]&amp;")"</f>
        <v>Paco Luis Pérez Zarco (1)</v>
      </c>
    </row>
    <row r="70" spans="1:10" x14ac:dyDescent="0.2">
      <c r="A70" s="140" t="s">
        <v>808</v>
      </c>
      <c r="B70" s="140"/>
      <c r="C70" s="140"/>
      <c r="D70" s="140"/>
      <c r="E70" s="47"/>
      <c r="F70" s="47"/>
      <c r="G70">
        <v>6.282420749279545E-2</v>
      </c>
      <c r="H70" s="139">
        <f>$H$82- COUNTIF(acumulado_porcentaje[[#This Row],[Ene 2024]:[Jun 2024]],"")</f>
        <v>1</v>
      </c>
      <c r="I70" s="69" t="str">
        <f>IF(acumulado_porcentaje[[#This Row],[contar]]&gt;=$H$83,SUM(SMALL(acumulado_porcentaje[[#This Row],[Ene 2024]:[Jun 2024]],1),SMALL(acumulado_porcentaje[[#This Row],[Ene 2024]:[Jun 2024]],2),SMALL(acumulado_porcentaje[[#This Row],[Ene 2024]:[Jun 2024]],3),SMALL(acumulado_porcentaje[[#This Row],[Ene 2024]:[Jun 2024]],4)),"#N/A")</f>
        <v>#N/A</v>
      </c>
      <c r="J70" t="str">
        <f>acumulado_porcentaje[[#This Row],[Nombre ]]&amp;" ("&amp;acumulado_porcentaje[[#This Row],[contar]]&amp;")"</f>
        <v>Ricardo Estevez (1)</v>
      </c>
    </row>
    <row r="71" spans="1:10" x14ac:dyDescent="0.2">
      <c r="A71" s="140" t="s">
        <v>416</v>
      </c>
      <c r="B71" s="140"/>
      <c r="C71" s="140">
        <v>1.18875</v>
      </c>
      <c r="D71" s="140"/>
      <c r="E71" s="47"/>
      <c r="F71" s="47"/>
      <c r="H71" s="139">
        <f>$H$82- COUNTIF(acumulado_porcentaje[[#This Row],[Ene 2024]:[Jun 2024]],"")</f>
        <v>1</v>
      </c>
      <c r="I71" s="69" t="str">
        <f>IF(acumulado_porcentaje[[#This Row],[contar]]&gt;=$H$83,SUM(SMALL(acumulado_porcentaje[[#This Row],[Ene 2024]:[Jun 2024]],1),SMALL(acumulado_porcentaje[[#This Row],[Ene 2024]:[Jun 2024]],2),SMALL(acumulado_porcentaje[[#This Row],[Ene 2024]:[Jun 2024]],3),SMALL(acumulado_porcentaje[[#This Row],[Ene 2024]:[Jun 2024]],4)),"#N/A")</f>
        <v>#N/A</v>
      </c>
      <c r="J71" t="str">
        <f>acumulado_porcentaje[[#This Row],[Nombre ]]&amp;" ("&amp;acumulado_porcentaje[[#This Row],[contar]]&amp;")"</f>
        <v>Roberto De Dios García (1)</v>
      </c>
    </row>
    <row r="72" spans="1:10" x14ac:dyDescent="0.2">
      <c r="A72" s="140" t="s">
        <v>542</v>
      </c>
      <c r="B72" s="140"/>
      <c r="C72" s="140"/>
      <c r="D72" s="140"/>
      <c r="E72" s="47">
        <v>0.45647403072421361</v>
      </c>
      <c r="F72" s="47">
        <v>0.12434210526315782</v>
      </c>
      <c r="G72">
        <v>0.14601344860710844</v>
      </c>
      <c r="H72" s="139">
        <f>$H$82- COUNTIF(acumulado_porcentaje[[#This Row],[Ene 2024]:[Jun 2024]],"")</f>
        <v>3</v>
      </c>
      <c r="I72" s="69" t="str">
        <f>IF(acumulado_porcentaje[[#This Row],[contar]]&gt;=$H$83,SUM(SMALL(acumulado_porcentaje[[#This Row],[Ene 2024]:[Jun 2024]],1),SMALL(acumulado_porcentaje[[#This Row],[Ene 2024]:[Jun 2024]],2),SMALL(acumulado_porcentaje[[#This Row],[Ene 2024]:[Jun 2024]],3),SMALL(acumulado_porcentaje[[#This Row],[Ene 2024]:[Jun 2024]],4)),"#N/A")</f>
        <v>#N/A</v>
      </c>
      <c r="J72" t="str">
        <f>acumulado_porcentaje[[#This Row],[Nombre ]]&amp;" ("&amp;acumulado_porcentaje[[#This Row],[contar]]&amp;")"</f>
        <v>Sergio Alfonso (3)</v>
      </c>
    </row>
    <row r="73" spans="1:10" x14ac:dyDescent="0.2">
      <c r="A73" s="140" t="s">
        <v>655</v>
      </c>
      <c r="B73" s="140"/>
      <c r="C73" s="140"/>
      <c r="D73" s="140"/>
      <c r="E73" s="47"/>
      <c r="F73" s="47">
        <v>0.38289473684210518</v>
      </c>
      <c r="G73">
        <v>6.301633045148898E-2</v>
      </c>
      <c r="H73" s="139">
        <f>$H$82- COUNTIF(acumulado_porcentaje[[#This Row],[Ene 2024]:[Jun 2024]],"")</f>
        <v>2</v>
      </c>
      <c r="I73" s="69" t="str">
        <f>IF(acumulado_porcentaje[[#This Row],[contar]]&gt;=$H$83,SUM(SMALL(acumulado_porcentaje[[#This Row],[Ene 2024]:[Jun 2024]],1),SMALL(acumulado_porcentaje[[#This Row],[Ene 2024]:[Jun 2024]],2),SMALL(acumulado_porcentaje[[#This Row],[Ene 2024]:[Jun 2024]],3),SMALL(acumulado_porcentaje[[#This Row],[Ene 2024]:[Jun 2024]],4)),"#N/A")</f>
        <v>#N/A</v>
      </c>
      <c r="J73" t="str">
        <f>acumulado_porcentaje[[#This Row],[Nombre ]]&amp;" ("&amp;acumulado_porcentaje[[#This Row],[contar]]&amp;")"</f>
        <v>Sergio Gallego Bolaños (2)</v>
      </c>
    </row>
    <row r="74" spans="1:10" x14ac:dyDescent="0.2">
      <c r="A74" s="140" t="s">
        <v>800</v>
      </c>
      <c r="B74" s="140"/>
      <c r="C74" s="140"/>
      <c r="D74" s="140"/>
      <c r="E74" s="47"/>
      <c r="F74" s="47"/>
      <c r="G74">
        <v>0.15984630163304517</v>
      </c>
      <c r="H74" s="139">
        <f>$H$82- COUNTIF(acumulado_porcentaje[[#This Row],[Ene 2024]:[Jun 2024]],"")</f>
        <v>1</v>
      </c>
      <c r="I74" s="69" t="str">
        <f>IF(acumulado_porcentaje[[#This Row],[contar]]&gt;=$H$83,SUM(SMALL(acumulado_porcentaje[[#This Row],[Ene 2024]:[Jun 2024]],1),SMALL(acumulado_porcentaje[[#This Row],[Ene 2024]:[Jun 2024]],2),SMALL(acumulado_porcentaje[[#This Row],[Ene 2024]:[Jun 2024]],3),SMALL(acumulado_porcentaje[[#This Row],[Ene 2024]:[Jun 2024]],4)),"#N/A")</f>
        <v>#N/A</v>
      </c>
      <c r="J74" t="str">
        <f>acumulado_porcentaje[[#This Row],[Nombre ]]&amp;" ("&amp;acumulado_porcentaje[[#This Row],[contar]]&amp;")"</f>
        <v>Sergio García Sanz (1)</v>
      </c>
    </row>
    <row r="75" spans="1:10" x14ac:dyDescent="0.2">
      <c r="A75" s="140" t="s">
        <v>650</v>
      </c>
      <c r="B75" s="140"/>
      <c r="C75" s="140"/>
      <c r="D75" s="140"/>
      <c r="E75" s="47"/>
      <c r="F75" s="47">
        <v>0.40394736842105256</v>
      </c>
      <c r="H75" s="139">
        <f>$H$82- COUNTIF(acumulado_porcentaje[[#This Row],[Ene 2024]:[Jun 2024]],"")</f>
        <v>1</v>
      </c>
      <c r="I75" s="69" t="str">
        <f>IF(acumulado_porcentaje[[#This Row],[contar]]&gt;=$H$83,SUM(SMALL(acumulado_porcentaje[[#This Row],[Ene 2024]:[Jun 2024]],1),SMALL(acumulado_porcentaje[[#This Row],[Ene 2024]:[Jun 2024]],2),SMALL(acumulado_porcentaje[[#This Row],[Ene 2024]:[Jun 2024]],3),SMALL(acumulado_porcentaje[[#This Row],[Ene 2024]:[Jun 2024]],4)),"#N/A")</f>
        <v>#N/A</v>
      </c>
      <c r="J75" t="str">
        <f>acumulado_porcentaje[[#This Row],[Nombre ]]&amp;" ("&amp;acumulado_porcentaje[[#This Row],[contar]]&amp;")"</f>
        <v>Sergio Nistal Prieto (1)</v>
      </c>
    </row>
    <row r="76" spans="1:10" x14ac:dyDescent="0.2">
      <c r="A76" s="140" t="s">
        <v>339</v>
      </c>
      <c r="B76" s="140"/>
      <c r="C76" s="140">
        <v>1.155</v>
      </c>
      <c r="D76" s="140"/>
      <c r="E76" s="47"/>
      <c r="F76" s="47"/>
      <c r="H76" s="139">
        <f>$H$82- COUNTIF(acumulado_porcentaje[[#This Row],[Ene 2024]:[Jun 2024]],"")</f>
        <v>1</v>
      </c>
      <c r="I76" s="69" t="str">
        <f>IF(acumulado_porcentaje[[#This Row],[contar]]&gt;=$H$83,SUM(SMALL(acumulado_porcentaje[[#This Row],[Ene 2024]:[Jun 2024]],1),SMALL(acumulado_porcentaje[[#This Row],[Ene 2024]:[Jun 2024]],2),SMALL(acumulado_porcentaje[[#This Row],[Ene 2024]:[Jun 2024]],3),SMALL(acumulado_porcentaje[[#This Row],[Ene 2024]:[Jun 2024]],4)),"#N/A")</f>
        <v>#N/A</v>
      </c>
      <c r="J76" t="str">
        <f>acumulado_porcentaje[[#This Row],[Nombre ]]&amp;" ("&amp;acumulado_porcentaje[[#This Row],[contar]]&amp;")"</f>
        <v>Sergio Ortega Celares (1)</v>
      </c>
    </row>
    <row r="77" spans="1:10" x14ac:dyDescent="0.2">
      <c r="A77" s="140" t="s">
        <v>803</v>
      </c>
      <c r="B77" s="140"/>
      <c r="C77" s="140"/>
      <c r="D77" s="140"/>
      <c r="E77" s="47"/>
      <c r="F77" s="47"/>
      <c r="G77">
        <v>0.22132564841498567</v>
      </c>
      <c r="H77" s="139">
        <f>$H$82- COUNTIF(acumulado_porcentaje[[#This Row],[Ene 2024]:[Jun 2024]],"")</f>
        <v>1</v>
      </c>
      <c r="I77" s="69" t="str">
        <f>IF(acumulado_porcentaje[[#This Row],[contar]]&gt;=$H$83,SUM(SMALL(acumulado_porcentaje[[#This Row],[Ene 2024]:[Jun 2024]],1),SMALL(acumulado_porcentaje[[#This Row],[Ene 2024]:[Jun 2024]],2),SMALL(acumulado_porcentaje[[#This Row],[Ene 2024]:[Jun 2024]],3),SMALL(acumulado_porcentaje[[#This Row],[Ene 2024]:[Jun 2024]],4)),"#N/A")</f>
        <v>#N/A</v>
      </c>
      <c r="J77" t="str">
        <f>acumulado_porcentaje[[#This Row],[Nombre ]]&amp;" ("&amp;acumulado_porcentaje[[#This Row],[contar]]&amp;")"</f>
        <v>Víctor Baeschlin Sánchez (1)</v>
      </c>
    </row>
    <row r="78" spans="1:10" x14ac:dyDescent="0.2">
      <c r="A78" s="140" t="s">
        <v>239</v>
      </c>
      <c r="B78" s="140">
        <v>0.21592442645074225</v>
      </c>
      <c r="C78" s="140"/>
      <c r="D78" s="140"/>
      <c r="E78" s="47"/>
      <c r="F78" s="47"/>
      <c r="H78" s="139">
        <f>$H$82- COUNTIF(acumulado_porcentaje[[#This Row],[Ene 2024]:[Jun 2024]],"")</f>
        <v>1</v>
      </c>
      <c r="I78" s="69" t="str">
        <f>IF(acumulado_porcentaje[[#This Row],[contar]]&gt;=$H$83,SUM(SMALL(acumulado_porcentaje[[#This Row],[Ene 2024]:[Jun 2024]],1),SMALL(acumulado_porcentaje[[#This Row],[Ene 2024]:[Jun 2024]],2),SMALL(acumulado_porcentaje[[#This Row],[Ene 2024]:[Jun 2024]],3),SMALL(acumulado_porcentaje[[#This Row],[Ene 2024]:[Jun 2024]],4)),"#N/A")</f>
        <v>#N/A</v>
      </c>
      <c r="J78" t="str">
        <f>acumulado_porcentaje[[#This Row],[Nombre ]]&amp;" ("&amp;acumulado_porcentaje[[#This Row],[contar]]&amp;")"</f>
        <v>Vitor Costa Costa (1)</v>
      </c>
    </row>
    <row r="82" spans="2:8" x14ac:dyDescent="0.2">
      <c r="G82" t="s">
        <v>832</v>
      </c>
      <c r="H82" s="65">
        <v>6</v>
      </c>
    </row>
    <row r="83" spans="2:8" x14ac:dyDescent="0.2">
      <c r="G83" t="s">
        <v>845</v>
      </c>
      <c r="H83" s="4">
        <f>H82-2</f>
        <v>4</v>
      </c>
    </row>
    <row r="90" spans="2:8" x14ac:dyDescent="0.2">
      <c r="B90" s="45"/>
      <c r="C90" s="45"/>
    </row>
    <row r="91" spans="2:8" x14ac:dyDescent="0.2">
      <c r="B91" s="45"/>
      <c r="C91" s="73" t="s">
        <v>146</v>
      </c>
    </row>
    <row r="92" spans="2:8" x14ac:dyDescent="0.2">
      <c r="B92" s="45" t="s">
        <v>663</v>
      </c>
      <c r="C92" s="72">
        <f>MATCH(C91,1:1,0)</f>
        <v>5</v>
      </c>
    </row>
    <row r="93" spans="2:8" x14ac:dyDescent="0.2">
      <c r="B93" s="45" t="s">
        <v>664</v>
      </c>
      <c r="C93" s="72">
        <f>C92-1</f>
        <v>4</v>
      </c>
    </row>
    <row r="94" spans="2:8" x14ac:dyDescent="0.2">
      <c r="B94" s="45"/>
      <c r="C94" s="72" t="str">
        <f>ADDRESS(1,C92)</f>
        <v>$E$1</v>
      </c>
    </row>
    <row r="95" spans="2:8" x14ac:dyDescent="0.2">
      <c r="B95" s="45"/>
      <c r="C95" s="72" t="str">
        <f>MID(C94,2,1)</f>
        <v>E</v>
      </c>
    </row>
    <row r="96" spans="2:8" x14ac:dyDescent="0.2">
      <c r="B96" s="45"/>
      <c r="C96" s="45"/>
    </row>
  </sheetData>
  <phoneticPr fontId="9" type="noConversion"/>
  <conditionalFormatting sqref="A2:A78">
    <cfRule type="duplicateValues" dxfId="0" priority="64"/>
  </conditionalFormatting>
  <dataValidations disablePrompts="1" count="1">
    <dataValidation type="list" allowBlank="1" showInputMessage="1" showErrorMessage="1" sqref="C91" xr:uid="{E842F2BA-4DC3-4A5E-A318-57237D096379}">
      <formula1>$B$1:$F$1</formula1>
    </dataValidation>
  </dataValidations>
  <pageMargins left="0.7" right="0.7" top="0.75" bottom="0.75" header="0.3" footer="0.3"/>
  <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24F934-7C0D-4A23-BE3B-9B36E0B17EFA}">
  <sheetPr codeName="Hoja10"/>
  <dimension ref="A1:I78"/>
  <sheetViews>
    <sheetView showGridLines="0" workbookViewId="0">
      <selection activeCell="H2" sqref="H2"/>
    </sheetView>
  </sheetViews>
  <sheetFormatPr baseColWidth="10" defaultRowHeight="12" x14ac:dyDescent="0.2"/>
  <cols>
    <col min="1" max="1" width="28.5703125" bestFit="1" customWidth="1"/>
    <col min="2" max="2" width="12.7109375" style="4" bestFit="1" customWidth="1"/>
    <col min="3" max="3" width="12.5703125" style="4" bestFit="1" customWidth="1"/>
    <col min="4" max="4" width="12.85546875" style="4" bestFit="1" customWidth="1"/>
    <col min="5" max="5" width="12.5703125" style="4" bestFit="1" customWidth="1"/>
    <col min="6" max="6" width="10.85546875" style="4" bestFit="1" customWidth="1"/>
    <col min="7" max="8" width="10.5703125" style="4" bestFit="1" customWidth="1"/>
    <col min="9" max="9" width="8.28515625" style="4" bestFit="1" customWidth="1"/>
  </cols>
  <sheetData>
    <row r="1" spans="1:9" x14ac:dyDescent="0.2">
      <c r="A1" t="s">
        <v>0</v>
      </c>
      <c r="B1" s="4" t="s">
        <v>99</v>
      </c>
      <c r="C1" s="4" t="s">
        <v>266</v>
      </c>
      <c r="D1" s="4" t="s">
        <v>417</v>
      </c>
      <c r="E1" s="4" t="s">
        <v>146</v>
      </c>
      <c r="F1" t="s">
        <v>563</v>
      </c>
      <c r="G1" t="s">
        <v>697</v>
      </c>
      <c r="H1" s="70" t="s">
        <v>558</v>
      </c>
      <c r="I1" s="70" t="s">
        <v>553</v>
      </c>
    </row>
    <row r="2" spans="1:9" x14ac:dyDescent="0.2">
      <c r="A2" s="138" t="s">
        <v>336</v>
      </c>
      <c r="B2" s="137">
        <v>2.3999999999999915</v>
      </c>
      <c r="C2" s="137">
        <v>29.200000000000003</v>
      </c>
      <c r="D2" s="137">
        <v>3.4199999999999982</v>
      </c>
      <c r="E2" s="4">
        <v>6.83</v>
      </c>
      <c r="F2">
        <v>0.38999999999999702</v>
      </c>
      <c r="G2">
        <v>0.64999999999999858</v>
      </c>
      <c r="H2" s="137">
        <f>acum_porc!$H$82- COUNTIF(acumulado_absoluto[[#This Row],[Ene 2024]:[Jun 2024]],"")</f>
        <v>6</v>
      </c>
      <c r="I2" s="137">
        <f>IF(acumulado_absoluto[[#This Row],[contar]]&gt;=acum_porc!$H$83,SUM(SMALL(acumulado_absoluto[[#This Row],[Ene 2024]:[Jun 2024]],1),SMALL(acumulado_absoluto[[#This Row],[Ene 2024]:[Jun 2024]],2),SMALL(acumulado_absoluto[[#This Row],[Ene 2024]:[Jun 2024]],3),SMALL(acumulado_absoluto[[#This Row],[Ene 2024]:[Jun 2024]],4)),"#N/A")</f>
        <v>6.8599999999999852</v>
      </c>
    </row>
    <row r="3" spans="1:9" x14ac:dyDescent="0.2">
      <c r="A3" s="138" t="s">
        <v>222</v>
      </c>
      <c r="B3" s="137">
        <v>0.64999999999999147</v>
      </c>
      <c r="C3" s="137">
        <v>33.879999999999995</v>
      </c>
      <c r="D3" s="137">
        <v>10.219999999999999</v>
      </c>
      <c r="E3" s="4">
        <v>4.83</v>
      </c>
      <c r="F3">
        <v>4.25</v>
      </c>
      <c r="G3">
        <v>4.2299999999999969</v>
      </c>
      <c r="H3" s="137">
        <f>acum_porc!$H$82- COUNTIF(acumulado_absoluto[[#This Row],[Ene 2024]:[Jun 2024]],"")</f>
        <v>6</v>
      </c>
      <c r="I3" s="137">
        <f>IF(acumulado_absoluto[[#This Row],[contar]]&gt;=acum_porc!$H$83,SUM(SMALL(acumulado_absoluto[[#This Row],[Ene 2024]:[Jun 2024]],1),SMALL(acumulado_absoluto[[#This Row],[Ene 2024]:[Jun 2024]],2),SMALL(acumulado_absoluto[[#This Row],[Ene 2024]:[Jun 2024]],3),SMALL(acumulado_absoluto[[#This Row],[Ene 2024]:[Jun 2024]],4)),"#N/A")</f>
        <v>13.959999999999988</v>
      </c>
    </row>
    <row r="4" spans="1:9" x14ac:dyDescent="0.2">
      <c r="A4" s="138" t="s">
        <v>404</v>
      </c>
      <c r="B4" s="137">
        <v>0.18000000000000682</v>
      </c>
      <c r="C4" s="137">
        <v>13.54</v>
      </c>
      <c r="D4" s="137"/>
      <c r="F4">
        <v>0.10000000000000142</v>
      </c>
      <c r="G4">
        <v>0.19000000000000483</v>
      </c>
      <c r="H4" s="137">
        <f>acum_porc!$H$82- COUNTIF(acumulado_absoluto[[#This Row],[Ene 2024]:[Jun 2024]],"")</f>
        <v>4</v>
      </c>
      <c r="I4" s="137">
        <f>IF(acumulado_absoluto[[#This Row],[contar]]&gt;=acum_porc!$H$83,SUM(SMALL(acumulado_absoluto[[#This Row],[Ene 2024]:[Jun 2024]],1),SMALL(acumulado_absoluto[[#This Row],[Ene 2024]:[Jun 2024]],2),SMALL(acumulado_absoluto[[#This Row],[Ene 2024]:[Jun 2024]],3),SMALL(acumulado_absoluto[[#This Row],[Ene 2024]:[Jun 2024]],4)),"#N/A")</f>
        <v>14.010000000000012</v>
      </c>
    </row>
    <row r="5" spans="1:9" x14ac:dyDescent="0.2">
      <c r="A5" s="138" t="s">
        <v>543</v>
      </c>
      <c r="B5" s="137"/>
      <c r="C5" s="137">
        <v>27.200000000000003</v>
      </c>
      <c r="D5" s="137">
        <v>6.9599999999999973</v>
      </c>
      <c r="E5" s="4">
        <v>5.4</v>
      </c>
      <c r="F5">
        <v>1.7799999999999976</v>
      </c>
      <c r="G5">
        <v>2.759999999999998</v>
      </c>
      <c r="H5" s="137">
        <f>acum_porc!$H$82- COUNTIF(acumulado_absoluto[[#This Row],[Ene 2024]:[Jun 2024]],"")</f>
        <v>5</v>
      </c>
      <c r="I5" s="137">
        <f>IF(acumulado_absoluto[[#This Row],[contar]]&gt;=acum_porc!$H$83,SUM(SMALL(acumulado_absoluto[[#This Row],[Ene 2024]:[Jun 2024]],1),SMALL(acumulado_absoluto[[#This Row],[Ene 2024]:[Jun 2024]],2),SMALL(acumulado_absoluto[[#This Row],[Ene 2024]:[Jun 2024]],3),SMALL(acumulado_absoluto[[#This Row],[Ene 2024]:[Jun 2024]],4)),"#N/A")</f>
        <v>16.899999999999991</v>
      </c>
    </row>
    <row r="6" spans="1:9" x14ac:dyDescent="0.2">
      <c r="A6" s="138" t="s">
        <v>221</v>
      </c>
      <c r="B6" s="137">
        <v>4.1800000000000068</v>
      </c>
      <c r="C6" s="137">
        <v>19.299999999999997</v>
      </c>
      <c r="D6" s="137">
        <v>3.2099999999999973</v>
      </c>
      <c r="E6" s="4">
        <v>5.83</v>
      </c>
      <c r="F6">
        <v>5.4699999999999989</v>
      </c>
      <c r="G6">
        <v>12.459999999999994</v>
      </c>
      <c r="H6" s="137">
        <f>acum_porc!$H$82- COUNTIF(acumulado_absoluto[[#This Row],[Ene 2024]:[Jun 2024]],"")</f>
        <v>6</v>
      </c>
      <c r="I6" s="137">
        <f>IF(acumulado_absoluto[[#This Row],[contar]]&gt;=acum_porc!$H$83,SUM(SMALL(acumulado_absoluto[[#This Row],[Ene 2024]:[Jun 2024]],1),SMALL(acumulado_absoluto[[#This Row],[Ene 2024]:[Jun 2024]],2),SMALL(acumulado_absoluto[[#This Row],[Ene 2024]:[Jun 2024]],3),SMALL(acumulado_absoluto[[#This Row],[Ene 2024]:[Jun 2024]],4)),"#N/A")</f>
        <v>18.690000000000005</v>
      </c>
    </row>
    <row r="7" spans="1:9" x14ac:dyDescent="0.2">
      <c r="A7" s="138" t="s">
        <v>226</v>
      </c>
      <c r="B7" s="137">
        <v>1.25</v>
      </c>
      <c r="C7" s="137">
        <v>22.5</v>
      </c>
      <c r="D7" s="137">
        <v>4.5199999999999996</v>
      </c>
      <c r="E7" s="4">
        <v>8.8400000000000016</v>
      </c>
      <c r="F7">
        <v>6.009999999999998</v>
      </c>
      <c r="G7"/>
      <c r="H7" s="137">
        <f>acum_porc!$H$82- COUNTIF(acumulado_absoluto[[#This Row],[Ene 2024]:[Jun 2024]],"")</f>
        <v>5</v>
      </c>
      <c r="I7" s="137">
        <f>IF(acumulado_absoluto[[#This Row],[contar]]&gt;=acum_porc!$H$83,SUM(SMALL(acumulado_absoluto[[#This Row],[Ene 2024]:[Jun 2024]],1),SMALL(acumulado_absoluto[[#This Row],[Ene 2024]:[Jun 2024]],2),SMALL(acumulado_absoluto[[#This Row],[Ene 2024]:[Jun 2024]],3),SMALL(acumulado_absoluto[[#This Row],[Ene 2024]:[Jun 2024]],4)),"#N/A")</f>
        <v>20.619999999999997</v>
      </c>
    </row>
    <row r="8" spans="1:9" x14ac:dyDescent="0.2">
      <c r="A8" s="138" t="s">
        <v>406</v>
      </c>
      <c r="B8" s="137">
        <v>0.90000000000000568</v>
      </c>
      <c r="C8" s="137">
        <v>25</v>
      </c>
      <c r="D8" s="137">
        <v>11.719999999999999</v>
      </c>
      <c r="E8" s="4">
        <v>14.83</v>
      </c>
      <c r="F8">
        <v>5.3999999999999986</v>
      </c>
      <c r="G8">
        <v>2.9500000000000028</v>
      </c>
      <c r="H8" s="137">
        <f>acum_porc!$H$82- COUNTIF(acumulado_absoluto[[#This Row],[Ene 2024]:[Jun 2024]],"")</f>
        <v>6</v>
      </c>
      <c r="I8" s="137">
        <f>IF(acumulado_absoluto[[#This Row],[contar]]&gt;=acum_porc!$H$83,SUM(SMALL(acumulado_absoluto[[#This Row],[Ene 2024]:[Jun 2024]],1),SMALL(acumulado_absoluto[[#This Row],[Ene 2024]:[Jun 2024]],2),SMALL(acumulado_absoluto[[#This Row],[Ene 2024]:[Jun 2024]],3),SMALL(acumulado_absoluto[[#This Row],[Ene 2024]:[Jun 2024]],4)),"#N/A")</f>
        <v>20.970000000000006</v>
      </c>
    </row>
    <row r="9" spans="1:9" x14ac:dyDescent="0.2">
      <c r="A9" s="138" t="s">
        <v>362</v>
      </c>
      <c r="B9" s="137">
        <v>0.20000000000000284</v>
      </c>
      <c r="C9" s="137">
        <v>29.849999999999994</v>
      </c>
      <c r="D9" s="137">
        <v>15.32</v>
      </c>
      <c r="E9" s="4">
        <v>10.53</v>
      </c>
      <c r="F9">
        <v>2.0999999999999979</v>
      </c>
      <c r="G9">
        <v>9.9399999999999977</v>
      </c>
      <c r="H9" s="137">
        <f>acum_porc!$H$82- COUNTIF(acumulado_absoluto[[#This Row],[Ene 2024]:[Jun 2024]],"")</f>
        <v>6</v>
      </c>
      <c r="I9" s="137">
        <f>IF(acumulado_absoluto[[#This Row],[contar]]&gt;=acum_porc!$H$83,SUM(SMALL(acumulado_absoluto[[#This Row],[Ene 2024]:[Jun 2024]],1),SMALL(acumulado_absoluto[[#This Row],[Ene 2024]:[Jun 2024]],2),SMALL(acumulado_absoluto[[#This Row],[Ene 2024]:[Jun 2024]],3),SMALL(acumulado_absoluto[[#This Row],[Ene 2024]:[Jun 2024]],4)),"#N/A")</f>
        <v>22.769999999999996</v>
      </c>
    </row>
    <row r="10" spans="1:9" x14ac:dyDescent="0.2">
      <c r="A10" s="138" t="s">
        <v>474</v>
      </c>
      <c r="B10" s="137"/>
      <c r="C10" s="137"/>
      <c r="D10" s="137">
        <v>0.11999999999999744</v>
      </c>
      <c r="E10" s="4">
        <v>8.83</v>
      </c>
      <c r="F10">
        <v>4.7000000000000028</v>
      </c>
      <c r="G10">
        <v>9.7999999999999972</v>
      </c>
      <c r="H10" s="137">
        <f>acum_porc!$H$82- COUNTIF(acumulado_absoluto[[#This Row],[Ene 2024]:[Jun 2024]],"")</f>
        <v>4</v>
      </c>
      <c r="I10" s="137">
        <f>IF(acumulado_absoluto[[#This Row],[contar]]&gt;=acum_porc!$H$83,SUM(SMALL(acumulado_absoluto[[#This Row],[Ene 2024]:[Jun 2024]],1),SMALL(acumulado_absoluto[[#This Row],[Ene 2024]:[Jun 2024]],2),SMALL(acumulado_absoluto[[#This Row],[Ene 2024]:[Jun 2024]],3),SMALL(acumulado_absoluto[[#This Row],[Ene 2024]:[Jun 2024]],4)),"#N/A")</f>
        <v>23.449999999999996</v>
      </c>
    </row>
    <row r="11" spans="1:9" x14ac:dyDescent="0.2">
      <c r="A11" s="138" t="s">
        <v>408</v>
      </c>
      <c r="B11" s="137">
        <v>2.8699999999999903</v>
      </c>
      <c r="C11" s="137">
        <v>35.730000000000004</v>
      </c>
      <c r="D11" s="137">
        <v>13.030000000000001</v>
      </c>
      <c r="E11" s="4">
        <v>10.56</v>
      </c>
      <c r="F11">
        <v>0.79999999999999716</v>
      </c>
      <c r="G11">
        <v>10.14</v>
      </c>
      <c r="H11" s="137">
        <f>acum_porc!$H$82- COUNTIF(acumulado_absoluto[[#This Row],[Ene 2024]:[Jun 2024]],"")</f>
        <v>6</v>
      </c>
      <c r="I11" s="137">
        <f>IF(acumulado_absoluto[[#This Row],[contar]]&gt;=acum_porc!$H$83,SUM(SMALL(acumulado_absoluto[[#This Row],[Ene 2024]:[Jun 2024]],1),SMALL(acumulado_absoluto[[#This Row],[Ene 2024]:[Jun 2024]],2),SMALL(acumulado_absoluto[[#This Row],[Ene 2024]:[Jun 2024]],3),SMALL(acumulado_absoluto[[#This Row],[Ene 2024]:[Jun 2024]],4)),"#N/A")</f>
        <v>24.36999999999999</v>
      </c>
    </row>
    <row r="12" spans="1:9" x14ac:dyDescent="0.2">
      <c r="A12" s="138" t="s">
        <v>381</v>
      </c>
      <c r="B12" s="137">
        <v>2.4000000000000057</v>
      </c>
      <c r="C12" s="137">
        <v>20.020000000000003</v>
      </c>
      <c r="D12" s="137"/>
      <c r="F12">
        <v>2.8299999999999983</v>
      </c>
      <c r="G12">
        <v>0.90000000000000568</v>
      </c>
      <c r="H12" s="137">
        <f>acum_porc!$H$82- COUNTIF(acumulado_absoluto[[#This Row],[Ene 2024]:[Jun 2024]],"")</f>
        <v>4</v>
      </c>
      <c r="I12" s="137">
        <f>IF(acumulado_absoluto[[#This Row],[contar]]&gt;=acum_porc!$H$83,SUM(SMALL(acumulado_absoluto[[#This Row],[Ene 2024]:[Jun 2024]],1),SMALL(acumulado_absoluto[[#This Row],[Ene 2024]:[Jun 2024]],2),SMALL(acumulado_absoluto[[#This Row],[Ene 2024]:[Jun 2024]],3),SMALL(acumulado_absoluto[[#This Row],[Ene 2024]:[Jun 2024]],4)),"#N/A")</f>
        <v>26.150000000000013</v>
      </c>
    </row>
    <row r="13" spans="1:9" x14ac:dyDescent="0.2">
      <c r="A13" s="138" t="s">
        <v>414</v>
      </c>
      <c r="B13" s="137"/>
      <c r="C13" s="137">
        <v>24.349999999999994</v>
      </c>
      <c r="D13" s="137">
        <v>15.049999999999997</v>
      </c>
      <c r="E13" s="4">
        <v>9.8400000000000016</v>
      </c>
      <c r="F13">
        <v>2.2999999999999972</v>
      </c>
      <c r="G13">
        <v>1.1500000000000057</v>
      </c>
      <c r="H13" s="137">
        <f>acum_porc!$H$82- COUNTIF(acumulado_absoluto[[#This Row],[Ene 2024]:[Jun 2024]],"")</f>
        <v>5</v>
      </c>
      <c r="I13" s="137">
        <f>IF(acumulado_absoluto[[#This Row],[contar]]&gt;=acum_porc!$H$83,SUM(SMALL(acumulado_absoluto[[#This Row],[Ene 2024]:[Jun 2024]],1),SMALL(acumulado_absoluto[[#This Row],[Ene 2024]:[Jun 2024]],2),SMALL(acumulado_absoluto[[#This Row],[Ene 2024]:[Jun 2024]],3),SMALL(acumulado_absoluto[[#This Row],[Ene 2024]:[Jun 2024]],4)),"#N/A")</f>
        <v>28.340000000000003</v>
      </c>
    </row>
    <row r="14" spans="1:9" x14ac:dyDescent="0.2">
      <c r="A14" s="138" t="s">
        <v>363</v>
      </c>
      <c r="B14" s="137">
        <v>3.2999999999999972</v>
      </c>
      <c r="C14" s="137">
        <v>25.400000000000006</v>
      </c>
      <c r="D14" s="137">
        <v>9.52</v>
      </c>
      <c r="E14" s="4">
        <v>9.1300000000000008</v>
      </c>
      <c r="F14">
        <v>8.7999999999999972</v>
      </c>
      <c r="G14">
        <v>9.9499999999999957</v>
      </c>
      <c r="H14" s="137">
        <f>acum_porc!$H$82- COUNTIF(acumulado_absoluto[[#This Row],[Ene 2024]:[Jun 2024]],"")</f>
        <v>6</v>
      </c>
      <c r="I14" s="137">
        <f>IF(acumulado_absoluto[[#This Row],[contar]]&gt;=acum_porc!$H$83,SUM(SMALL(acumulado_absoluto[[#This Row],[Ene 2024]:[Jun 2024]],1),SMALL(acumulado_absoluto[[#This Row],[Ene 2024]:[Jun 2024]],2),SMALL(acumulado_absoluto[[#This Row],[Ene 2024]:[Jun 2024]],3),SMALL(acumulado_absoluto[[#This Row],[Ene 2024]:[Jun 2024]],4)),"#N/A")</f>
        <v>30.749999999999996</v>
      </c>
    </row>
    <row r="15" spans="1:9" x14ac:dyDescent="0.2">
      <c r="A15" s="138" t="s">
        <v>409</v>
      </c>
      <c r="B15" s="137">
        <v>7.5900000000000034</v>
      </c>
      <c r="C15" s="137">
        <v>29.620000000000005</v>
      </c>
      <c r="D15" s="137">
        <v>35.409999999999997</v>
      </c>
      <c r="E15" s="4">
        <v>23.879999999999995</v>
      </c>
      <c r="F15">
        <v>0.7099999999999973</v>
      </c>
      <c r="G15">
        <v>0.45000000000000284</v>
      </c>
      <c r="H15" s="137">
        <f>acum_porc!$H$82- COUNTIF(acumulado_absoluto[[#This Row],[Ene 2024]:[Jun 2024]],"")</f>
        <v>6</v>
      </c>
      <c r="I15" s="137">
        <f>IF(acumulado_absoluto[[#This Row],[contar]]&gt;=acum_porc!$H$83,SUM(SMALL(acumulado_absoluto[[#This Row],[Ene 2024]:[Jun 2024]],1),SMALL(acumulado_absoluto[[#This Row],[Ene 2024]:[Jun 2024]],2),SMALL(acumulado_absoluto[[#This Row],[Ene 2024]:[Jun 2024]],3),SMALL(acumulado_absoluto[[#This Row],[Ene 2024]:[Jun 2024]],4)),"#N/A")</f>
        <v>32.629999999999995</v>
      </c>
    </row>
    <row r="16" spans="1:9" x14ac:dyDescent="0.2">
      <c r="A16" s="138" t="s">
        <v>335</v>
      </c>
      <c r="B16" s="137">
        <v>5.2000000000000028</v>
      </c>
      <c r="C16" s="137">
        <v>28.099999999999994</v>
      </c>
      <c r="D16" s="137"/>
      <c r="F16">
        <v>3.8100000000000023</v>
      </c>
      <c r="G16">
        <v>1.1600000000000037</v>
      </c>
      <c r="H16" s="137">
        <f>acum_porc!$H$82- COUNTIF(acumulado_absoluto[[#This Row],[Ene 2024]:[Jun 2024]],"")</f>
        <v>4</v>
      </c>
      <c r="I16" s="137">
        <f>IF(acumulado_absoluto[[#This Row],[contar]]&gt;=acum_porc!$H$83,SUM(SMALL(acumulado_absoluto[[#This Row],[Ene 2024]:[Jun 2024]],1),SMALL(acumulado_absoluto[[#This Row],[Ene 2024]:[Jun 2024]],2),SMALL(acumulado_absoluto[[#This Row],[Ene 2024]:[Jun 2024]],3),SMALL(acumulado_absoluto[[#This Row],[Ene 2024]:[Jun 2024]],4)),"#N/A")</f>
        <v>38.270000000000003</v>
      </c>
    </row>
    <row r="17" spans="1:9" x14ac:dyDescent="0.2">
      <c r="A17" s="138" t="s">
        <v>399</v>
      </c>
      <c r="B17" s="137">
        <v>0.46000000000000796</v>
      </c>
      <c r="C17" s="137">
        <v>25.86</v>
      </c>
      <c r="D17" s="137"/>
      <c r="F17">
        <v>4.8299999999999983</v>
      </c>
      <c r="G17">
        <v>8.8499999999999943</v>
      </c>
      <c r="H17" s="137">
        <f>acum_porc!$H$82- COUNTIF(acumulado_absoluto[[#This Row],[Ene 2024]:[Jun 2024]],"")</f>
        <v>4</v>
      </c>
      <c r="I17" s="137">
        <f>IF(acumulado_absoluto[[#This Row],[contar]]&gt;=acum_porc!$H$83,SUM(SMALL(acumulado_absoluto[[#This Row],[Ene 2024]:[Jun 2024]],1),SMALL(acumulado_absoluto[[#This Row],[Ene 2024]:[Jun 2024]],2),SMALL(acumulado_absoluto[[#This Row],[Ene 2024]:[Jun 2024]],3),SMALL(acumulado_absoluto[[#This Row],[Ene 2024]:[Jun 2024]],4)),"#N/A")</f>
        <v>40</v>
      </c>
    </row>
    <row r="18" spans="1:9" x14ac:dyDescent="0.2">
      <c r="A18" s="138" t="s">
        <v>219</v>
      </c>
      <c r="B18" s="137">
        <v>13.980000000000004</v>
      </c>
      <c r="C18" s="137">
        <v>29.689999999999998</v>
      </c>
      <c r="D18" s="137">
        <v>16.379999999999995</v>
      </c>
      <c r="F18">
        <v>2.9500000000000028</v>
      </c>
      <c r="G18">
        <v>6.8300000000000054</v>
      </c>
      <c r="H18" s="137">
        <f>acum_porc!$H$82- COUNTIF(acumulado_absoluto[[#This Row],[Ene 2024]:[Jun 2024]],"")</f>
        <v>5</v>
      </c>
      <c r="I18" s="137">
        <f>IF(acumulado_absoluto[[#This Row],[contar]]&gt;=acum_porc!$H$83,SUM(SMALL(acumulado_absoluto[[#This Row],[Ene 2024]:[Jun 2024]],1),SMALL(acumulado_absoluto[[#This Row],[Ene 2024]:[Jun 2024]],2),SMALL(acumulado_absoluto[[#This Row],[Ene 2024]:[Jun 2024]],3),SMALL(acumulado_absoluto[[#This Row],[Ene 2024]:[Jun 2024]],4)),"#N/A")</f>
        <v>40.140000000000008</v>
      </c>
    </row>
    <row r="19" spans="1:9" x14ac:dyDescent="0.2">
      <c r="A19" s="138" t="s">
        <v>225</v>
      </c>
      <c r="B19" s="137">
        <v>11.219999999999999</v>
      </c>
      <c r="C19" s="137">
        <v>32.25</v>
      </c>
      <c r="D19" s="137">
        <v>25.949999999999996</v>
      </c>
      <c r="E19" s="4">
        <v>9.65</v>
      </c>
      <c r="F19">
        <v>19.29</v>
      </c>
      <c r="G19">
        <v>1.25</v>
      </c>
      <c r="H19" s="137">
        <f>acum_porc!$H$82- COUNTIF(acumulado_absoluto[[#This Row],[Ene 2024]:[Jun 2024]],"")</f>
        <v>6</v>
      </c>
      <c r="I19" s="137">
        <f>IF(acumulado_absoluto[[#This Row],[contar]]&gt;=acum_porc!$H$83,SUM(SMALL(acumulado_absoluto[[#This Row],[Ene 2024]:[Jun 2024]],1),SMALL(acumulado_absoluto[[#This Row],[Ene 2024]:[Jun 2024]],2),SMALL(acumulado_absoluto[[#This Row],[Ene 2024]:[Jun 2024]],3),SMALL(acumulado_absoluto[[#This Row],[Ene 2024]:[Jun 2024]],4)),"#N/A")</f>
        <v>41.41</v>
      </c>
    </row>
    <row r="20" spans="1:9" x14ac:dyDescent="0.2">
      <c r="A20" s="138" t="s">
        <v>364</v>
      </c>
      <c r="B20" s="137"/>
      <c r="C20" s="137">
        <v>31.010000000000005</v>
      </c>
      <c r="D20" s="137">
        <v>27.39</v>
      </c>
      <c r="E20" s="4">
        <v>11.040000000000001</v>
      </c>
      <c r="F20">
        <v>1.4800000000000004</v>
      </c>
      <c r="G20">
        <v>4.0399999999999991</v>
      </c>
      <c r="H20" s="137">
        <f>acum_porc!$H$82- COUNTIF(acumulado_absoluto[[#This Row],[Ene 2024]:[Jun 2024]],"")</f>
        <v>5</v>
      </c>
      <c r="I20" s="137">
        <f>IF(acumulado_absoluto[[#This Row],[contar]]&gt;=acum_porc!$H$83,SUM(SMALL(acumulado_absoluto[[#This Row],[Ene 2024]:[Jun 2024]],1),SMALL(acumulado_absoluto[[#This Row],[Ene 2024]:[Jun 2024]],2),SMALL(acumulado_absoluto[[#This Row],[Ene 2024]:[Jun 2024]],3),SMALL(acumulado_absoluto[[#This Row],[Ene 2024]:[Jun 2024]],4)),"#N/A")</f>
        <v>43.95</v>
      </c>
    </row>
    <row r="21" spans="1:9" x14ac:dyDescent="0.2">
      <c r="A21" s="138" t="s">
        <v>218</v>
      </c>
      <c r="B21" s="137">
        <v>11.300000000000011</v>
      </c>
      <c r="C21" s="137">
        <v>24.459999999999994</v>
      </c>
      <c r="D21" s="137">
        <v>6.2199999999999989</v>
      </c>
      <c r="E21" s="4">
        <v>12.229999999999999</v>
      </c>
      <c r="F21">
        <v>14.899999999999999</v>
      </c>
      <c r="G21">
        <v>16.950000000000003</v>
      </c>
      <c r="H21" s="137">
        <f>acum_porc!$H$82- COUNTIF(acumulado_absoluto[[#This Row],[Ene 2024]:[Jun 2024]],"")</f>
        <v>6</v>
      </c>
      <c r="I21" s="137">
        <f>IF(acumulado_absoluto[[#This Row],[contar]]&gt;=acum_porc!$H$83,SUM(SMALL(acumulado_absoluto[[#This Row],[Ene 2024]:[Jun 2024]],1),SMALL(acumulado_absoluto[[#This Row],[Ene 2024]:[Jun 2024]],2),SMALL(acumulado_absoluto[[#This Row],[Ene 2024]:[Jun 2024]],3),SMALL(acumulado_absoluto[[#This Row],[Ene 2024]:[Jun 2024]],4)),"#N/A")</f>
        <v>44.650000000000006</v>
      </c>
    </row>
    <row r="22" spans="1:9" x14ac:dyDescent="0.2">
      <c r="A22" s="138" t="s">
        <v>328</v>
      </c>
      <c r="B22" s="137"/>
      <c r="C22" s="137">
        <v>25.200000000000003</v>
      </c>
      <c r="D22" s="137"/>
      <c r="E22" s="4">
        <v>13.930000000000001</v>
      </c>
      <c r="F22">
        <v>0.39999999999999858</v>
      </c>
      <c r="G22">
        <v>6.9500000000000028</v>
      </c>
      <c r="H22" s="137">
        <f>acum_porc!$H$82- COUNTIF(acumulado_absoluto[[#This Row],[Ene 2024]:[Jun 2024]],"")</f>
        <v>4</v>
      </c>
      <c r="I22" s="137">
        <f>IF(acumulado_absoluto[[#This Row],[contar]]&gt;=acum_porc!$H$83,SUM(SMALL(acumulado_absoluto[[#This Row],[Ene 2024]:[Jun 2024]],1),SMALL(acumulado_absoluto[[#This Row],[Ene 2024]:[Jun 2024]],2),SMALL(acumulado_absoluto[[#This Row],[Ene 2024]:[Jun 2024]],3),SMALL(acumulado_absoluto[[#This Row],[Ene 2024]:[Jun 2024]],4)),"#N/A")</f>
        <v>46.480000000000004</v>
      </c>
    </row>
    <row r="23" spans="1:9" x14ac:dyDescent="0.2">
      <c r="A23" s="138" t="s">
        <v>215</v>
      </c>
      <c r="B23" s="137">
        <v>3.6000000000000085</v>
      </c>
      <c r="C23" s="137">
        <v>28.950000000000003</v>
      </c>
      <c r="D23" s="137"/>
      <c r="E23" s="4">
        <v>30.83</v>
      </c>
      <c r="F23">
        <v>10.700000000000003</v>
      </c>
      <c r="G23">
        <v>3.5</v>
      </c>
      <c r="H23" s="137">
        <f>acum_porc!$H$82- COUNTIF(acumulado_absoluto[[#This Row],[Ene 2024]:[Jun 2024]],"")</f>
        <v>5</v>
      </c>
      <c r="I23" s="137">
        <f>IF(acumulado_absoluto[[#This Row],[contar]]&gt;=acum_porc!$H$83,SUM(SMALL(acumulado_absoluto[[#This Row],[Ene 2024]:[Jun 2024]],1),SMALL(acumulado_absoluto[[#This Row],[Ene 2024]:[Jun 2024]],2),SMALL(acumulado_absoluto[[#This Row],[Ene 2024]:[Jun 2024]],3),SMALL(acumulado_absoluto[[#This Row],[Ene 2024]:[Jun 2024]],4)),"#N/A")</f>
        <v>46.750000000000014</v>
      </c>
    </row>
    <row r="24" spans="1:9" x14ac:dyDescent="0.2">
      <c r="A24" s="138" t="s">
        <v>292</v>
      </c>
      <c r="B24" s="137"/>
      <c r="C24" s="137">
        <v>20.100000000000001</v>
      </c>
      <c r="D24" s="137">
        <v>9.1199999999999974</v>
      </c>
      <c r="E24" s="4">
        <v>10.229999999999999</v>
      </c>
      <c r="F24"/>
      <c r="G24">
        <v>8.2199999999999989</v>
      </c>
      <c r="H24" s="137">
        <f>acum_porc!$H$82- COUNTIF(acumulado_absoluto[[#This Row],[Ene 2024]:[Jun 2024]],"")</f>
        <v>4</v>
      </c>
      <c r="I24" s="137">
        <f>IF(acumulado_absoluto[[#This Row],[contar]]&gt;=acum_porc!$H$83,SUM(SMALL(acumulado_absoluto[[#This Row],[Ene 2024]:[Jun 2024]],1),SMALL(acumulado_absoluto[[#This Row],[Ene 2024]:[Jun 2024]],2),SMALL(acumulado_absoluto[[#This Row],[Ene 2024]:[Jun 2024]],3),SMALL(acumulado_absoluto[[#This Row],[Ene 2024]:[Jun 2024]],4)),"#N/A")</f>
        <v>47.669999999999995</v>
      </c>
    </row>
    <row r="25" spans="1:9" x14ac:dyDescent="0.2">
      <c r="A25" s="138" t="s">
        <v>217</v>
      </c>
      <c r="B25" s="137">
        <v>14.599999999999994</v>
      </c>
      <c r="C25" s="137">
        <v>29.959999999999994</v>
      </c>
      <c r="D25" s="137">
        <v>24.729999999999997</v>
      </c>
      <c r="E25" s="4">
        <v>19.659999999999997</v>
      </c>
      <c r="F25">
        <v>2.9299999999999997</v>
      </c>
      <c r="G25">
        <v>12.119999999999997</v>
      </c>
      <c r="H25" s="137">
        <f>acum_porc!$H$82- COUNTIF(acumulado_absoluto[[#This Row],[Ene 2024]:[Jun 2024]],"")</f>
        <v>6</v>
      </c>
      <c r="I25" s="137">
        <f>IF(acumulado_absoluto[[#This Row],[contar]]&gt;=acum_porc!$H$83,SUM(SMALL(acumulado_absoluto[[#This Row],[Ene 2024]:[Jun 2024]],1),SMALL(acumulado_absoluto[[#This Row],[Ene 2024]:[Jun 2024]],2),SMALL(acumulado_absoluto[[#This Row],[Ene 2024]:[Jun 2024]],3),SMALL(acumulado_absoluto[[#This Row],[Ene 2024]:[Jun 2024]],4)),"#N/A")</f>
        <v>49.309999999999988</v>
      </c>
    </row>
    <row r="26" spans="1:9" x14ac:dyDescent="0.2">
      <c r="A26" s="138" t="s">
        <v>403</v>
      </c>
      <c r="B26" s="137">
        <v>14.400000000000006</v>
      </c>
      <c r="C26" s="137"/>
      <c r="D26" s="137"/>
      <c r="E26" s="4">
        <v>26.58</v>
      </c>
      <c r="F26">
        <v>0.30000000000000071</v>
      </c>
      <c r="G26">
        <v>8.0500000000000043</v>
      </c>
      <c r="H26" s="137">
        <f>acum_porc!$H$82- COUNTIF(acumulado_absoluto[[#This Row],[Ene 2024]:[Jun 2024]],"")</f>
        <v>4</v>
      </c>
      <c r="I26" s="137">
        <f>IF(acumulado_absoluto[[#This Row],[contar]]&gt;=acum_porc!$H$83,SUM(SMALL(acumulado_absoluto[[#This Row],[Ene 2024]:[Jun 2024]],1),SMALL(acumulado_absoluto[[#This Row],[Ene 2024]:[Jun 2024]],2),SMALL(acumulado_absoluto[[#This Row],[Ene 2024]:[Jun 2024]],3),SMALL(acumulado_absoluto[[#This Row],[Ene 2024]:[Jun 2024]],4)),"#N/A")</f>
        <v>49.330000000000013</v>
      </c>
    </row>
    <row r="27" spans="1:9" x14ac:dyDescent="0.2">
      <c r="A27" s="138" t="s">
        <v>242</v>
      </c>
      <c r="B27" s="137">
        <v>13.599999999999994</v>
      </c>
      <c r="C27" s="137"/>
      <c r="D27" s="137"/>
      <c r="E27" s="4">
        <v>8.33</v>
      </c>
      <c r="F27">
        <v>22.9</v>
      </c>
      <c r="G27">
        <v>5.5499999999999972</v>
      </c>
      <c r="H27" s="137">
        <f>acum_porc!$H$82- COUNTIF(acumulado_absoluto[[#This Row],[Ene 2024]:[Jun 2024]],"")</f>
        <v>4</v>
      </c>
      <c r="I27" s="137">
        <f>IF(acumulado_absoluto[[#This Row],[contar]]&gt;=acum_porc!$H$83,SUM(SMALL(acumulado_absoluto[[#This Row],[Ene 2024]:[Jun 2024]],1),SMALL(acumulado_absoluto[[#This Row],[Ene 2024]:[Jun 2024]],2),SMALL(acumulado_absoluto[[#This Row],[Ene 2024]:[Jun 2024]],3),SMALL(acumulado_absoluto[[#This Row],[Ene 2024]:[Jun 2024]],4)),"#N/A")</f>
        <v>50.379999999999988</v>
      </c>
    </row>
    <row r="28" spans="1:9" x14ac:dyDescent="0.2">
      <c r="A28" s="138" t="s">
        <v>9</v>
      </c>
      <c r="B28" s="137">
        <v>5.9000000000000057</v>
      </c>
      <c r="C28" s="137">
        <v>28</v>
      </c>
      <c r="D28" s="137">
        <v>24.72</v>
      </c>
      <c r="E28" s="4">
        <v>26.33</v>
      </c>
      <c r="F28">
        <v>4.6000000000000014</v>
      </c>
      <c r="G28">
        <v>17.049999999999997</v>
      </c>
      <c r="H28" s="137">
        <f>acum_porc!$H$82- COUNTIF(acumulado_absoluto[[#This Row],[Ene 2024]:[Jun 2024]],"")</f>
        <v>6</v>
      </c>
      <c r="I28" s="137">
        <f>IF(acumulado_absoluto[[#This Row],[contar]]&gt;=acum_porc!$H$83,SUM(SMALL(acumulado_absoluto[[#This Row],[Ene 2024]:[Jun 2024]],1),SMALL(acumulado_absoluto[[#This Row],[Ene 2024]:[Jun 2024]],2),SMALL(acumulado_absoluto[[#This Row],[Ene 2024]:[Jun 2024]],3),SMALL(acumulado_absoluto[[#This Row],[Ene 2024]:[Jun 2024]],4)),"#N/A")</f>
        <v>52.27</v>
      </c>
    </row>
    <row r="29" spans="1:9" x14ac:dyDescent="0.2">
      <c r="A29" s="138" t="s">
        <v>337</v>
      </c>
      <c r="B29" s="137"/>
      <c r="C29" s="137">
        <v>20.060000000000002</v>
      </c>
      <c r="D29" s="137"/>
      <c r="E29" s="4">
        <v>19.670000000000002</v>
      </c>
      <c r="F29">
        <v>5.1300000000000026</v>
      </c>
      <c r="G29">
        <v>7.6099999999999994</v>
      </c>
      <c r="H29" s="137">
        <f>acum_porc!$H$82- COUNTIF(acumulado_absoluto[[#This Row],[Ene 2024]:[Jun 2024]],"")</f>
        <v>4</v>
      </c>
      <c r="I29" s="137">
        <f>IF(acumulado_absoluto[[#This Row],[contar]]&gt;=acum_porc!$H$83,SUM(SMALL(acumulado_absoluto[[#This Row],[Ene 2024]:[Jun 2024]],1),SMALL(acumulado_absoluto[[#This Row],[Ene 2024]:[Jun 2024]],2),SMALL(acumulado_absoluto[[#This Row],[Ene 2024]:[Jun 2024]],3),SMALL(acumulado_absoluto[[#This Row],[Ene 2024]:[Jun 2024]],4)),"#N/A")</f>
        <v>52.470000000000006</v>
      </c>
    </row>
    <row r="30" spans="1:9" x14ac:dyDescent="0.2">
      <c r="A30" s="138" t="s">
        <v>407</v>
      </c>
      <c r="B30" s="137">
        <v>1.5500000000000114</v>
      </c>
      <c r="C30" s="137">
        <v>30.22</v>
      </c>
      <c r="D30" s="137">
        <v>27.439999999999998</v>
      </c>
      <c r="F30"/>
      <c r="G30">
        <v>5.3900000000000006</v>
      </c>
      <c r="H30" s="137">
        <f>acum_porc!$H$82- COUNTIF(acumulado_absoluto[[#This Row],[Ene 2024]:[Jun 2024]],"")</f>
        <v>4</v>
      </c>
      <c r="I30" s="137">
        <f>IF(acumulado_absoluto[[#This Row],[contar]]&gt;=acum_porc!$H$83,SUM(SMALL(acumulado_absoluto[[#This Row],[Ene 2024]:[Jun 2024]],1),SMALL(acumulado_absoluto[[#This Row],[Ene 2024]:[Jun 2024]],2),SMALL(acumulado_absoluto[[#This Row],[Ene 2024]:[Jun 2024]],3),SMALL(acumulado_absoluto[[#This Row],[Ene 2024]:[Jun 2024]],4)),"#N/A")</f>
        <v>64.600000000000009</v>
      </c>
    </row>
    <row r="31" spans="1:9" x14ac:dyDescent="0.2">
      <c r="A31" s="138" t="s">
        <v>412</v>
      </c>
      <c r="B31" s="137">
        <v>6.980000000000004</v>
      </c>
      <c r="C31" s="137">
        <v>39.799999999999997</v>
      </c>
      <c r="D31" s="137">
        <v>41.4</v>
      </c>
      <c r="E31" s="4">
        <v>75.23</v>
      </c>
      <c r="F31">
        <v>18.200000000000003</v>
      </c>
      <c r="G31">
        <v>2.1700000000000017</v>
      </c>
      <c r="H31" s="137">
        <f>acum_porc!$H$82- COUNTIF(acumulado_absoluto[[#This Row],[Ene 2024]:[Jun 2024]],"")</f>
        <v>6</v>
      </c>
      <c r="I31" s="137">
        <f>IF(acumulado_absoluto[[#This Row],[contar]]&gt;=acum_porc!$H$83,SUM(SMALL(acumulado_absoluto[[#This Row],[Ene 2024]:[Jun 2024]],1),SMALL(acumulado_absoluto[[#This Row],[Ene 2024]:[Jun 2024]],2),SMALL(acumulado_absoluto[[#This Row],[Ene 2024]:[Jun 2024]],3),SMALL(acumulado_absoluto[[#This Row],[Ene 2024]:[Jun 2024]],4)),"#N/A")</f>
        <v>67.150000000000006</v>
      </c>
    </row>
    <row r="32" spans="1:9" x14ac:dyDescent="0.2">
      <c r="A32" s="138" t="s">
        <v>411</v>
      </c>
      <c r="B32" s="137">
        <v>28.680000000000007</v>
      </c>
      <c r="C32" s="137"/>
      <c r="D32" s="137"/>
      <c r="E32" s="4">
        <v>10.220000000000001</v>
      </c>
      <c r="F32">
        <v>8.379999999999999</v>
      </c>
      <c r="G32">
        <v>22.599999999999998</v>
      </c>
      <c r="H32" s="137">
        <f>acum_porc!$H$82- COUNTIF(acumulado_absoluto[[#This Row],[Ene 2024]:[Jun 2024]],"")</f>
        <v>4</v>
      </c>
      <c r="I32" s="137">
        <f>IF(acumulado_absoluto[[#This Row],[contar]]&gt;=acum_porc!$H$83,SUM(SMALL(acumulado_absoluto[[#This Row],[Ene 2024]:[Jun 2024]],1),SMALL(acumulado_absoluto[[#This Row],[Ene 2024]:[Jun 2024]],2),SMALL(acumulado_absoluto[[#This Row],[Ene 2024]:[Jun 2024]],3),SMALL(acumulado_absoluto[[#This Row],[Ene 2024]:[Jun 2024]],4)),"#N/A")</f>
        <v>69.88000000000001</v>
      </c>
    </row>
    <row r="33" spans="1:9" x14ac:dyDescent="0.2">
      <c r="A33" s="138" t="s">
        <v>401</v>
      </c>
      <c r="B33" s="137">
        <v>13</v>
      </c>
      <c r="C33" s="137">
        <v>35</v>
      </c>
      <c r="D33" s="137">
        <v>34.72</v>
      </c>
      <c r="E33" s="4">
        <v>33.78</v>
      </c>
      <c r="F33">
        <v>21.519999999999996</v>
      </c>
      <c r="G33">
        <v>2.5100000000000051</v>
      </c>
      <c r="H33" s="137">
        <f>acum_porc!$H$82- COUNTIF(acumulado_absoluto[[#This Row],[Ene 2024]:[Jun 2024]],"")</f>
        <v>6</v>
      </c>
      <c r="I33" s="137">
        <f>IF(acumulado_absoluto[[#This Row],[contar]]&gt;=acum_porc!$H$83,SUM(SMALL(acumulado_absoluto[[#This Row],[Ene 2024]:[Jun 2024]],1),SMALL(acumulado_absoluto[[#This Row],[Ene 2024]:[Jun 2024]],2),SMALL(acumulado_absoluto[[#This Row],[Ene 2024]:[Jun 2024]],3),SMALL(acumulado_absoluto[[#This Row],[Ene 2024]:[Jun 2024]],4)),"#N/A")</f>
        <v>70.81</v>
      </c>
    </row>
    <row r="34" spans="1:9" hidden="1" x14ac:dyDescent="0.2">
      <c r="A34" s="138" t="s">
        <v>338</v>
      </c>
      <c r="B34" s="137"/>
      <c r="C34" s="137">
        <v>49.239999999999995</v>
      </c>
      <c r="D34" s="137"/>
      <c r="F34"/>
      <c r="G34"/>
      <c r="H34" s="137">
        <f>acum_porc!$H$82- COUNTIF(acumulado_absoluto[[#This Row],[Ene 2024]:[Jun 2024]],"")</f>
        <v>1</v>
      </c>
      <c r="I34" s="137" t="str">
        <f>IF(acumulado_absoluto[[#This Row],[contar]]&gt;=acum_porc!$H$83,SUM(SMALL(acumulado_absoluto[[#This Row],[Ene 2024]:[Jun 2024]],1),SMALL(acumulado_absoluto[[#This Row],[Ene 2024]:[Jun 2024]],2),SMALL(acumulado_absoluto[[#This Row],[Ene 2024]:[Jun 2024]],3),SMALL(acumulado_absoluto[[#This Row],[Ene 2024]:[Jun 2024]],4)),"#N/A")</f>
        <v>#N/A</v>
      </c>
    </row>
    <row r="35" spans="1:9" hidden="1" x14ac:dyDescent="0.2">
      <c r="A35" s="138" t="s">
        <v>805</v>
      </c>
      <c r="B35" s="137"/>
      <c r="C35" s="137"/>
      <c r="D35" s="137"/>
      <c r="F35"/>
      <c r="G35">
        <v>1.3599999999999994</v>
      </c>
      <c r="H35" s="137">
        <f>acum_porc!$H$82- COUNTIF(acumulado_absoluto[[#This Row],[Ene 2024]:[Jun 2024]],"")</f>
        <v>1</v>
      </c>
      <c r="I35" s="137" t="str">
        <f>IF(acumulado_absoluto[[#This Row],[contar]]&gt;=acum_porc!$H$83,SUM(SMALL(acumulado_absoluto[[#This Row],[Ene 2024]:[Jun 2024]],1),SMALL(acumulado_absoluto[[#This Row],[Ene 2024]:[Jun 2024]],2),SMALL(acumulado_absoluto[[#This Row],[Ene 2024]:[Jun 2024]],3),SMALL(acumulado_absoluto[[#This Row],[Ene 2024]:[Jun 2024]],4)),"#N/A")</f>
        <v>#N/A</v>
      </c>
    </row>
    <row r="36" spans="1:9" hidden="1" x14ac:dyDescent="0.2">
      <c r="A36" s="138" t="s">
        <v>402</v>
      </c>
      <c r="B36" s="137">
        <v>1.9400000000000119</v>
      </c>
      <c r="C36" s="137"/>
      <c r="D36" s="137"/>
      <c r="F36"/>
      <c r="G36"/>
      <c r="H36" s="137">
        <f>acum_porc!$H$82- COUNTIF(acumulado_absoluto[[#This Row],[Ene 2024]:[Jun 2024]],"")</f>
        <v>1</v>
      </c>
      <c r="I36" s="137" t="str">
        <f>IF(acumulado_absoluto[[#This Row],[contar]]&gt;=acum_porc!$H$83,SUM(SMALL(acumulado_absoluto[[#This Row],[Ene 2024]:[Jun 2024]],1),SMALL(acumulado_absoluto[[#This Row],[Ene 2024]:[Jun 2024]],2),SMALL(acumulado_absoluto[[#This Row],[Ene 2024]:[Jun 2024]],3),SMALL(acumulado_absoluto[[#This Row],[Ene 2024]:[Jun 2024]],4)),"#N/A")</f>
        <v>#N/A</v>
      </c>
    </row>
    <row r="37" spans="1:9" hidden="1" x14ac:dyDescent="0.2">
      <c r="A37" s="138" t="s">
        <v>415</v>
      </c>
      <c r="B37" s="137"/>
      <c r="C37" s="137">
        <v>30.099999999999994</v>
      </c>
      <c r="D37" s="137"/>
      <c r="F37"/>
      <c r="G37"/>
      <c r="H37" s="137">
        <f>acum_porc!$H$82- COUNTIF(acumulado_absoluto[[#This Row],[Ene 2024]:[Jun 2024]],"")</f>
        <v>1</v>
      </c>
      <c r="I37" s="137" t="str">
        <f>IF(acumulado_absoluto[[#This Row],[contar]]&gt;=acum_porc!$H$83,SUM(SMALL(acumulado_absoluto[[#This Row],[Ene 2024]:[Jun 2024]],1),SMALL(acumulado_absoluto[[#This Row],[Ene 2024]:[Jun 2024]],2),SMALL(acumulado_absoluto[[#This Row],[Ene 2024]:[Jun 2024]],3),SMALL(acumulado_absoluto[[#This Row],[Ene 2024]:[Jun 2024]],4)),"#N/A")</f>
        <v>#N/A</v>
      </c>
    </row>
    <row r="38" spans="1:9" hidden="1" x14ac:dyDescent="0.2">
      <c r="A38" s="138" t="s">
        <v>413</v>
      </c>
      <c r="B38" s="137"/>
      <c r="C38" s="137">
        <v>32.200000000000003</v>
      </c>
      <c r="D38" s="137"/>
      <c r="F38">
        <v>2.9400000000000048</v>
      </c>
      <c r="G38"/>
      <c r="H38" s="137">
        <f>acum_porc!$H$82- COUNTIF(acumulado_absoluto[[#This Row],[Ene 2024]:[Jun 2024]],"")</f>
        <v>2</v>
      </c>
      <c r="I38" s="137" t="str">
        <f>IF(acumulado_absoluto[[#This Row],[contar]]&gt;=acum_porc!$H$83,SUM(SMALL(acumulado_absoluto[[#This Row],[Ene 2024]:[Jun 2024]],1),SMALL(acumulado_absoluto[[#This Row],[Ene 2024]:[Jun 2024]],2),SMALL(acumulado_absoluto[[#This Row],[Ene 2024]:[Jun 2024]],3),SMALL(acumulado_absoluto[[#This Row],[Ene 2024]:[Jun 2024]],4)),"#N/A")</f>
        <v>#N/A</v>
      </c>
    </row>
    <row r="39" spans="1:9" hidden="1" x14ac:dyDescent="0.2">
      <c r="A39" s="138" t="s">
        <v>216</v>
      </c>
      <c r="B39" s="137">
        <v>1.0500000000000114</v>
      </c>
      <c r="C39" s="137"/>
      <c r="D39" s="137"/>
      <c r="F39"/>
      <c r="G39"/>
      <c r="H39" s="137">
        <f>acum_porc!$H$82- COUNTIF(acumulado_absoluto[[#This Row],[Ene 2024]:[Jun 2024]],"")</f>
        <v>1</v>
      </c>
      <c r="I39" s="137" t="str">
        <f>IF(acumulado_absoluto[[#This Row],[contar]]&gt;=acum_porc!$H$83,SUM(SMALL(acumulado_absoluto[[#This Row],[Ene 2024]:[Jun 2024]],1),SMALL(acumulado_absoluto[[#This Row],[Ene 2024]:[Jun 2024]],2),SMALL(acumulado_absoluto[[#This Row],[Ene 2024]:[Jun 2024]],3),SMALL(acumulado_absoluto[[#This Row],[Ene 2024]:[Jun 2024]],4)),"#N/A")</f>
        <v>#N/A</v>
      </c>
    </row>
    <row r="40" spans="1:9" hidden="1" x14ac:dyDescent="0.2">
      <c r="A40" s="138" t="s">
        <v>475</v>
      </c>
      <c r="B40" s="137"/>
      <c r="C40" s="137"/>
      <c r="D40" s="137">
        <v>15.079999999999998</v>
      </c>
      <c r="F40"/>
      <c r="G40"/>
      <c r="H40" s="137">
        <f>acum_porc!$H$82- COUNTIF(acumulado_absoluto[[#This Row],[Ene 2024]:[Jun 2024]],"")</f>
        <v>1</v>
      </c>
      <c r="I40" s="137" t="str">
        <f>IF(acumulado_absoluto[[#This Row],[contar]]&gt;=acum_porc!$H$83,SUM(SMALL(acumulado_absoluto[[#This Row],[Ene 2024]:[Jun 2024]],1),SMALL(acumulado_absoluto[[#This Row],[Ene 2024]:[Jun 2024]],2),SMALL(acumulado_absoluto[[#This Row],[Ene 2024]:[Jun 2024]],3),SMALL(acumulado_absoluto[[#This Row],[Ene 2024]:[Jun 2024]],4)),"#N/A")</f>
        <v>#N/A</v>
      </c>
    </row>
    <row r="41" spans="1:9" hidden="1" x14ac:dyDescent="0.2">
      <c r="A41" s="138" t="s">
        <v>654</v>
      </c>
      <c r="B41" s="137"/>
      <c r="C41" s="137"/>
      <c r="D41" s="137"/>
      <c r="F41">
        <v>4.07</v>
      </c>
      <c r="G41">
        <v>0.55999999999999517</v>
      </c>
      <c r="H41" s="137">
        <f>acum_porc!$H$82- COUNTIF(acumulado_absoluto[[#This Row],[Ene 2024]:[Jun 2024]],"")</f>
        <v>2</v>
      </c>
      <c r="I41" s="137" t="str">
        <f>IF(acumulado_absoluto[[#This Row],[contar]]&gt;=acum_porc!$H$83,SUM(SMALL(acumulado_absoluto[[#This Row],[Ene 2024]:[Jun 2024]],1),SMALL(acumulado_absoluto[[#This Row],[Ene 2024]:[Jun 2024]],2),SMALL(acumulado_absoluto[[#This Row],[Ene 2024]:[Jun 2024]],3),SMALL(acumulado_absoluto[[#This Row],[Ene 2024]:[Jun 2024]],4)),"#N/A")</f>
        <v>#N/A</v>
      </c>
    </row>
    <row r="42" spans="1:9" hidden="1" x14ac:dyDescent="0.2">
      <c r="A42" s="138" t="s">
        <v>653</v>
      </c>
      <c r="B42" s="137"/>
      <c r="C42" s="137"/>
      <c r="D42" s="137"/>
      <c r="F42">
        <v>17.299999999999997</v>
      </c>
      <c r="G42">
        <v>13.149999999999999</v>
      </c>
      <c r="H42" s="137">
        <f>acum_porc!$H$82- COUNTIF(acumulado_absoluto[[#This Row],[Ene 2024]:[Jun 2024]],"")</f>
        <v>2</v>
      </c>
      <c r="I42" s="137" t="str">
        <f>IF(acumulado_absoluto[[#This Row],[contar]]&gt;=acum_porc!$H$83,SUM(SMALL(acumulado_absoluto[[#This Row],[Ene 2024]:[Jun 2024]],1),SMALL(acumulado_absoluto[[#This Row],[Ene 2024]:[Jun 2024]],2),SMALL(acumulado_absoluto[[#This Row],[Ene 2024]:[Jun 2024]],3),SMALL(acumulado_absoluto[[#This Row],[Ene 2024]:[Jun 2024]],4)),"#N/A")</f>
        <v>#N/A</v>
      </c>
    </row>
    <row r="43" spans="1:9" hidden="1" x14ac:dyDescent="0.2">
      <c r="A43" s="138" t="s">
        <v>340</v>
      </c>
      <c r="B43" s="137"/>
      <c r="C43" s="137">
        <v>21.53</v>
      </c>
      <c r="D43" s="137"/>
      <c r="F43"/>
      <c r="G43"/>
      <c r="H43" s="137">
        <f>acum_porc!$H$82- COUNTIF(acumulado_absoluto[[#This Row],[Ene 2024]:[Jun 2024]],"")</f>
        <v>1</v>
      </c>
      <c r="I43" s="137" t="str">
        <f>IF(acumulado_absoluto[[#This Row],[contar]]&gt;=acum_porc!$H$83,SUM(SMALL(acumulado_absoluto[[#This Row],[Ene 2024]:[Jun 2024]],1),SMALL(acumulado_absoluto[[#This Row],[Ene 2024]:[Jun 2024]],2),SMALL(acumulado_absoluto[[#This Row],[Ene 2024]:[Jun 2024]],3),SMALL(acumulado_absoluto[[#This Row],[Ene 2024]:[Jun 2024]],4)),"#N/A")</f>
        <v>#N/A</v>
      </c>
    </row>
    <row r="44" spans="1:9" hidden="1" x14ac:dyDescent="0.2">
      <c r="A44" s="138" t="s">
        <v>797</v>
      </c>
      <c r="B44" s="137"/>
      <c r="C44" s="137"/>
      <c r="D44" s="137"/>
      <c r="F44"/>
      <c r="G44">
        <v>13.549999999999997</v>
      </c>
      <c r="H44" s="137">
        <f>acum_porc!$H$82- COUNTIF(acumulado_absoluto[[#This Row],[Ene 2024]:[Jun 2024]],"")</f>
        <v>1</v>
      </c>
      <c r="I44" s="137" t="str">
        <f>IF(acumulado_absoluto[[#This Row],[contar]]&gt;=acum_porc!$H$83,SUM(SMALL(acumulado_absoluto[[#This Row],[Ene 2024]:[Jun 2024]],1),SMALL(acumulado_absoluto[[#This Row],[Ene 2024]:[Jun 2024]],2),SMALL(acumulado_absoluto[[#This Row],[Ene 2024]:[Jun 2024]],3),SMALL(acumulado_absoluto[[#This Row],[Ene 2024]:[Jun 2024]],4)),"#N/A")</f>
        <v>#N/A</v>
      </c>
    </row>
    <row r="45" spans="1:9" hidden="1" x14ac:dyDescent="0.2">
      <c r="A45" s="138" t="s">
        <v>541</v>
      </c>
      <c r="B45" s="137"/>
      <c r="C45" s="137"/>
      <c r="D45" s="137"/>
      <c r="E45" s="4">
        <v>3.6599999999999984</v>
      </c>
      <c r="F45">
        <v>4.93</v>
      </c>
      <c r="G45">
        <v>16.899999999999999</v>
      </c>
      <c r="H45" s="137">
        <f>acum_porc!$H$82- COUNTIF(acumulado_absoluto[[#This Row],[Ene 2024]:[Jun 2024]],"")</f>
        <v>3</v>
      </c>
      <c r="I45" s="137" t="str">
        <f>IF(acumulado_absoluto[[#This Row],[contar]]&gt;=acum_porc!$H$83,SUM(SMALL(acumulado_absoluto[[#This Row],[Ene 2024]:[Jun 2024]],1),SMALL(acumulado_absoluto[[#This Row],[Ene 2024]:[Jun 2024]],2),SMALL(acumulado_absoluto[[#This Row],[Ene 2024]:[Jun 2024]],3),SMALL(acumulado_absoluto[[#This Row],[Ene 2024]:[Jun 2024]],4)),"#N/A")</f>
        <v>#N/A</v>
      </c>
    </row>
    <row r="46" spans="1:9" hidden="1" x14ac:dyDescent="0.2">
      <c r="A46" s="138" t="s">
        <v>472</v>
      </c>
      <c r="B46" s="137"/>
      <c r="C46" s="137"/>
      <c r="D46" s="137">
        <v>12.29</v>
      </c>
      <c r="F46"/>
      <c r="G46"/>
      <c r="H46" s="137">
        <f>acum_porc!$H$82- COUNTIF(acumulado_absoluto[[#This Row],[Ene 2024]:[Jun 2024]],"")</f>
        <v>1</v>
      </c>
      <c r="I46" s="137" t="str">
        <f>IF(acumulado_absoluto[[#This Row],[contar]]&gt;=acum_porc!$H$83,SUM(SMALL(acumulado_absoluto[[#This Row],[Ene 2024]:[Jun 2024]],1),SMALL(acumulado_absoluto[[#This Row],[Ene 2024]:[Jun 2024]],2),SMALL(acumulado_absoluto[[#This Row],[Ene 2024]:[Jun 2024]],3),SMALL(acumulado_absoluto[[#This Row],[Ene 2024]:[Jun 2024]],4)),"#N/A")</f>
        <v>#N/A</v>
      </c>
    </row>
    <row r="47" spans="1:9" hidden="1" x14ac:dyDescent="0.2">
      <c r="A47" s="138" t="s">
        <v>806</v>
      </c>
      <c r="B47" s="137"/>
      <c r="C47" s="137"/>
      <c r="D47" s="137"/>
      <c r="F47">
        <v>6.6999999999999993</v>
      </c>
      <c r="G47">
        <v>1.3500000000000014</v>
      </c>
      <c r="H47" s="137">
        <f>acum_porc!$H$82- COUNTIF(acumulado_absoluto[[#This Row],[Ene 2024]:[Jun 2024]],"")</f>
        <v>2</v>
      </c>
      <c r="I47" s="137" t="str">
        <f>IF(acumulado_absoluto[[#This Row],[contar]]&gt;=acum_porc!$H$83,SUM(SMALL(acumulado_absoluto[[#This Row],[Ene 2024]:[Jun 2024]],1),SMALL(acumulado_absoluto[[#This Row],[Ene 2024]:[Jun 2024]],2),SMALL(acumulado_absoluto[[#This Row],[Ene 2024]:[Jun 2024]],3),SMALL(acumulado_absoluto[[#This Row],[Ene 2024]:[Jun 2024]],4)),"#N/A")</f>
        <v>#N/A</v>
      </c>
    </row>
    <row r="48" spans="1:9" hidden="1" x14ac:dyDescent="0.2">
      <c r="A48" s="138" t="s">
        <v>810</v>
      </c>
      <c r="B48" s="137"/>
      <c r="C48" s="137"/>
      <c r="D48" s="137"/>
      <c r="F48"/>
      <c r="G48">
        <v>3.25</v>
      </c>
      <c r="H48" s="137">
        <f>acum_porc!$H$82- COUNTIF(acumulado_absoluto[[#This Row],[Ene 2024]:[Jun 2024]],"")</f>
        <v>1</v>
      </c>
      <c r="I48" s="137" t="str">
        <f>IF(acumulado_absoluto[[#This Row],[contar]]&gt;=acum_porc!$H$83,SUM(SMALL(acumulado_absoluto[[#This Row],[Ene 2024]:[Jun 2024]],1),SMALL(acumulado_absoluto[[#This Row],[Ene 2024]:[Jun 2024]],2),SMALL(acumulado_absoluto[[#This Row],[Ene 2024]:[Jun 2024]],3),SMALL(acumulado_absoluto[[#This Row],[Ene 2024]:[Jun 2024]],4)),"#N/A")</f>
        <v>#N/A</v>
      </c>
    </row>
    <row r="49" spans="1:9" hidden="1" x14ac:dyDescent="0.2">
      <c r="A49" s="138" t="s">
        <v>801</v>
      </c>
      <c r="B49" s="137"/>
      <c r="C49" s="137"/>
      <c r="D49" s="137"/>
      <c r="F49"/>
      <c r="G49">
        <v>16.169999999999995</v>
      </c>
      <c r="H49" s="137">
        <f>acum_porc!$H$82- COUNTIF(acumulado_absoluto[[#This Row],[Ene 2024]:[Jun 2024]],"")</f>
        <v>1</v>
      </c>
      <c r="I49" s="137" t="str">
        <f>IF(acumulado_absoluto[[#This Row],[contar]]&gt;=acum_porc!$H$83,SUM(SMALL(acumulado_absoluto[[#This Row],[Ene 2024]:[Jun 2024]],1),SMALL(acumulado_absoluto[[#This Row],[Ene 2024]:[Jun 2024]],2),SMALL(acumulado_absoluto[[#This Row],[Ene 2024]:[Jun 2024]],3),SMALL(acumulado_absoluto[[#This Row],[Ene 2024]:[Jun 2024]],4)),"#N/A")</f>
        <v>#N/A</v>
      </c>
    </row>
    <row r="50" spans="1:9" hidden="1" x14ac:dyDescent="0.2">
      <c r="A50" s="138" t="s">
        <v>652</v>
      </c>
      <c r="B50" s="137"/>
      <c r="C50" s="137"/>
      <c r="D50" s="137"/>
      <c r="F50">
        <v>5.2000000000000028</v>
      </c>
      <c r="G50">
        <v>34.409999999999997</v>
      </c>
      <c r="H50" s="137">
        <f>acum_porc!$H$82- COUNTIF(acumulado_absoluto[[#This Row],[Ene 2024]:[Jun 2024]],"")</f>
        <v>2</v>
      </c>
      <c r="I50" s="137" t="str">
        <f>IF(acumulado_absoluto[[#This Row],[contar]]&gt;=acum_porc!$H$83,SUM(SMALL(acumulado_absoluto[[#This Row],[Ene 2024]:[Jun 2024]],1),SMALL(acumulado_absoluto[[#This Row],[Ene 2024]:[Jun 2024]],2),SMALL(acumulado_absoluto[[#This Row],[Ene 2024]:[Jun 2024]],3),SMALL(acumulado_absoluto[[#This Row],[Ene 2024]:[Jun 2024]],4)),"#N/A")</f>
        <v>#N/A</v>
      </c>
    </row>
    <row r="51" spans="1:9" hidden="1" x14ac:dyDescent="0.2">
      <c r="A51" s="138" t="s">
        <v>223</v>
      </c>
      <c r="B51" s="137">
        <v>0.79999999999999716</v>
      </c>
      <c r="C51" s="137"/>
      <c r="D51" s="137"/>
      <c r="F51"/>
      <c r="G51"/>
      <c r="H51" s="137">
        <f>acum_porc!$H$82- COUNTIF(acumulado_absoluto[[#This Row],[Ene 2024]:[Jun 2024]],"")</f>
        <v>1</v>
      </c>
      <c r="I51" s="137" t="str">
        <f>IF(acumulado_absoluto[[#This Row],[contar]]&gt;=acum_porc!$H$83,SUM(SMALL(acumulado_absoluto[[#This Row],[Ene 2024]:[Jun 2024]],1),SMALL(acumulado_absoluto[[#This Row],[Ene 2024]:[Jun 2024]],2),SMALL(acumulado_absoluto[[#This Row],[Ene 2024]:[Jun 2024]],3),SMALL(acumulado_absoluto[[#This Row],[Ene 2024]:[Jun 2024]],4)),"#N/A")</f>
        <v>#N/A</v>
      </c>
    </row>
    <row r="52" spans="1:9" hidden="1" x14ac:dyDescent="0.2">
      <c r="A52" s="138" t="s">
        <v>796</v>
      </c>
      <c r="B52" s="137"/>
      <c r="C52" s="137"/>
      <c r="D52" s="137"/>
      <c r="F52"/>
      <c r="G52">
        <v>8.769999999999996</v>
      </c>
      <c r="H52" s="137">
        <f>acum_porc!$H$82- COUNTIF(acumulado_absoluto[[#This Row],[Ene 2024]:[Jun 2024]],"")</f>
        <v>1</v>
      </c>
      <c r="I52" s="137" t="str">
        <f>IF(acumulado_absoluto[[#This Row],[contar]]&gt;=acum_porc!$H$83,SUM(SMALL(acumulado_absoluto[[#This Row],[Ene 2024]:[Jun 2024]],1),SMALL(acumulado_absoluto[[#This Row],[Ene 2024]:[Jun 2024]],2),SMALL(acumulado_absoluto[[#This Row],[Ene 2024]:[Jun 2024]],3),SMALL(acumulado_absoluto[[#This Row],[Ene 2024]:[Jun 2024]],4)),"#N/A")</f>
        <v>#N/A</v>
      </c>
    </row>
    <row r="53" spans="1:9" hidden="1" x14ac:dyDescent="0.2">
      <c r="A53" s="138" t="s">
        <v>807</v>
      </c>
      <c r="B53" s="137"/>
      <c r="C53" s="137"/>
      <c r="D53" s="137"/>
      <c r="F53"/>
      <c r="G53">
        <v>4.25</v>
      </c>
      <c r="H53" s="137">
        <f>acum_porc!$H$82- COUNTIF(acumulado_absoluto[[#This Row],[Ene 2024]:[Jun 2024]],"")</f>
        <v>1</v>
      </c>
      <c r="I53" s="137" t="str">
        <f>IF(acumulado_absoluto[[#This Row],[contar]]&gt;=acum_porc!$H$83,SUM(SMALL(acumulado_absoluto[[#This Row],[Ene 2024]:[Jun 2024]],1),SMALL(acumulado_absoluto[[#This Row],[Ene 2024]:[Jun 2024]],2),SMALL(acumulado_absoluto[[#This Row],[Ene 2024]:[Jun 2024]],3),SMALL(acumulado_absoluto[[#This Row],[Ene 2024]:[Jun 2024]],4)),"#N/A")</f>
        <v>#N/A</v>
      </c>
    </row>
    <row r="54" spans="1:9" hidden="1" x14ac:dyDescent="0.2">
      <c r="A54" s="138" t="s">
        <v>804</v>
      </c>
      <c r="B54" s="137"/>
      <c r="C54" s="137"/>
      <c r="D54" s="137"/>
      <c r="F54"/>
      <c r="G54">
        <v>47.900000000000006</v>
      </c>
      <c r="H54" s="137">
        <f>acum_porc!$H$82- COUNTIF(acumulado_absoluto[[#This Row],[Ene 2024]:[Jun 2024]],"")</f>
        <v>1</v>
      </c>
      <c r="I54" s="137" t="str">
        <f>IF(acumulado_absoluto[[#This Row],[contar]]&gt;=acum_porc!$H$83,SUM(SMALL(acumulado_absoluto[[#This Row],[Ene 2024]:[Jun 2024]],1),SMALL(acumulado_absoluto[[#This Row],[Ene 2024]:[Jun 2024]],2),SMALL(acumulado_absoluto[[#This Row],[Ene 2024]:[Jun 2024]],3),SMALL(acumulado_absoluto[[#This Row],[Ene 2024]:[Jun 2024]],4)),"#N/A")</f>
        <v>#N/A</v>
      </c>
    </row>
    <row r="55" spans="1:9" hidden="1" x14ac:dyDescent="0.2">
      <c r="A55" s="138" t="s">
        <v>224</v>
      </c>
      <c r="B55" s="137">
        <v>7.539999999999992</v>
      </c>
      <c r="C55" s="137">
        <v>32.36</v>
      </c>
      <c r="D55" s="137"/>
      <c r="F55"/>
      <c r="G55"/>
      <c r="H55" s="137">
        <f>acum_porc!$H$82- COUNTIF(acumulado_absoluto[[#This Row],[Ene 2024]:[Jun 2024]],"")</f>
        <v>2</v>
      </c>
      <c r="I55" s="137" t="str">
        <f>IF(acumulado_absoluto[[#This Row],[contar]]&gt;=acum_porc!$H$83,SUM(SMALL(acumulado_absoluto[[#This Row],[Ene 2024]:[Jun 2024]],1),SMALL(acumulado_absoluto[[#This Row],[Ene 2024]:[Jun 2024]],2),SMALL(acumulado_absoluto[[#This Row],[Ene 2024]:[Jun 2024]],3),SMALL(acumulado_absoluto[[#This Row],[Ene 2024]:[Jun 2024]],4)),"#N/A")</f>
        <v>#N/A</v>
      </c>
    </row>
    <row r="56" spans="1:9" hidden="1" x14ac:dyDescent="0.2">
      <c r="A56" s="138" t="s">
        <v>799</v>
      </c>
      <c r="B56" s="137"/>
      <c r="C56" s="137"/>
      <c r="D56" s="137"/>
      <c r="F56"/>
      <c r="G56">
        <v>20.199999999999996</v>
      </c>
      <c r="H56" s="137">
        <f>acum_porc!$H$82- COUNTIF(acumulado_absoluto[[#This Row],[Ene 2024]:[Jun 2024]],"")</f>
        <v>1</v>
      </c>
      <c r="I56" s="137" t="str">
        <f>IF(acumulado_absoluto[[#This Row],[contar]]&gt;=acum_porc!$H$83,SUM(SMALL(acumulado_absoluto[[#This Row],[Ene 2024]:[Jun 2024]],1),SMALL(acumulado_absoluto[[#This Row],[Ene 2024]:[Jun 2024]],2),SMALL(acumulado_absoluto[[#This Row],[Ene 2024]:[Jun 2024]],3),SMALL(acumulado_absoluto[[#This Row],[Ene 2024]:[Jun 2024]],4)),"#N/A")</f>
        <v>#N/A</v>
      </c>
    </row>
    <row r="57" spans="1:9" hidden="1" x14ac:dyDescent="0.2">
      <c r="A57" s="138" t="s">
        <v>822</v>
      </c>
      <c r="B57" s="137"/>
      <c r="C57" s="137"/>
      <c r="D57" s="137"/>
      <c r="F57"/>
      <c r="G57">
        <v>11.130000000000003</v>
      </c>
      <c r="H57" s="137">
        <f>acum_porc!$H$82- COUNTIF(acumulado_absoluto[[#This Row],[Ene 2024]:[Jun 2024]],"")</f>
        <v>1</v>
      </c>
      <c r="I57" s="137" t="str">
        <f>IF(acumulado_absoluto[[#This Row],[contar]]&gt;=acum_porc!$H$83,SUM(SMALL(acumulado_absoluto[[#This Row],[Ene 2024]:[Jun 2024]],1),SMALL(acumulado_absoluto[[#This Row],[Ene 2024]:[Jun 2024]],2),SMALL(acumulado_absoluto[[#This Row],[Ene 2024]:[Jun 2024]],3),SMALL(acumulado_absoluto[[#This Row],[Ene 2024]:[Jun 2024]],4)),"#N/A")</f>
        <v>#N/A</v>
      </c>
    </row>
    <row r="58" spans="1:9" hidden="1" x14ac:dyDescent="0.2">
      <c r="A58" s="138" t="s">
        <v>647</v>
      </c>
      <c r="B58" s="137"/>
      <c r="C58" s="137"/>
      <c r="D58" s="137"/>
      <c r="F58">
        <v>7.740000000000002</v>
      </c>
      <c r="G58">
        <v>8.3399999999999963</v>
      </c>
      <c r="H58" s="137">
        <f>acum_porc!$H$82- COUNTIF(acumulado_absoluto[[#This Row],[Ene 2024]:[Jun 2024]],"")</f>
        <v>2</v>
      </c>
      <c r="I58" s="137" t="str">
        <f>IF(acumulado_absoluto[[#This Row],[contar]]&gt;=acum_porc!$H$83,SUM(SMALL(acumulado_absoluto[[#This Row],[Ene 2024]:[Jun 2024]],1),SMALL(acumulado_absoluto[[#This Row],[Ene 2024]:[Jun 2024]],2),SMALL(acumulado_absoluto[[#This Row],[Ene 2024]:[Jun 2024]],3),SMALL(acumulado_absoluto[[#This Row],[Ene 2024]:[Jun 2024]],4)),"#N/A")</f>
        <v>#N/A</v>
      </c>
    </row>
    <row r="59" spans="1:9" hidden="1" x14ac:dyDescent="0.2">
      <c r="A59" s="138" t="s">
        <v>220</v>
      </c>
      <c r="B59" s="137">
        <v>11.100000000000009</v>
      </c>
      <c r="C59" s="137"/>
      <c r="D59" s="137"/>
      <c r="F59"/>
      <c r="G59"/>
      <c r="H59" s="137">
        <f>acum_porc!$H$82- COUNTIF(acumulado_absoluto[[#This Row],[Ene 2024]:[Jun 2024]],"")</f>
        <v>1</v>
      </c>
      <c r="I59" s="137" t="str">
        <f>IF(acumulado_absoluto[[#This Row],[contar]]&gt;=acum_porc!$H$83,SUM(SMALL(acumulado_absoluto[[#This Row],[Ene 2024]:[Jun 2024]],1),SMALL(acumulado_absoluto[[#This Row],[Ene 2024]:[Jun 2024]],2),SMALL(acumulado_absoluto[[#This Row],[Ene 2024]:[Jun 2024]],3),SMALL(acumulado_absoluto[[#This Row],[Ene 2024]:[Jun 2024]],4)),"#N/A")</f>
        <v>#N/A</v>
      </c>
    </row>
    <row r="60" spans="1:9" hidden="1" x14ac:dyDescent="0.2">
      <c r="A60" s="138" t="s">
        <v>410</v>
      </c>
      <c r="B60" s="137">
        <v>17.100000000000009</v>
      </c>
      <c r="C60" s="137"/>
      <c r="D60" s="137"/>
      <c r="F60"/>
      <c r="G60"/>
      <c r="H60" s="137">
        <f>acum_porc!$H$82- COUNTIF(acumulado_absoluto[[#This Row],[Ene 2024]:[Jun 2024]],"")</f>
        <v>1</v>
      </c>
      <c r="I60" s="137" t="str">
        <f>IF(acumulado_absoluto[[#This Row],[contar]]&gt;=acum_porc!$H$83,SUM(SMALL(acumulado_absoluto[[#This Row],[Ene 2024]:[Jun 2024]],1),SMALL(acumulado_absoluto[[#This Row],[Ene 2024]:[Jun 2024]],2),SMALL(acumulado_absoluto[[#This Row],[Ene 2024]:[Jun 2024]],3),SMALL(acumulado_absoluto[[#This Row],[Ene 2024]:[Jun 2024]],4)),"#N/A")</f>
        <v>#N/A</v>
      </c>
    </row>
    <row r="61" spans="1:9" hidden="1" x14ac:dyDescent="0.2">
      <c r="A61" s="138" t="s">
        <v>400</v>
      </c>
      <c r="B61" s="137">
        <v>15.600000000000009</v>
      </c>
      <c r="C61" s="137"/>
      <c r="D61" s="137"/>
      <c r="F61">
        <v>7.3999999999999986</v>
      </c>
      <c r="G61"/>
      <c r="H61" s="137">
        <f>acum_porc!$H$82- COUNTIF(acumulado_absoluto[[#This Row],[Ene 2024]:[Jun 2024]],"")</f>
        <v>2</v>
      </c>
      <c r="I61" s="137" t="str">
        <f>IF(acumulado_absoluto[[#This Row],[contar]]&gt;=acum_porc!$H$83,SUM(SMALL(acumulado_absoluto[[#This Row],[Ene 2024]:[Jun 2024]],1),SMALL(acumulado_absoluto[[#This Row],[Ene 2024]:[Jun 2024]],2),SMALL(acumulado_absoluto[[#This Row],[Ene 2024]:[Jun 2024]],3),SMALL(acumulado_absoluto[[#This Row],[Ene 2024]:[Jun 2024]],4)),"#N/A")</f>
        <v>#N/A</v>
      </c>
    </row>
    <row r="62" spans="1:9" hidden="1" x14ac:dyDescent="0.2">
      <c r="A62" s="138" t="s">
        <v>405</v>
      </c>
      <c r="B62" s="137">
        <v>8.2299999999999898</v>
      </c>
      <c r="C62" s="137"/>
      <c r="D62" s="137"/>
      <c r="F62"/>
      <c r="G62"/>
      <c r="H62" s="137">
        <f>acum_porc!$H$82- COUNTIF(acumulado_absoluto[[#This Row],[Ene 2024]:[Jun 2024]],"")</f>
        <v>1</v>
      </c>
      <c r="I62" s="137" t="str">
        <f>IF(acumulado_absoluto[[#This Row],[contar]]&gt;=acum_porc!$H$83,SUM(SMALL(acumulado_absoluto[[#This Row],[Ene 2024]:[Jun 2024]],1),SMALL(acumulado_absoluto[[#This Row],[Ene 2024]:[Jun 2024]],2),SMALL(acumulado_absoluto[[#This Row],[Ene 2024]:[Jun 2024]],3),SMALL(acumulado_absoluto[[#This Row],[Ene 2024]:[Jun 2024]],4)),"#N/A")</f>
        <v>#N/A</v>
      </c>
    </row>
    <row r="63" spans="1:9" hidden="1" x14ac:dyDescent="0.2">
      <c r="A63" s="138" t="s">
        <v>649</v>
      </c>
      <c r="B63" s="137"/>
      <c r="C63" s="137"/>
      <c r="D63" s="137"/>
      <c r="F63">
        <v>2.9600000000000009</v>
      </c>
      <c r="G63"/>
      <c r="H63" s="137">
        <f>acum_porc!$H$82- COUNTIF(acumulado_absoluto[[#This Row],[Ene 2024]:[Jun 2024]],"")</f>
        <v>1</v>
      </c>
      <c r="I63" s="137" t="str">
        <f>IF(acumulado_absoluto[[#This Row],[contar]]&gt;=acum_porc!$H$83,SUM(SMALL(acumulado_absoluto[[#This Row],[Ene 2024]:[Jun 2024]],1),SMALL(acumulado_absoluto[[#This Row],[Ene 2024]:[Jun 2024]],2),SMALL(acumulado_absoluto[[#This Row],[Ene 2024]:[Jun 2024]],3),SMALL(acumulado_absoluto[[#This Row],[Ene 2024]:[Jun 2024]],4)),"#N/A")</f>
        <v>#N/A</v>
      </c>
    </row>
    <row r="64" spans="1:9" hidden="1" x14ac:dyDescent="0.2">
      <c r="A64" s="138" t="s">
        <v>648</v>
      </c>
      <c r="B64" s="137"/>
      <c r="C64" s="137"/>
      <c r="D64" s="137"/>
      <c r="F64">
        <v>3.1499999999999986</v>
      </c>
      <c r="G64"/>
      <c r="H64" s="137">
        <f>acum_porc!$H$82- COUNTIF(acumulado_absoluto[[#This Row],[Ene 2024]:[Jun 2024]],"")</f>
        <v>1</v>
      </c>
      <c r="I64" s="137" t="str">
        <f>IF(acumulado_absoluto[[#This Row],[contar]]&gt;=acum_porc!$H$83,SUM(SMALL(acumulado_absoluto[[#This Row],[Ene 2024]:[Jun 2024]],1),SMALL(acumulado_absoluto[[#This Row],[Ene 2024]:[Jun 2024]],2),SMALL(acumulado_absoluto[[#This Row],[Ene 2024]:[Jun 2024]],3),SMALL(acumulado_absoluto[[#This Row],[Ene 2024]:[Jun 2024]],4)),"#N/A")</f>
        <v>#N/A</v>
      </c>
    </row>
    <row r="65" spans="1:9" hidden="1" x14ac:dyDescent="0.2">
      <c r="A65" s="138" t="s">
        <v>227</v>
      </c>
      <c r="B65" s="137">
        <v>13.350000000000009</v>
      </c>
      <c r="C65" s="137"/>
      <c r="D65" s="137"/>
      <c r="F65"/>
      <c r="G65"/>
      <c r="H65" s="137">
        <f>acum_porc!$H$82- COUNTIF(acumulado_absoluto[[#This Row],[Ene 2024]:[Jun 2024]],"")</f>
        <v>1</v>
      </c>
      <c r="I65" s="137" t="str">
        <f>IF(acumulado_absoluto[[#This Row],[contar]]&gt;=acum_porc!$H$83,SUM(SMALL(acumulado_absoluto[[#This Row],[Ene 2024]:[Jun 2024]],1),SMALL(acumulado_absoluto[[#This Row],[Ene 2024]:[Jun 2024]],2),SMALL(acumulado_absoluto[[#This Row],[Ene 2024]:[Jun 2024]],3),SMALL(acumulado_absoluto[[#This Row],[Ene 2024]:[Jun 2024]],4)),"#N/A")</f>
        <v>#N/A</v>
      </c>
    </row>
    <row r="66" spans="1:9" hidden="1" x14ac:dyDescent="0.2">
      <c r="A66" s="138" t="s">
        <v>473</v>
      </c>
      <c r="B66" s="137"/>
      <c r="C66" s="137"/>
      <c r="D66" s="137">
        <v>45.019999999999996</v>
      </c>
      <c r="F66"/>
      <c r="G66"/>
      <c r="H66" s="137">
        <f>acum_porc!$H$82- COUNTIF(acumulado_absoluto[[#This Row],[Ene 2024]:[Jun 2024]],"")</f>
        <v>1</v>
      </c>
      <c r="I66" s="137" t="str">
        <f>IF(acumulado_absoluto[[#This Row],[contar]]&gt;=acum_porc!$H$83,SUM(SMALL(acumulado_absoluto[[#This Row],[Ene 2024]:[Jun 2024]],1),SMALL(acumulado_absoluto[[#This Row],[Ene 2024]:[Jun 2024]],2),SMALL(acumulado_absoluto[[#This Row],[Ene 2024]:[Jun 2024]],3),SMALL(acumulado_absoluto[[#This Row],[Ene 2024]:[Jun 2024]],4)),"#N/A")</f>
        <v>#N/A</v>
      </c>
    </row>
    <row r="67" spans="1:9" hidden="1" x14ac:dyDescent="0.2">
      <c r="A67" s="138" t="s">
        <v>802</v>
      </c>
      <c r="B67" s="137"/>
      <c r="C67" s="137"/>
      <c r="D67" s="137"/>
      <c r="F67"/>
      <c r="G67">
        <v>8.2600000000000051</v>
      </c>
      <c r="H67" s="137">
        <f>acum_porc!$H$82- COUNTIF(acumulado_absoluto[[#This Row],[Ene 2024]:[Jun 2024]],"")</f>
        <v>1</v>
      </c>
      <c r="I67" s="137" t="str">
        <f>IF(acumulado_absoluto[[#This Row],[contar]]&gt;=acum_porc!$H$83,SUM(SMALL(acumulado_absoluto[[#This Row],[Ene 2024]:[Jun 2024]],1),SMALL(acumulado_absoluto[[#This Row],[Ene 2024]:[Jun 2024]],2),SMALL(acumulado_absoluto[[#This Row],[Ene 2024]:[Jun 2024]],3),SMALL(acumulado_absoluto[[#This Row],[Ene 2024]:[Jun 2024]],4)),"#N/A")</f>
        <v>#N/A</v>
      </c>
    </row>
    <row r="68" spans="1:9" hidden="1" x14ac:dyDescent="0.2">
      <c r="A68" s="138" t="s">
        <v>809</v>
      </c>
      <c r="B68" s="137"/>
      <c r="C68" s="137"/>
      <c r="D68" s="137"/>
      <c r="F68"/>
      <c r="G68">
        <v>4.1500000000000057</v>
      </c>
      <c r="H68" s="137">
        <f>acum_porc!$H$82- COUNTIF(acumulado_absoluto[[#This Row],[Ene 2024]:[Jun 2024]],"")</f>
        <v>1</v>
      </c>
      <c r="I68" s="137" t="str">
        <f>IF(acumulado_absoluto[[#This Row],[contar]]&gt;=acum_porc!$H$83,SUM(SMALL(acumulado_absoluto[[#This Row],[Ene 2024]:[Jun 2024]],1),SMALL(acumulado_absoluto[[#This Row],[Ene 2024]:[Jun 2024]],2),SMALL(acumulado_absoluto[[#This Row],[Ene 2024]:[Jun 2024]],3),SMALL(acumulado_absoluto[[#This Row],[Ene 2024]:[Jun 2024]],4)),"#N/A")</f>
        <v>#N/A</v>
      </c>
    </row>
    <row r="69" spans="1:9" hidden="1" x14ac:dyDescent="0.2">
      <c r="A69" s="138" t="s">
        <v>808</v>
      </c>
      <c r="B69" s="137"/>
      <c r="C69" s="137"/>
      <c r="D69" s="137"/>
      <c r="F69"/>
      <c r="G69">
        <v>3.2700000000000031</v>
      </c>
      <c r="H69" s="137">
        <f>acum_porc!$H$82- COUNTIF(acumulado_absoluto[[#This Row],[Ene 2024]:[Jun 2024]],"")</f>
        <v>1</v>
      </c>
      <c r="I69" s="137" t="str">
        <f>IF(acumulado_absoluto[[#This Row],[contar]]&gt;=acum_porc!$H$83,SUM(SMALL(acumulado_absoluto[[#This Row],[Ene 2024]:[Jun 2024]],1),SMALL(acumulado_absoluto[[#This Row],[Ene 2024]:[Jun 2024]],2),SMALL(acumulado_absoluto[[#This Row],[Ene 2024]:[Jun 2024]],3),SMALL(acumulado_absoluto[[#This Row],[Ene 2024]:[Jun 2024]],4)),"#N/A")</f>
        <v>#N/A</v>
      </c>
    </row>
    <row r="70" spans="1:9" hidden="1" x14ac:dyDescent="0.2">
      <c r="A70" s="138" t="s">
        <v>416</v>
      </c>
      <c r="B70" s="137"/>
      <c r="C70" s="137">
        <v>47.55</v>
      </c>
      <c r="D70" s="137"/>
      <c r="F70"/>
      <c r="G70"/>
      <c r="H70" s="137">
        <f>acum_porc!$H$82- COUNTIF(acumulado_absoluto[[#This Row],[Ene 2024]:[Jun 2024]],"")</f>
        <v>1</v>
      </c>
      <c r="I70" s="137" t="str">
        <f>IF(acumulado_absoluto[[#This Row],[contar]]&gt;=acum_porc!$H$83,SUM(SMALL(acumulado_absoluto[[#This Row],[Ene 2024]:[Jun 2024]],1),SMALL(acumulado_absoluto[[#This Row],[Ene 2024]:[Jun 2024]],2),SMALL(acumulado_absoluto[[#This Row],[Ene 2024]:[Jun 2024]],3),SMALL(acumulado_absoluto[[#This Row],[Ene 2024]:[Jun 2024]],4)),"#N/A")</f>
        <v>#N/A</v>
      </c>
    </row>
    <row r="71" spans="1:9" hidden="1" x14ac:dyDescent="0.2">
      <c r="A71" s="138" t="s">
        <v>542</v>
      </c>
      <c r="B71" s="137"/>
      <c r="C71" s="137"/>
      <c r="D71" s="137"/>
      <c r="E71" s="4">
        <v>6.24</v>
      </c>
      <c r="F71">
        <v>3.7799999999999976</v>
      </c>
      <c r="G71">
        <v>7.5999999999999943</v>
      </c>
      <c r="H71" s="137">
        <f>acum_porc!$H$82- COUNTIF(acumulado_absoluto[[#This Row],[Ene 2024]:[Jun 2024]],"")</f>
        <v>3</v>
      </c>
      <c r="I71" s="137" t="str">
        <f>IF(acumulado_absoluto[[#This Row],[contar]]&gt;=acum_porc!$H$83,SUM(SMALL(acumulado_absoluto[[#This Row],[Ene 2024]:[Jun 2024]],1),SMALL(acumulado_absoluto[[#This Row],[Ene 2024]:[Jun 2024]],2),SMALL(acumulado_absoluto[[#This Row],[Ene 2024]:[Jun 2024]],3),SMALL(acumulado_absoluto[[#This Row],[Ene 2024]:[Jun 2024]],4)),"#N/A")</f>
        <v>#N/A</v>
      </c>
    </row>
    <row r="72" spans="1:9" hidden="1" x14ac:dyDescent="0.2">
      <c r="A72" s="138" t="s">
        <v>655</v>
      </c>
      <c r="B72" s="137"/>
      <c r="C72" s="137"/>
      <c r="D72" s="137"/>
      <c r="F72">
        <v>11.639999999999997</v>
      </c>
      <c r="G72">
        <v>3.2800000000000011</v>
      </c>
      <c r="H72" s="137">
        <f>acum_porc!$H$82- COUNTIF(acumulado_absoluto[[#This Row],[Ene 2024]:[Jun 2024]],"")</f>
        <v>2</v>
      </c>
      <c r="I72" s="137" t="str">
        <f>IF(acumulado_absoluto[[#This Row],[contar]]&gt;=acum_porc!$H$83,SUM(SMALL(acumulado_absoluto[[#This Row],[Ene 2024]:[Jun 2024]],1),SMALL(acumulado_absoluto[[#This Row],[Ene 2024]:[Jun 2024]],2),SMALL(acumulado_absoluto[[#This Row],[Ene 2024]:[Jun 2024]],3),SMALL(acumulado_absoluto[[#This Row],[Ene 2024]:[Jun 2024]],4)),"#N/A")</f>
        <v>#N/A</v>
      </c>
    </row>
    <row r="73" spans="1:9" hidden="1" x14ac:dyDescent="0.2">
      <c r="A73" s="138" t="s">
        <v>800</v>
      </c>
      <c r="B73" s="137"/>
      <c r="C73" s="137"/>
      <c r="D73" s="137"/>
      <c r="F73"/>
      <c r="G73">
        <v>8.32</v>
      </c>
      <c r="H73" s="137">
        <f>acum_porc!$H$82- COUNTIF(acumulado_absoluto[[#This Row],[Ene 2024]:[Jun 2024]],"")</f>
        <v>1</v>
      </c>
      <c r="I73" s="137" t="str">
        <f>IF(acumulado_absoluto[[#This Row],[contar]]&gt;=acum_porc!$H$83,SUM(SMALL(acumulado_absoluto[[#This Row],[Ene 2024]:[Jun 2024]],1),SMALL(acumulado_absoluto[[#This Row],[Ene 2024]:[Jun 2024]],2),SMALL(acumulado_absoluto[[#This Row],[Ene 2024]:[Jun 2024]],3),SMALL(acumulado_absoluto[[#This Row],[Ene 2024]:[Jun 2024]],4)),"#N/A")</f>
        <v>#N/A</v>
      </c>
    </row>
    <row r="74" spans="1:9" hidden="1" x14ac:dyDescent="0.2">
      <c r="A74" s="138" t="s">
        <v>650</v>
      </c>
      <c r="B74" s="137"/>
      <c r="C74" s="137"/>
      <c r="D74" s="137"/>
      <c r="F74">
        <v>12.279999999999998</v>
      </c>
      <c r="G74"/>
      <c r="H74" s="137">
        <f>acum_porc!$H$82- COUNTIF(acumulado_absoluto[[#This Row],[Ene 2024]:[Jun 2024]],"")</f>
        <v>1</v>
      </c>
      <c r="I74" s="137" t="str">
        <f>IF(acumulado_absoluto[[#This Row],[contar]]&gt;=acum_porc!$H$83,SUM(SMALL(acumulado_absoluto[[#This Row],[Ene 2024]:[Jun 2024]],1),SMALL(acumulado_absoluto[[#This Row],[Ene 2024]:[Jun 2024]],2),SMALL(acumulado_absoluto[[#This Row],[Ene 2024]:[Jun 2024]],3),SMALL(acumulado_absoluto[[#This Row],[Ene 2024]:[Jun 2024]],4)),"#N/A")</f>
        <v>#N/A</v>
      </c>
    </row>
    <row r="75" spans="1:9" hidden="1" x14ac:dyDescent="0.2">
      <c r="A75" s="138" t="s">
        <v>339</v>
      </c>
      <c r="B75" s="137"/>
      <c r="C75" s="137">
        <v>46.2</v>
      </c>
      <c r="D75" s="137"/>
      <c r="F75"/>
      <c r="G75"/>
      <c r="H75" s="137">
        <f>acum_porc!$H$82- COUNTIF(acumulado_absoluto[[#This Row],[Ene 2024]:[Jun 2024]],"")</f>
        <v>1</v>
      </c>
      <c r="I75" s="137" t="str">
        <f>IF(acumulado_absoluto[[#This Row],[contar]]&gt;=acum_porc!$H$83,SUM(SMALL(acumulado_absoluto[[#This Row],[Ene 2024]:[Jun 2024]],1),SMALL(acumulado_absoluto[[#This Row],[Ene 2024]:[Jun 2024]],2),SMALL(acumulado_absoluto[[#This Row],[Ene 2024]:[Jun 2024]],3),SMALL(acumulado_absoluto[[#This Row],[Ene 2024]:[Jun 2024]],4)),"#N/A")</f>
        <v>#N/A</v>
      </c>
    </row>
    <row r="76" spans="1:9" hidden="1" x14ac:dyDescent="0.2">
      <c r="A76" s="138" t="s">
        <v>239</v>
      </c>
      <c r="B76" s="137">
        <v>16</v>
      </c>
      <c r="C76" s="137"/>
      <c r="D76" s="137"/>
      <c r="F76"/>
      <c r="G76"/>
      <c r="H76" s="137">
        <f>acum_porc!$H$82- COUNTIF(acumulado_absoluto[[#This Row],[Ene 2024]:[Jun 2024]],"")</f>
        <v>1</v>
      </c>
      <c r="I76" s="137" t="str">
        <f>IF(acumulado_absoluto[[#This Row],[contar]]&gt;=acum_porc!$H$83,SUM(SMALL(acumulado_absoluto[[#This Row],[Ene 2024]:[Jun 2024]],1),SMALL(acumulado_absoluto[[#This Row],[Ene 2024]:[Jun 2024]],2),SMALL(acumulado_absoluto[[#This Row],[Ene 2024]:[Jun 2024]],3),SMALL(acumulado_absoluto[[#This Row],[Ene 2024]:[Jun 2024]],4)),"#N/A")</f>
        <v>#N/A</v>
      </c>
    </row>
    <row r="77" spans="1:9" hidden="1" x14ac:dyDescent="0.2">
      <c r="A77" s="138" t="s">
        <v>803</v>
      </c>
      <c r="B77" s="137"/>
      <c r="C77" s="137"/>
      <c r="D77" s="137"/>
      <c r="F77"/>
      <c r="G77">
        <v>11.520000000000003</v>
      </c>
      <c r="H77" s="137">
        <f>acum_porc!$H$82- COUNTIF(acumulado_absoluto[[#This Row],[Ene 2024]:[Jun 2024]],"")</f>
        <v>1</v>
      </c>
      <c r="I77" s="137" t="str">
        <f>IF(acumulado_absoluto[[#This Row],[contar]]&gt;=acum_porc!$H$83,SUM(SMALL(acumulado_absoluto[[#This Row],[Ene 2024]:[Jun 2024]],1),SMALL(acumulado_absoluto[[#This Row],[Ene 2024]:[Jun 2024]],2),SMALL(acumulado_absoluto[[#This Row],[Ene 2024]:[Jun 2024]],3),SMALL(acumulado_absoluto[[#This Row],[Ene 2024]:[Jun 2024]],4)),"#N/A")</f>
        <v>#N/A</v>
      </c>
    </row>
    <row r="78" spans="1:9" hidden="1" x14ac:dyDescent="0.2">
      <c r="A78" s="138" t="s">
        <v>544</v>
      </c>
      <c r="B78" s="137"/>
      <c r="C78" s="137"/>
      <c r="D78" s="137"/>
      <c r="E78" s="4">
        <v>9.83</v>
      </c>
      <c r="F78"/>
      <c r="G78"/>
      <c r="H78" s="137">
        <f>acum_porc!$H$82- COUNTIF(acumulado_absoluto[[#This Row],[Ene 2024]:[Jun 2024]],"")</f>
        <v>1</v>
      </c>
      <c r="I78" s="137" t="str">
        <f>IF(acumulado_absoluto[[#This Row],[contar]]&gt;=acum_porc!$H$83,SUM(SMALL(acumulado_absoluto[[#This Row],[Ene 2024]:[Jun 2024]],1),SMALL(acumulado_absoluto[[#This Row],[Ene 2024]:[Jun 2024]],2),SMALL(acumulado_absoluto[[#This Row],[Ene 2024]:[Jun 2024]],3),SMALL(acumulado_absoluto[[#This Row],[Ene 2024]:[Jun 2024]],4)),"#N/A")</f>
        <v>#N/A</v>
      </c>
    </row>
  </sheetData>
  <phoneticPr fontId="9" type="noConversion"/>
  <pageMargins left="0.7" right="0.7" top="0.75" bottom="0.75" header="0.3" footer="0.3"/>
  <drawing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5A0D-F612-4B9D-ADD8-C2D6F0C8B01E}">
  <sheetPr codeName="Hoja14"/>
  <dimension ref="A1:O64"/>
  <sheetViews>
    <sheetView workbookViewId="0">
      <selection activeCell="C12" sqref="C12"/>
    </sheetView>
  </sheetViews>
  <sheetFormatPr baseColWidth="10" defaultRowHeight="12" x14ac:dyDescent="0.2"/>
  <cols>
    <col min="1" max="1" width="27.140625" bestFit="1" customWidth="1"/>
    <col min="2" max="2" width="12" bestFit="1" customWidth="1"/>
    <col min="3" max="3" width="10.42578125" bestFit="1" customWidth="1"/>
    <col min="4" max="4" width="12" bestFit="1" customWidth="1"/>
    <col min="5" max="5" width="12" customWidth="1"/>
    <col min="6" max="6" width="8.5703125" bestFit="1" customWidth="1"/>
    <col min="10" max="10" width="12.85546875" customWidth="1"/>
    <col min="11" max="15" width="14.85546875" customWidth="1"/>
  </cols>
  <sheetData>
    <row r="1" spans="1:15" x14ac:dyDescent="0.2">
      <c r="A1" t="s">
        <v>0</v>
      </c>
      <c r="B1" t="s">
        <v>99</v>
      </c>
      <c r="C1" t="s">
        <v>266</v>
      </c>
      <c r="D1" t="s">
        <v>417</v>
      </c>
      <c r="E1" t="s">
        <v>146</v>
      </c>
      <c r="F1" t="s">
        <v>554</v>
      </c>
    </row>
    <row r="2" spans="1:15" x14ac:dyDescent="0.2">
      <c r="A2" t="s">
        <v>328</v>
      </c>
      <c r="C2">
        <v>0.63000000000000012</v>
      </c>
      <c r="E2">
        <v>1.0190197512801757</v>
      </c>
      <c r="F2">
        <f>COUNTA(acumulado_porcentaje_SIN_MAYO[[#This Row],[Ene 2024]:[Abr 2024]])</f>
        <v>2</v>
      </c>
    </row>
    <row r="3" spans="1:15" x14ac:dyDescent="0.2">
      <c r="A3" t="s">
        <v>226</v>
      </c>
      <c r="B3">
        <v>1.6869095816464237E-2</v>
      </c>
      <c r="C3">
        <v>0.5625</v>
      </c>
      <c r="D3">
        <v>0.22287968441814593</v>
      </c>
      <c r="E3">
        <v>0.64667154352596945</v>
      </c>
      <c r="F3">
        <f>COUNTA(acumulado_porcentaje_SIN_MAYO[[#This Row],[Ene 2024]:[Abr 2024]])</f>
        <v>4</v>
      </c>
    </row>
    <row r="4" spans="1:15" x14ac:dyDescent="0.2">
      <c r="A4" t="s">
        <v>338</v>
      </c>
      <c r="C4">
        <v>1.2309999999999999</v>
      </c>
      <c r="F4">
        <f>COUNTA(acumulado_porcentaje_SIN_MAYO[[#This Row],[Ene 2024]:[Abr 2024]])</f>
        <v>1</v>
      </c>
    </row>
    <row r="5" spans="1:15" x14ac:dyDescent="0.2">
      <c r="A5" t="s">
        <v>221</v>
      </c>
      <c r="B5">
        <v>5.6410256410256508E-2</v>
      </c>
      <c r="C5">
        <v>0.48249999999999993</v>
      </c>
      <c r="D5">
        <v>0.15828402366863892</v>
      </c>
      <c r="E5">
        <v>0.42648134601316751</v>
      </c>
      <c r="F5">
        <f>COUNTA(acumulado_porcentaje_SIN_MAYO[[#This Row],[Ene 2024]:[Abr 2024]])</f>
        <v>4</v>
      </c>
    </row>
    <row r="6" spans="1:15" x14ac:dyDescent="0.2">
      <c r="A6" t="s">
        <v>9</v>
      </c>
      <c r="B6">
        <v>7.9622132253711286E-2</v>
      </c>
      <c r="C6">
        <v>0.7</v>
      </c>
      <c r="D6">
        <v>1.2189349112426033</v>
      </c>
      <c r="E6">
        <v>1.9261155815654718</v>
      </c>
      <c r="F6">
        <f>COUNTA(acumulado_porcentaje_SIN_MAYO[[#This Row],[Ene 2024]:[Abr 2024]])</f>
        <v>4</v>
      </c>
    </row>
    <row r="7" spans="1:15" x14ac:dyDescent="0.2">
      <c r="A7" t="s">
        <v>402</v>
      </c>
      <c r="B7">
        <v>2.6180836707152658E-2</v>
      </c>
      <c r="F7">
        <f>COUNTA(acumulado_porcentaje_SIN_MAYO[[#This Row],[Ene 2024]:[Abr 2024]])</f>
        <v>1</v>
      </c>
    </row>
    <row r="8" spans="1:15" x14ac:dyDescent="0.2">
      <c r="A8" t="s">
        <v>415</v>
      </c>
      <c r="C8">
        <v>0.75249999999999984</v>
      </c>
      <c r="F8">
        <f>COUNTA(acumulado_porcentaje_SIN_MAYO[[#This Row],[Ene 2024]:[Abr 2024]])</f>
        <v>1</v>
      </c>
    </row>
    <row r="9" spans="1:15" x14ac:dyDescent="0.2">
      <c r="A9" t="s">
        <v>413</v>
      </c>
      <c r="C9">
        <v>0.80500000000000005</v>
      </c>
      <c r="F9">
        <f>COUNTA(acumulado_porcentaje_SIN_MAYO[[#This Row],[Ene 2024]:[Abr 2024]])</f>
        <v>1</v>
      </c>
    </row>
    <row r="10" spans="1:15" x14ac:dyDescent="0.2">
      <c r="A10" t="s">
        <v>216</v>
      </c>
      <c r="B10">
        <v>1.4170040485830114E-2</v>
      </c>
      <c r="F10">
        <f>COUNTA(acumulado_porcentaje_SIN_MAYO[[#This Row],[Ene 2024]:[Abr 2024]])</f>
        <v>1</v>
      </c>
    </row>
    <row r="11" spans="1:15" x14ac:dyDescent="0.2">
      <c r="A11" t="s">
        <v>215</v>
      </c>
      <c r="B11">
        <v>4.8582995951417123E-2</v>
      </c>
      <c r="C11">
        <v>0.72375000000000012</v>
      </c>
      <c r="E11">
        <v>2.2553035844915872</v>
      </c>
      <c r="F11">
        <f>COUNTA(acumulado_porcentaje_SIN_MAYO[[#This Row],[Ene 2024]:[Abr 2024]])</f>
        <v>3</v>
      </c>
    </row>
    <row r="12" spans="1:15" x14ac:dyDescent="0.2">
      <c r="A12" t="s">
        <v>475</v>
      </c>
      <c r="D12">
        <v>0.7435897435897435</v>
      </c>
      <c r="F12">
        <f>COUNTA(acumulado_porcentaje_SIN_MAYO[[#This Row],[Ene 2024]:[Abr 2024]])</f>
        <v>1</v>
      </c>
    </row>
    <row r="13" spans="1:15" x14ac:dyDescent="0.2">
      <c r="A13" t="s">
        <v>335</v>
      </c>
      <c r="B13">
        <v>7.0175438596491266E-2</v>
      </c>
      <c r="C13">
        <v>0.7024999999999999</v>
      </c>
      <c r="F13">
        <f>COUNTA(acumulado_porcentaje_SIN_MAYO[[#This Row],[Ene 2024]:[Abr 2024]])</f>
        <v>2</v>
      </c>
    </row>
    <row r="14" spans="1:15" x14ac:dyDescent="0.2">
      <c r="A14" t="s">
        <v>654</v>
      </c>
      <c r="F14">
        <f>COUNTA(acumulado_porcentaje_SIN_MAYO[[#This Row],[Ene 2024]:[Abr 2024]])</f>
        <v>0</v>
      </c>
      <c r="K14" s="55" t="s">
        <v>555</v>
      </c>
    </row>
    <row r="15" spans="1:15" x14ac:dyDescent="0.2">
      <c r="A15" t="s">
        <v>653</v>
      </c>
      <c r="F15">
        <f>COUNTA(acumulado_porcentaje_SIN_MAYO[[#This Row],[Ene 2024]:[Abr 2024]])</f>
        <v>0</v>
      </c>
      <c r="K15">
        <v>1</v>
      </c>
      <c r="L15">
        <v>2</v>
      </c>
      <c r="M15">
        <v>3</v>
      </c>
      <c r="N15">
        <v>4</v>
      </c>
      <c r="O15" t="s">
        <v>557</v>
      </c>
    </row>
    <row r="16" spans="1:15" x14ac:dyDescent="0.2">
      <c r="A16" t="s">
        <v>340</v>
      </c>
      <c r="C16">
        <v>0.53825000000000001</v>
      </c>
      <c r="F16">
        <f>COUNTA(acumulado_porcentaje_SIN_MAYO[[#This Row],[Ene 2024]:[Abr 2024]])</f>
        <v>1</v>
      </c>
      <c r="J16" t="s">
        <v>228</v>
      </c>
      <c r="K16">
        <v>21</v>
      </c>
      <c r="L16">
        <v>11</v>
      </c>
      <c r="M16">
        <v>7</v>
      </c>
      <c r="N16">
        <v>15</v>
      </c>
      <c r="O16">
        <v>54</v>
      </c>
    </row>
    <row r="17" spans="1:15" x14ac:dyDescent="0.2">
      <c r="A17" t="s">
        <v>541</v>
      </c>
      <c r="E17">
        <v>0.26773957571324053</v>
      </c>
      <c r="F17">
        <f>COUNTA(acumulado_porcentaje_SIN_MAYO[[#This Row],[Ene 2024]:[Abr 2024]])</f>
        <v>1</v>
      </c>
    </row>
    <row r="18" spans="1:15" x14ac:dyDescent="0.2">
      <c r="A18" t="s">
        <v>472</v>
      </c>
      <c r="D18">
        <v>0.6060157790927021</v>
      </c>
      <c r="F18">
        <f>COUNTA(acumulado_porcentaje_SIN_MAYO[[#This Row],[Ene 2024]:[Abr 2024]])</f>
        <v>1</v>
      </c>
    </row>
    <row r="19" spans="1:15" x14ac:dyDescent="0.2">
      <c r="A19" t="s">
        <v>225</v>
      </c>
      <c r="B19">
        <v>0.15141700404858299</v>
      </c>
      <c r="C19">
        <v>0.80625000000000002</v>
      </c>
      <c r="D19">
        <v>1.2795857988165678</v>
      </c>
      <c r="E19">
        <v>0.70592538405267014</v>
      </c>
      <c r="F19">
        <f>COUNTA(acumulado_porcentaje_SIN_MAYO[[#This Row],[Ene 2024]:[Abr 2024]])</f>
        <v>4</v>
      </c>
    </row>
    <row r="20" spans="1:15" x14ac:dyDescent="0.2">
      <c r="A20" t="s">
        <v>217</v>
      </c>
      <c r="B20">
        <v>0.19703103913630224</v>
      </c>
      <c r="C20">
        <v>0.74899999999999989</v>
      </c>
      <c r="D20">
        <v>1.2194280078895461</v>
      </c>
      <c r="E20">
        <v>1.4381858083394292</v>
      </c>
      <c r="F20">
        <f>COUNTA(acumulado_porcentaje_SIN_MAYO[[#This Row],[Ene 2024]:[Abr 2024]])</f>
        <v>4</v>
      </c>
    </row>
    <row r="21" spans="1:15" x14ac:dyDescent="0.2">
      <c r="A21" t="s">
        <v>337</v>
      </c>
      <c r="C21">
        <v>0.50150000000000006</v>
      </c>
      <c r="E21">
        <v>1.438917337234821</v>
      </c>
      <c r="F21">
        <f>COUNTA(acumulado_porcentaje_SIN_MAYO[[#This Row],[Ene 2024]:[Abr 2024]])</f>
        <v>2</v>
      </c>
    </row>
    <row r="22" spans="1:15" x14ac:dyDescent="0.2">
      <c r="A22" t="s">
        <v>651</v>
      </c>
      <c r="F22">
        <f>COUNTA(acumulado_porcentaje_SIN_MAYO[[#This Row],[Ene 2024]:[Abr 2024]])</f>
        <v>0</v>
      </c>
    </row>
    <row r="23" spans="1:15" x14ac:dyDescent="0.2">
      <c r="A23" t="s">
        <v>409</v>
      </c>
      <c r="B23">
        <v>0.10242914979757091</v>
      </c>
      <c r="C23">
        <v>0.74050000000000016</v>
      </c>
      <c r="D23">
        <v>1.7460552268244574</v>
      </c>
      <c r="E23">
        <v>1.7468910021945863</v>
      </c>
      <c r="F23">
        <f>COUNTA(acumulado_porcentaje_SIN_MAYO[[#This Row],[Ene 2024]:[Abr 2024]])</f>
        <v>4</v>
      </c>
      <c r="K23" s="97" t="s">
        <v>556</v>
      </c>
      <c r="L23" s="97"/>
      <c r="M23" s="97"/>
      <c r="N23" s="97"/>
    </row>
    <row r="24" spans="1:15" x14ac:dyDescent="0.2">
      <c r="A24" t="s">
        <v>362</v>
      </c>
      <c r="B24">
        <v>2.6990553306343165E-3</v>
      </c>
      <c r="C24">
        <v>0.74624999999999986</v>
      </c>
      <c r="D24">
        <v>0.75542406311637078</v>
      </c>
      <c r="E24">
        <v>0.77029992684711046</v>
      </c>
      <c r="F24">
        <f>COUNTA(acumulado_porcentaje_SIN_MAYO[[#This Row],[Ene 2024]:[Abr 2024]])</f>
        <v>4</v>
      </c>
      <c r="J24" s="4"/>
      <c r="K24" s="4">
        <f>K15</f>
        <v>1</v>
      </c>
      <c r="L24" s="4">
        <f t="shared" ref="L24:M24" si="0">L15</f>
        <v>2</v>
      </c>
      <c r="M24" s="4">
        <f t="shared" si="0"/>
        <v>3</v>
      </c>
      <c r="N24" s="4">
        <f t="shared" ref="N24:O24" si="1">N15</f>
        <v>4</v>
      </c>
      <c r="O24" s="4" t="str">
        <f t="shared" si="1"/>
        <v>Total</v>
      </c>
    </row>
    <row r="25" spans="1:15" x14ac:dyDescent="0.2">
      <c r="A25" t="s">
        <v>652</v>
      </c>
      <c r="F25">
        <f>COUNTA(acumulado_porcentaje_SIN_MAYO[[#This Row],[Ene 2024]:[Abr 2024]])</f>
        <v>0</v>
      </c>
      <c r="J25" s="4" t="s">
        <v>228</v>
      </c>
      <c r="K25" s="58">
        <f>K16</f>
        <v>21</v>
      </c>
      <c r="L25" s="4">
        <f t="shared" ref="L25:M25" si="2">L16</f>
        <v>11</v>
      </c>
      <c r="M25" s="4">
        <f t="shared" si="2"/>
        <v>7</v>
      </c>
      <c r="N25" s="4">
        <f t="shared" ref="N25:O25" si="3">N16</f>
        <v>15</v>
      </c>
      <c r="O25" s="4">
        <f t="shared" si="3"/>
        <v>54</v>
      </c>
    </row>
    <row r="26" spans="1:15" x14ac:dyDescent="0.2">
      <c r="A26" t="s">
        <v>219</v>
      </c>
      <c r="B26">
        <v>0.18866396761133611</v>
      </c>
      <c r="C26">
        <v>0.74224999999999997</v>
      </c>
      <c r="D26">
        <v>0.80769230769230738</v>
      </c>
      <c r="F26">
        <f>COUNTA(acumulado_porcentaje_SIN_MAYO[[#This Row],[Ene 2024]:[Abr 2024]])</f>
        <v>3</v>
      </c>
    </row>
    <row r="27" spans="1:15" x14ac:dyDescent="0.2">
      <c r="A27" t="s">
        <v>223</v>
      </c>
      <c r="B27">
        <v>1.0796221322537075E-2</v>
      </c>
      <c r="F27">
        <f>COUNTA(acumulado_porcentaje_SIN_MAYO[[#This Row],[Ene 2024]:[Abr 2024]])</f>
        <v>1</v>
      </c>
      <c r="N27" s="15" t="s">
        <v>559</v>
      </c>
      <c r="O27" s="56">
        <f>O25-K25</f>
        <v>33</v>
      </c>
    </row>
    <row r="28" spans="1:15" x14ac:dyDescent="0.2">
      <c r="A28" t="s">
        <v>474</v>
      </c>
      <c r="D28">
        <v>5.9171597633134827E-3</v>
      </c>
      <c r="E28">
        <v>0.64594001463057793</v>
      </c>
      <c r="F28">
        <f>COUNTA(acumulado_porcentaje_SIN_MAYO[[#This Row],[Ene 2024]:[Abr 2024]])</f>
        <v>2</v>
      </c>
    </row>
    <row r="29" spans="1:15" x14ac:dyDescent="0.2">
      <c r="A29" t="s">
        <v>242</v>
      </c>
      <c r="B29">
        <v>0.18353576248313083</v>
      </c>
      <c r="E29">
        <v>0.60936356986100948</v>
      </c>
      <c r="F29">
        <f>COUNTA(acumulado_porcentaje_SIN_MAYO[[#This Row],[Ene 2024]:[Abr 2024]])</f>
        <v>2</v>
      </c>
    </row>
    <row r="30" spans="1:15" x14ac:dyDescent="0.2">
      <c r="A30" t="s">
        <v>406</v>
      </c>
      <c r="B30">
        <v>1.2145748987854329E-2</v>
      </c>
      <c r="C30">
        <v>0.625</v>
      </c>
      <c r="D30">
        <v>0.57790927021696248</v>
      </c>
      <c r="E30">
        <v>1.0848573518653988</v>
      </c>
      <c r="F30">
        <f>COUNTA(acumulado_porcentaje_SIN_MAYO[[#This Row],[Ene 2024]:[Abr 2024]])</f>
        <v>4</v>
      </c>
    </row>
    <row r="31" spans="1:15" x14ac:dyDescent="0.2">
      <c r="A31" t="s">
        <v>336</v>
      </c>
      <c r="B31">
        <v>3.2388663967611225E-2</v>
      </c>
      <c r="C31">
        <v>0.73000000000000009</v>
      </c>
      <c r="D31">
        <v>0.16863905325443776</v>
      </c>
      <c r="E31">
        <v>0.49963423555230435</v>
      </c>
      <c r="F31">
        <f>COUNTA(acumulado_porcentaje_SIN_MAYO[[#This Row],[Ene 2024]:[Abr 2024]])</f>
        <v>4</v>
      </c>
    </row>
    <row r="32" spans="1:15" x14ac:dyDescent="0.2">
      <c r="A32" t="s">
        <v>224</v>
      </c>
      <c r="B32">
        <v>0.10175438596491218</v>
      </c>
      <c r="C32">
        <v>0.80899999999999994</v>
      </c>
      <c r="F32">
        <f>COUNTA(acumulado_porcentaje_SIN_MAYO[[#This Row],[Ene 2024]:[Abr 2024]])</f>
        <v>2</v>
      </c>
    </row>
    <row r="33" spans="1:6" x14ac:dyDescent="0.2">
      <c r="A33" t="s">
        <v>411</v>
      </c>
      <c r="B33">
        <v>0.38704453441295561</v>
      </c>
      <c r="E33">
        <v>0.74762253108997812</v>
      </c>
      <c r="F33">
        <f>COUNTA(acumulado_porcentaje_SIN_MAYO[[#This Row],[Ene 2024]:[Abr 2024]])</f>
        <v>2</v>
      </c>
    </row>
    <row r="34" spans="1:6" x14ac:dyDescent="0.2">
      <c r="A34" t="s">
        <v>218</v>
      </c>
      <c r="B34">
        <v>0.15249662618083687</v>
      </c>
      <c r="C34">
        <v>0.61149999999999982</v>
      </c>
      <c r="D34">
        <v>0.30670611439842199</v>
      </c>
      <c r="E34">
        <v>0.89465983906364288</v>
      </c>
      <c r="F34">
        <f>COUNTA(acumulado_porcentaje_SIN_MAYO[[#This Row],[Ene 2024]:[Abr 2024]])</f>
        <v>4</v>
      </c>
    </row>
    <row r="35" spans="1:6" x14ac:dyDescent="0.2">
      <c r="A35" t="s">
        <v>647</v>
      </c>
      <c r="F35">
        <f>COUNTA(acumulado_porcentaje_SIN_MAYO[[#This Row],[Ene 2024]:[Abr 2024]])</f>
        <v>0</v>
      </c>
    </row>
    <row r="36" spans="1:6" x14ac:dyDescent="0.2">
      <c r="A36" t="s">
        <v>222</v>
      </c>
      <c r="B36">
        <v>8.7719298245612885E-3</v>
      </c>
      <c r="C36">
        <v>0.84699999999999986</v>
      </c>
      <c r="D36">
        <v>0.50394477317554232</v>
      </c>
      <c r="E36">
        <v>0.35332845647403072</v>
      </c>
      <c r="F36">
        <f>COUNTA(acumulado_porcentaje_SIN_MAYO[[#This Row],[Ene 2024]:[Abr 2024]])</f>
        <v>4</v>
      </c>
    </row>
    <row r="37" spans="1:6" x14ac:dyDescent="0.2">
      <c r="A37" t="s">
        <v>412</v>
      </c>
      <c r="B37">
        <v>9.4197031039136361E-2</v>
      </c>
      <c r="C37">
        <v>0.99499999999999988</v>
      </c>
      <c r="D37">
        <v>2.0414201183431953</v>
      </c>
      <c r="E37">
        <v>5.5032918800292618</v>
      </c>
      <c r="F37">
        <f>COUNTA(acumulado_porcentaje_SIN_MAYO[[#This Row],[Ene 2024]:[Abr 2024]])</f>
        <v>4</v>
      </c>
    </row>
    <row r="38" spans="1:6" x14ac:dyDescent="0.2">
      <c r="A38" t="s">
        <v>404</v>
      </c>
      <c r="B38">
        <v>2.4291497975709423E-3</v>
      </c>
      <c r="C38">
        <v>0.33849999999999997</v>
      </c>
      <c r="F38">
        <f>COUNTA(acumulado_porcentaje_SIN_MAYO[[#This Row],[Ene 2024]:[Abr 2024]])</f>
        <v>2</v>
      </c>
    </row>
    <row r="39" spans="1:6" x14ac:dyDescent="0.2">
      <c r="A39" t="s">
        <v>401</v>
      </c>
      <c r="B39">
        <v>0.17543859649122809</v>
      </c>
      <c r="C39">
        <v>0.875</v>
      </c>
      <c r="D39">
        <v>1.7120315581854042</v>
      </c>
      <c r="E39">
        <v>2.4711046086320412</v>
      </c>
      <c r="F39">
        <f>COUNTA(acumulado_porcentaje_SIN_MAYO[[#This Row],[Ene 2024]:[Abr 2024]])</f>
        <v>4</v>
      </c>
    </row>
    <row r="40" spans="1:6" x14ac:dyDescent="0.2">
      <c r="A40" t="s">
        <v>220</v>
      </c>
      <c r="B40">
        <v>0.14979757085020257</v>
      </c>
      <c r="F40">
        <f>COUNTA(acumulado_porcentaje_SIN_MAYO[[#This Row],[Ene 2024]:[Abr 2024]])</f>
        <v>1</v>
      </c>
    </row>
    <row r="41" spans="1:6" x14ac:dyDescent="0.2">
      <c r="A41" t="s">
        <v>408</v>
      </c>
      <c r="B41">
        <v>3.8731443994601759E-2</v>
      </c>
      <c r="C41">
        <v>0.8932500000000001</v>
      </c>
      <c r="D41">
        <v>0.64250493096646943</v>
      </c>
      <c r="E41">
        <v>0.77249451353328458</v>
      </c>
      <c r="F41">
        <f>COUNTA(acumulado_porcentaje_SIN_MAYO[[#This Row],[Ene 2024]:[Abr 2024]])</f>
        <v>4</v>
      </c>
    </row>
    <row r="42" spans="1:6" x14ac:dyDescent="0.2">
      <c r="A42" t="s">
        <v>414</v>
      </c>
      <c r="C42">
        <v>0.6087499999999999</v>
      </c>
      <c r="D42">
        <v>0.74211045364891504</v>
      </c>
      <c r="E42">
        <v>0.71982443306510624</v>
      </c>
      <c r="F42">
        <f>COUNTA(acumulado_porcentaje_SIN_MAYO[[#This Row],[Ene 2024]:[Abr 2024]])</f>
        <v>3</v>
      </c>
    </row>
    <row r="43" spans="1:6" x14ac:dyDescent="0.2">
      <c r="A43" t="s">
        <v>403</v>
      </c>
      <c r="B43">
        <v>0.1943319838056681</v>
      </c>
      <c r="E43">
        <v>1.944403803950256</v>
      </c>
      <c r="F43">
        <f>COUNTA(acumulado_porcentaje_SIN_MAYO[[#This Row],[Ene 2024]:[Abr 2024]])</f>
        <v>2</v>
      </c>
    </row>
    <row r="44" spans="1:6" x14ac:dyDescent="0.2">
      <c r="A44" t="s">
        <v>410</v>
      </c>
      <c r="B44">
        <v>0.23076923076923089</v>
      </c>
      <c r="F44">
        <f>COUNTA(acumulado_porcentaje_SIN_MAYO[[#This Row],[Ene 2024]:[Abr 2024]])</f>
        <v>1</v>
      </c>
    </row>
    <row r="45" spans="1:6" x14ac:dyDescent="0.2">
      <c r="A45" t="s">
        <v>400</v>
      </c>
      <c r="B45">
        <v>0.21052631578947381</v>
      </c>
      <c r="F45">
        <f>COUNTA(acumulado_porcentaje_SIN_MAYO[[#This Row],[Ene 2024]:[Abr 2024]])</f>
        <v>1</v>
      </c>
    </row>
    <row r="46" spans="1:6" x14ac:dyDescent="0.2">
      <c r="A46" t="s">
        <v>405</v>
      </c>
      <c r="B46">
        <v>0.11106612685560041</v>
      </c>
      <c r="F46">
        <f>COUNTA(acumulado_porcentaje_SIN_MAYO[[#This Row],[Ene 2024]:[Abr 2024]])</f>
        <v>1</v>
      </c>
    </row>
    <row r="47" spans="1:6" x14ac:dyDescent="0.2">
      <c r="A47" t="s">
        <v>364</v>
      </c>
      <c r="C47">
        <v>0.77525000000000011</v>
      </c>
      <c r="D47">
        <v>1.3505917159763312</v>
      </c>
      <c r="E47">
        <v>0.80760790051207032</v>
      </c>
      <c r="F47">
        <f>COUNTA(acumulado_porcentaje_SIN_MAYO[[#This Row],[Ene 2024]:[Abr 2024]])</f>
        <v>3</v>
      </c>
    </row>
    <row r="48" spans="1:6" x14ac:dyDescent="0.2">
      <c r="A48" t="s">
        <v>649</v>
      </c>
      <c r="F48">
        <f>COUNTA(acumulado_porcentaje_SIN_MAYO[[#This Row],[Ene 2024]:[Abr 2024]])</f>
        <v>0</v>
      </c>
    </row>
    <row r="49" spans="1:6" x14ac:dyDescent="0.2">
      <c r="A49" t="s">
        <v>648</v>
      </c>
      <c r="F49">
        <f>COUNTA(acumulado_porcentaje_SIN_MAYO[[#This Row],[Ene 2024]:[Abr 2024]])</f>
        <v>0</v>
      </c>
    </row>
    <row r="50" spans="1:6" x14ac:dyDescent="0.2">
      <c r="A50" t="s">
        <v>227</v>
      </c>
      <c r="B50">
        <v>0.18016194331983817</v>
      </c>
      <c r="F50">
        <f>COUNTA(acumulado_porcentaje_SIN_MAYO[[#This Row],[Ene 2024]:[Abr 2024]])</f>
        <v>1</v>
      </c>
    </row>
    <row r="51" spans="1:6" x14ac:dyDescent="0.2">
      <c r="A51" t="s">
        <v>292</v>
      </c>
      <c r="C51">
        <v>0.50250000000000006</v>
      </c>
      <c r="D51">
        <v>0.44970414201183417</v>
      </c>
      <c r="E51">
        <v>0.7483540599853693</v>
      </c>
      <c r="F51">
        <f>COUNTA(acumulado_porcentaje_SIN_MAYO[[#This Row],[Ene 2024]:[Abr 2024]])</f>
        <v>3</v>
      </c>
    </row>
    <row r="52" spans="1:6" x14ac:dyDescent="0.2">
      <c r="A52" t="s">
        <v>473</v>
      </c>
      <c r="D52">
        <v>2.2199211045364886</v>
      </c>
      <c r="F52">
        <f>COUNTA(acumulado_porcentaje_SIN_MAYO[[#This Row],[Ene 2024]:[Abr 2024]])</f>
        <v>1</v>
      </c>
    </row>
    <row r="53" spans="1:6" x14ac:dyDescent="0.2">
      <c r="A53" t="s">
        <v>381</v>
      </c>
      <c r="B53">
        <v>3.2388663967611413E-2</v>
      </c>
      <c r="C53">
        <v>0.50050000000000006</v>
      </c>
      <c r="F53">
        <f>COUNTA(acumulado_porcentaje_SIN_MAYO[[#This Row],[Ene 2024]:[Abr 2024]])</f>
        <v>2</v>
      </c>
    </row>
    <row r="54" spans="1:6" x14ac:dyDescent="0.2">
      <c r="A54" t="s">
        <v>416</v>
      </c>
      <c r="C54">
        <v>1.18875</v>
      </c>
      <c r="F54">
        <f>COUNTA(acumulado_porcentaje_SIN_MAYO[[#This Row],[Ene 2024]:[Abr 2024]])</f>
        <v>1</v>
      </c>
    </row>
    <row r="55" spans="1:6" x14ac:dyDescent="0.2">
      <c r="A55" t="s">
        <v>543</v>
      </c>
      <c r="C55">
        <v>0.68</v>
      </c>
      <c r="D55">
        <v>0.34319526627218921</v>
      </c>
      <c r="E55">
        <v>0.39502560351133875</v>
      </c>
      <c r="F55">
        <f>COUNTA(acumulado_porcentaje_SIN_MAYO[[#This Row],[Ene 2024]:[Abr 2024]])</f>
        <v>3</v>
      </c>
    </row>
    <row r="56" spans="1:6" x14ac:dyDescent="0.2">
      <c r="A56" t="s">
        <v>363</v>
      </c>
      <c r="B56">
        <v>4.4534412955465549E-2</v>
      </c>
      <c r="C56">
        <v>0.63500000000000012</v>
      </c>
      <c r="D56">
        <v>0.46942800788954631</v>
      </c>
      <c r="E56">
        <v>0.66788588149231898</v>
      </c>
      <c r="F56">
        <f>COUNTA(acumulado_porcentaje_SIN_MAYO[[#This Row],[Ene 2024]:[Abr 2024]])</f>
        <v>4</v>
      </c>
    </row>
    <row r="57" spans="1:6" x14ac:dyDescent="0.2">
      <c r="A57" t="s">
        <v>542</v>
      </c>
      <c r="E57">
        <v>0.45647403072421361</v>
      </c>
      <c r="F57">
        <f>COUNTA(acumulado_porcentaje_SIN_MAYO[[#This Row],[Ene 2024]:[Abr 2024]])</f>
        <v>1</v>
      </c>
    </row>
    <row r="58" spans="1:6" x14ac:dyDescent="0.2">
      <c r="A58" t="s">
        <v>655</v>
      </c>
      <c r="F58">
        <f>COUNTA(acumulado_porcentaje_SIN_MAYO[[#This Row],[Ene 2024]:[Abr 2024]])</f>
        <v>0</v>
      </c>
    </row>
    <row r="59" spans="1:6" x14ac:dyDescent="0.2">
      <c r="A59" t="s">
        <v>399</v>
      </c>
      <c r="B59">
        <v>6.2078272604589469E-3</v>
      </c>
      <c r="C59">
        <v>0.64649999999999996</v>
      </c>
      <c r="F59">
        <f>COUNTA(acumulado_porcentaje_SIN_MAYO[[#This Row],[Ene 2024]:[Abr 2024]])</f>
        <v>2</v>
      </c>
    </row>
    <row r="60" spans="1:6" x14ac:dyDescent="0.2">
      <c r="A60" t="s">
        <v>650</v>
      </c>
      <c r="F60">
        <f>COUNTA(acumulado_porcentaje_SIN_MAYO[[#This Row],[Ene 2024]:[Abr 2024]])</f>
        <v>0</v>
      </c>
    </row>
    <row r="61" spans="1:6" x14ac:dyDescent="0.2">
      <c r="A61" t="s">
        <v>339</v>
      </c>
      <c r="C61">
        <v>1.155</v>
      </c>
      <c r="F61">
        <f>COUNTA(acumulado_porcentaje_SIN_MAYO[[#This Row],[Ene 2024]:[Abr 2024]])</f>
        <v>1</v>
      </c>
    </row>
    <row r="62" spans="1:6" x14ac:dyDescent="0.2">
      <c r="A62" t="s">
        <v>407</v>
      </c>
      <c r="B62">
        <v>2.091767881241581E-2</v>
      </c>
      <c r="C62">
        <v>0.75549999999999995</v>
      </c>
      <c r="D62">
        <v>1.3530571992110452</v>
      </c>
      <c r="F62">
        <f>COUNTA(acumulado_porcentaje_SIN_MAYO[[#This Row],[Ene 2024]:[Abr 2024]])</f>
        <v>3</v>
      </c>
    </row>
    <row r="63" spans="1:6" x14ac:dyDescent="0.2">
      <c r="A63" t="s">
        <v>239</v>
      </c>
      <c r="B63">
        <v>0.21592442645074225</v>
      </c>
      <c r="F63">
        <f>COUNTA(acumulado_porcentaje_SIN_MAYO[[#This Row],[Ene 2024]:[Abr 2024]])</f>
        <v>1</v>
      </c>
    </row>
    <row r="64" spans="1:6" x14ac:dyDescent="0.2">
      <c r="A64" t="s">
        <v>544</v>
      </c>
      <c r="E64">
        <v>0.71909290416971472</v>
      </c>
      <c r="F64">
        <f>COUNTA(acumulado_porcentaje_SIN_MAYO[[#This Row],[Ene 2024]:[Abr 2024]])</f>
        <v>1</v>
      </c>
    </row>
  </sheetData>
  <mergeCells count="1">
    <mergeCell ref="K23:N23"/>
  </mergeCells>
  <phoneticPr fontId="9" type="noConversion"/>
  <pageMargins left="0.7" right="0.7" top="0.75" bottom="0.75" header="0.3" footer="0.3"/>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E03D89-2D1D-4DD7-92BF-4D830719AE1F}">
  <sheetPr codeName="Hoja11"/>
  <dimension ref="A1:C81"/>
  <sheetViews>
    <sheetView topLeftCell="A16" zoomScaleNormal="100" workbookViewId="0">
      <selection activeCell="A77" sqref="A77:C77"/>
    </sheetView>
  </sheetViews>
  <sheetFormatPr baseColWidth="10" defaultRowHeight="12" x14ac:dyDescent="0.2"/>
  <cols>
    <col min="1" max="1" width="12.42578125" bestFit="1" customWidth="1"/>
    <col min="2" max="2" width="23.5703125" bestFit="1" customWidth="1"/>
    <col min="3" max="3" width="20.85546875" bestFit="1" customWidth="1"/>
  </cols>
  <sheetData>
    <row r="1" spans="1:3" x14ac:dyDescent="0.2">
      <c r="A1" t="s">
        <v>233</v>
      </c>
      <c r="B1" t="s">
        <v>485</v>
      </c>
      <c r="C1" t="s">
        <v>21</v>
      </c>
    </row>
    <row r="2" spans="1:3" x14ac:dyDescent="0.2">
      <c r="A2" s="138" t="s">
        <v>383</v>
      </c>
      <c r="B2" s="138" t="s">
        <v>326</v>
      </c>
      <c r="C2" s="138" t="s">
        <v>328</v>
      </c>
    </row>
    <row r="3" spans="1:3" x14ac:dyDescent="0.2">
      <c r="A3" s="138" t="s">
        <v>301</v>
      </c>
      <c r="B3" s="138" t="s">
        <v>302</v>
      </c>
      <c r="C3" s="138" t="s">
        <v>301</v>
      </c>
    </row>
    <row r="4" spans="1:3" x14ac:dyDescent="0.2">
      <c r="A4" s="138" t="s">
        <v>301</v>
      </c>
      <c r="B4" s="138" t="s">
        <v>763</v>
      </c>
      <c r="C4" s="138" t="s">
        <v>203</v>
      </c>
    </row>
    <row r="5" spans="1:3" x14ac:dyDescent="0.2">
      <c r="A5" s="138" t="s">
        <v>200</v>
      </c>
      <c r="B5" s="138" t="s">
        <v>201</v>
      </c>
      <c r="C5" s="138" t="s">
        <v>593</v>
      </c>
    </row>
    <row r="6" spans="1:3" x14ac:dyDescent="0.2">
      <c r="A6" s="138" t="s">
        <v>124</v>
      </c>
      <c r="B6" s="138" t="s">
        <v>166</v>
      </c>
      <c r="C6" s="138" t="s">
        <v>124</v>
      </c>
    </row>
    <row r="7" spans="1:3" x14ac:dyDescent="0.2">
      <c r="A7" s="138" t="s">
        <v>124</v>
      </c>
      <c r="B7" s="138" t="s">
        <v>125</v>
      </c>
      <c r="C7" s="138" t="s">
        <v>124</v>
      </c>
    </row>
    <row r="8" spans="1:3" x14ac:dyDescent="0.2">
      <c r="A8" s="138" t="s">
        <v>392</v>
      </c>
      <c r="B8" s="138" t="s">
        <v>393</v>
      </c>
      <c r="C8" s="138" t="s">
        <v>181</v>
      </c>
    </row>
    <row r="9" spans="1:3" x14ac:dyDescent="0.2">
      <c r="A9" s="138" t="s">
        <v>290</v>
      </c>
      <c r="B9" s="138" t="s">
        <v>387</v>
      </c>
      <c r="C9" s="138" t="s">
        <v>290</v>
      </c>
    </row>
    <row r="10" spans="1:3" x14ac:dyDescent="0.2">
      <c r="A10" s="138" t="s">
        <v>384</v>
      </c>
      <c r="B10" s="138" t="s">
        <v>315</v>
      </c>
      <c r="C10" s="138" t="s">
        <v>317</v>
      </c>
    </row>
    <row r="11" spans="1:3" x14ac:dyDescent="0.2">
      <c r="A11" s="138" t="s">
        <v>107</v>
      </c>
      <c r="B11" s="138" t="s">
        <v>108</v>
      </c>
      <c r="C11" s="138" t="s">
        <v>111</v>
      </c>
    </row>
    <row r="12" spans="1:3" x14ac:dyDescent="0.2">
      <c r="A12" s="138" t="s">
        <v>103</v>
      </c>
      <c r="B12" s="138" t="s">
        <v>104</v>
      </c>
      <c r="C12" s="138" t="s">
        <v>103</v>
      </c>
    </row>
    <row r="13" spans="1:3" x14ac:dyDescent="0.2">
      <c r="A13" s="138" t="s">
        <v>160</v>
      </c>
      <c r="B13" s="138" t="s">
        <v>332</v>
      </c>
      <c r="C13" s="138" t="s">
        <v>774</v>
      </c>
    </row>
    <row r="14" spans="1:3" x14ac:dyDescent="0.2">
      <c r="A14" s="138" t="s">
        <v>160</v>
      </c>
      <c r="B14" s="138" t="s">
        <v>637</v>
      </c>
      <c r="C14" s="138" t="s">
        <v>639</v>
      </c>
    </row>
    <row r="15" spans="1:3" x14ac:dyDescent="0.2">
      <c r="A15" s="138" t="s">
        <v>160</v>
      </c>
      <c r="B15" s="138" t="s">
        <v>632</v>
      </c>
      <c r="C15" s="138" t="s">
        <v>635</v>
      </c>
    </row>
    <row r="16" spans="1:3" x14ac:dyDescent="0.2">
      <c r="A16" s="138" t="s">
        <v>160</v>
      </c>
      <c r="B16" s="138" t="s">
        <v>260</v>
      </c>
      <c r="C16" s="138" t="s">
        <v>263</v>
      </c>
    </row>
    <row r="17" spans="1:3" x14ac:dyDescent="0.2">
      <c r="A17" s="138" t="s">
        <v>160</v>
      </c>
      <c r="B17" s="138" t="s">
        <v>447</v>
      </c>
      <c r="C17" s="138" t="s">
        <v>449</v>
      </c>
    </row>
    <row r="18" spans="1:3" x14ac:dyDescent="0.2">
      <c r="A18" s="138" t="s">
        <v>264</v>
      </c>
      <c r="B18" s="138" t="s">
        <v>265</v>
      </c>
      <c r="C18" s="138" t="s">
        <v>264</v>
      </c>
    </row>
    <row r="19" spans="1:3" x14ac:dyDescent="0.2">
      <c r="A19" s="138" t="s">
        <v>525</v>
      </c>
      <c r="B19" s="138" t="s">
        <v>526</v>
      </c>
      <c r="C19" s="138" t="s">
        <v>525</v>
      </c>
    </row>
    <row r="20" spans="1:3" x14ac:dyDescent="0.2">
      <c r="A20" s="138" t="s">
        <v>525</v>
      </c>
      <c r="B20" s="138" t="s">
        <v>706</v>
      </c>
      <c r="C20" s="138" t="s">
        <v>708</v>
      </c>
    </row>
    <row r="21" spans="1:3" x14ac:dyDescent="0.2">
      <c r="A21" s="138" t="s">
        <v>424</v>
      </c>
      <c r="B21" s="138" t="s">
        <v>424</v>
      </c>
      <c r="C21" s="138" t="s">
        <v>424</v>
      </c>
    </row>
    <row r="22" spans="1:3" x14ac:dyDescent="0.2">
      <c r="A22" s="138" t="s">
        <v>195</v>
      </c>
      <c r="B22" s="138" t="s">
        <v>196</v>
      </c>
      <c r="C22" s="138" t="s">
        <v>199</v>
      </c>
    </row>
    <row r="23" spans="1:3" x14ac:dyDescent="0.2">
      <c r="A23" s="138" t="s">
        <v>120</v>
      </c>
      <c r="B23" s="138" t="s">
        <v>121</v>
      </c>
      <c r="C23" s="138" t="s">
        <v>123</v>
      </c>
    </row>
    <row r="24" spans="1:3" x14ac:dyDescent="0.2">
      <c r="A24" s="138" t="s">
        <v>305</v>
      </c>
      <c r="B24" s="138" t="s">
        <v>306</v>
      </c>
      <c r="C24" s="138" t="s">
        <v>309</v>
      </c>
    </row>
    <row r="25" spans="1:3" x14ac:dyDescent="0.2">
      <c r="A25" s="138" t="s">
        <v>764</v>
      </c>
      <c r="B25" s="138" t="s">
        <v>624</v>
      </c>
      <c r="C25" s="138" t="s">
        <v>764</v>
      </c>
    </row>
    <row r="26" spans="1:3" x14ac:dyDescent="0.2">
      <c r="A26" s="138" t="s">
        <v>130</v>
      </c>
      <c r="B26" s="138" t="s">
        <v>86</v>
      </c>
      <c r="C26" s="138" t="s">
        <v>462</v>
      </c>
    </row>
    <row r="27" spans="1:3" x14ac:dyDescent="0.2">
      <c r="A27" s="138" t="s">
        <v>666</v>
      </c>
      <c r="B27" s="138" t="s">
        <v>667</v>
      </c>
      <c r="C27" s="138" t="s">
        <v>666</v>
      </c>
    </row>
    <row r="28" spans="1:3" x14ac:dyDescent="0.2">
      <c r="A28" s="138" t="s">
        <v>833</v>
      </c>
      <c r="B28" s="138" t="s">
        <v>834</v>
      </c>
      <c r="C28" s="138" t="s">
        <v>833</v>
      </c>
    </row>
    <row r="29" spans="1:3" x14ac:dyDescent="0.2">
      <c r="A29" s="138" t="s">
        <v>732</v>
      </c>
      <c r="B29" s="138" t="s">
        <v>733</v>
      </c>
      <c r="C29" s="138" t="s">
        <v>735</v>
      </c>
    </row>
    <row r="30" spans="1:3" x14ac:dyDescent="0.2">
      <c r="A30" s="138" t="s">
        <v>342</v>
      </c>
      <c r="B30" s="138" t="s">
        <v>211</v>
      </c>
      <c r="C30" s="138" t="s">
        <v>213</v>
      </c>
    </row>
    <row r="31" spans="1:3" x14ac:dyDescent="0.2">
      <c r="A31" s="138" t="s">
        <v>627</v>
      </c>
      <c r="B31" s="138" t="s">
        <v>628</v>
      </c>
      <c r="C31" s="138" t="s">
        <v>776</v>
      </c>
    </row>
    <row r="32" spans="1:3" x14ac:dyDescent="0.2">
      <c r="A32" s="138" t="s">
        <v>138</v>
      </c>
      <c r="B32" s="138" t="s">
        <v>139</v>
      </c>
      <c r="C32" s="138" t="s">
        <v>142</v>
      </c>
    </row>
    <row r="33" spans="1:3" x14ac:dyDescent="0.2">
      <c r="A33" s="138" t="s">
        <v>28</v>
      </c>
      <c r="B33" s="138" t="s">
        <v>390</v>
      </c>
      <c r="C33" s="138" t="s">
        <v>242</v>
      </c>
    </row>
    <row r="34" spans="1:3" x14ac:dyDescent="0.2">
      <c r="A34" s="138" t="s">
        <v>28</v>
      </c>
      <c r="B34" s="138" t="s">
        <v>767</v>
      </c>
      <c r="C34" s="138" t="s">
        <v>769</v>
      </c>
    </row>
    <row r="35" spans="1:3" x14ac:dyDescent="0.2">
      <c r="A35" s="138" t="s">
        <v>28</v>
      </c>
      <c r="B35" s="138" t="s">
        <v>441</v>
      </c>
      <c r="C35" s="138" t="s">
        <v>535</v>
      </c>
    </row>
    <row r="36" spans="1:3" x14ac:dyDescent="0.2">
      <c r="A36" s="138" t="s">
        <v>28</v>
      </c>
      <c r="B36" s="138" t="s">
        <v>323</v>
      </c>
      <c r="C36" s="138" t="s">
        <v>2</v>
      </c>
    </row>
    <row r="37" spans="1:3" x14ac:dyDescent="0.2">
      <c r="A37" s="138" t="s">
        <v>28</v>
      </c>
      <c r="B37" s="138" t="s">
        <v>701</v>
      </c>
      <c r="C37" s="138" t="s">
        <v>704</v>
      </c>
    </row>
    <row r="38" spans="1:3" x14ac:dyDescent="0.2">
      <c r="A38" s="138" t="s">
        <v>28</v>
      </c>
      <c r="B38" s="138" t="s">
        <v>185</v>
      </c>
      <c r="C38" s="138" t="s">
        <v>187</v>
      </c>
    </row>
    <row r="39" spans="1:3" x14ac:dyDescent="0.2">
      <c r="A39" s="138" t="s">
        <v>28</v>
      </c>
      <c r="B39" s="138" t="s">
        <v>29</v>
      </c>
      <c r="C39" s="138" t="s">
        <v>271</v>
      </c>
    </row>
    <row r="40" spans="1:3" x14ac:dyDescent="0.2">
      <c r="A40" s="138" t="s">
        <v>188</v>
      </c>
      <c r="B40" s="138" t="s">
        <v>189</v>
      </c>
      <c r="C40" s="138" t="s">
        <v>188</v>
      </c>
    </row>
    <row r="41" spans="1:3" x14ac:dyDescent="0.2">
      <c r="A41" s="138" t="s">
        <v>188</v>
      </c>
      <c r="B41" s="138" t="s">
        <v>752</v>
      </c>
      <c r="C41" s="138" t="s">
        <v>755</v>
      </c>
    </row>
    <row r="42" spans="1:3" x14ac:dyDescent="0.2">
      <c r="A42" s="138" t="s">
        <v>112</v>
      </c>
      <c r="B42" s="138" t="s">
        <v>395</v>
      </c>
      <c r="C42" s="138" t="s">
        <v>713</v>
      </c>
    </row>
    <row r="43" spans="1:3" x14ac:dyDescent="0.2">
      <c r="A43" s="138" t="s">
        <v>282</v>
      </c>
      <c r="B43" s="138" t="s">
        <v>719</v>
      </c>
      <c r="C43" s="138" t="s">
        <v>722</v>
      </c>
    </row>
    <row r="44" spans="1:3" x14ac:dyDescent="0.2">
      <c r="A44" s="138" t="s">
        <v>282</v>
      </c>
      <c r="B44" s="138" t="s">
        <v>835</v>
      </c>
      <c r="C44" s="138" t="s">
        <v>824</v>
      </c>
    </row>
    <row r="45" spans="1:3" x14ac:dyDescent="0.2">
      <c r="A45" s="138" t="s">
        <v>131</v>
      </c>
      <c r="B45" s="138" t="s">
        <v>132</v>
      </c>
      <c r="C45" s="138" t="s">
        <v>464</v>
      </c>
    </row>
    <row r="46" spans="1:3" x14ac:dyDescent="0.2">
      <c r="A46" s="138" t="s">
        <v>577</v>
      </c>
      <c r="B46" s="138" t="s">
        <v>578</v>
      </c>
      <c r="C46" s="138" t="s">
        <v>581</v>
      </c>
    </row>
    <row r="47" spans="1:3" x14ac:dyDescent="0.2">
      <c r="A47" s="138" t="s">
        <v>175</v>
      </c>
      <c r="B47" s="138" t="s">
        <v>23</v>
      </c>
      <c r="C47" s="138" t="s">
        <v>178</v>
      </c>
    </row>
    <row r="48" spans="1:3" x14ac:dyDescent="0.2">
      <c r="A48" s="138" t="s">
        <v>385</v>
      </c>
      <c r="B48" s="138" t="s">
        <v>379</v>
      </c>
      <c r="C48" s="138" t="s">
        <v>761</v>
      </c>
    </row>
    <row r="49" spans="1:3" x14ac:dyDescent="0.2">
      <c r="A49" s="138" t="s">
        <v>145</v>
      </c>
      <c r="B49" s="138" t="s">
        <v>380</v>
      </c>
      <c r="C49" s="138" t="s">
        <v>821</v>
      </c>
    </row>
    <row r="50" spans="1:3" x14ac:dyDescent="0.2">
      <c r="A50" s="138" t="s">
        <v>382</v>
      </c>
      <c r="B50" s="138" t="s">
        <v>182</v>
      </c>
      <c r="C50" s="138" t="s">
        <v>331</v>
      </c>
    </row>
    <row r="51" spans="1:3" x14ac:dyDescent="0.2">
      <c r="A51" s="138" t="s">
        <v>8</v>
      </c>
      <c r="B51" s="138" t="s">
        <v>152</v>
      </c>
      <c r="C51" s="138" t="s">
        <v>8</v>
      </c>
    </row>
    <row r="52" spans="1:3" x14ac:dyDescent="0.2">
      <c r="A52" s="138" t="s">
        <v>135</v>
      </c>
      <c r="B52" s="138" t="s">
        <v>389</v>
      </c>
      <c r="C52" s="138" t="s">
        <v>456</v>
      </c>
    </row>
    <row r="53" spans="1:3" x14ac:dyDescent="0.2">
      <c r="A53" s="138" t="s">
        <v>67</v>
      </c>
      <c r="B53" s="138" t="s">
        <v>68</v>
      </c>
      <c r="C53" s="138" t="s">
        <v>67</v>
      </c>
    </row>
    <row r="54" spans="1:3" x14ac:dyDescent="0.2">
      <c r="A54" s="138" t="s">
        <v>298</v>
      </c>
      <c r="B54" s="138" t="s">
        <v>386</v>
      </c>
      <c r="C54" s="138" t="s">
        <v>300</v>
      </c>
    </row>
    <row r="55" spans="1:3" x14ac:dyDescent="0.2">
      <c r="A55" s="138" t="s">
        <v>115</v>
      </c>
      <c r="B55" s="138" t="s">
        <v>394</v>
      </c>
      <c r="C55" s="138" t="s">
        <v>117</v>
      </c>
    </row>
    <row r="56" spans="1:3" x14ac:dyDescent="0.2">
      <c r="A56" s="138" t="s">
        <v>115</v>
      </c>
      <c r="B56" s="138" t="s">
        <v>391</v>
      </c>
      <c r="C56" s="138" t="s">
        <v>194</v>
      </c>
    </row>
    <row r="57" spans="1:3" x14ac:dyDescent="0.2">
      <c r="A57" s="138" t="s">
        <v>46</v>
      </c>
      <c r="B57" s="138" t="s">
        <v>47</v>
      </c>
      <c r="C57" s="138" t="s">
        <v>159</v>
      </c>
    </row>
    <row r="58" spans="1:3" x14ac:dyDescent="0.2">
      <c r="A58" s="138" t="s">
        <v>357</v>
      </c>
      <c r="B58" s="138" t="s">
        <v>358</v>
      </c>
      <c r="C58" s="138" t="s">
        <v>357</v>
      </c>
    </row>
    <row r="59" spans="1:3" x14ac:dyDescent="0.2">
      <c r="A59" s="138" t="s">
        <v>607</v>
      </c>
      <c r="B59" s="138" t="s">
        <v>608</v>
      </c>
      <c r="C59" s="138" t="s">
        <v>610</v>
      </c>
    </row>
    <row r="60" spans="1:3" x14ac:dyDescent="0.2">
      <c r="A60" s="138" t="s">
        <v>601</v>
      </c>
      <c r="B60" s="138" t="s">
        <v>602</v>
      </c>
      <c r="C60" s="138" t="s">
        <v>601</v>
      </c>
    </row>
    <row r="61" spans="1:3" x14ac:dyDescent="0.2">
      <c r="A61" s="138" t="s">
        <v>207</v>
      </c>
      <c r="B61" s="138" t="s">
        <v>208</v>
      </c>
      <c r="C61" s="138" t="s">
        <v>207</v>
      </c>
    </row>
    <row r="62" spans="1:3" x14ac:dyDescent="0.2">
      <c r="A62" s="138" t="s">
        <v>531</v>
      </c>
      <c r="B62" s="138" t="s">
        <v>293</v>
      </c>
      <c r="C62" s="138" t="s">
        <v>531</v>
      </c>
    </row>
    <row r="63" spans="1:3" x14ac:dyDescent="0.2">
      <c r="A63" s="138" t="s">
        <v>435</v>
      </c>
      <c r="B63" s="138" t="s">
        <v>436</v>
      </c>
      <c r="C63" s="138" t="s">
        <v>435</v>
      </c>
    </row>
    <row r="64" spans="1:3" x14ac:dyDescent="0.2">
      <c r="A64" s="138" t="s">
        <v>33</v>
      </c>
      <c r="B64" s="138" t="s">
        <v>740</v>
      </c>
      <c r="C64" s="138" t="s">
        <v>743</v>
      </c>
    </row>
    <row r="65" spans="1:3" x14ac:dyDescent="0.2">
      <c r="A65" s="138" t="s">
        <v>789</v>
      </c>
      <c r="B65" s="138" t="s">
        <v>790</v>
      </c>
      <c r="C65" s="138" t="s">
        <v>792</v>
      </c>
    </row>
    <row r="66" spans="1:3" x14ac:dyDescent="0.2">
      <c r="A66" s="138" t="s">
        <v>784</v>
      </c>
      <c r="B66" s="138" t="s">
        <v>785</v>
      </c>
      <c r="C66" s="138" t="s">
        <v>788</v>
      </c>
    </row>
    <row r="67" spans="1:3" x14ac:dyDescent="0.2">
      <c r="A67" s="138" t="s">
        <v>204</v>
      </c>
      <c r="B67" s="138" t="s">
        <v>515</v>
      </c>
      <c r="C67" s="138" t="s">
        <v>351</v>
      </c>
    </row>
    <row r="68" spans="1:3" x14ac:dyDescent="0.2">
      <c r="A68" s="138" t="s">
        <v>204</v>
      </c>
      <c r="B68" s="138" t="s">
        <v>286</v>
      </c>
      <c r="C68" s="138" t="s">
        <v>289</v>
      </c>
    </row>
    <row r="69" spans="1:3" x14ac:dyDescent="0.2">
      <c r="A69" s="138" t="s">
        <v>204</v>
      </c>
      <c r="B69" s="138" t="s">
        <v>378</v>
      </c>
      <c r="C69" s="138" t="s">
        <v>37</v>
      </c>
    </row>
    <row r="70" spans="1:3" x14ac:dyDescent="0.2">
      <c r="A70" s="138" t="s">
        <v>76</v>
      </c>
      <c r="B70" s="138" t="s">
        <v>77</v>
      </c>
      <c r="C70" s="138" t="s">
        <v>76</v>
      </c>
    </row>
    <row r="71" spans="1:3" x14ac:dyDescent="0.2">
      <c r="A71" s="143" t="s">
        <v>596</v>
      </c>
      <c r="B71" s="143" t="s">
        <v>597</v>
      </c>
      <c r="C71" s="143" t="s">
        <v>716</v>
      </c>
    </row>
    <row r="72" spans="1:3" x14ac:dyDescent="0.2">
      <c r="A72" s="138" t="s">
        <v>72</v>
      </c>
      <c r="B72" s="138" t="s">
        <v>562</v>
      </c>
      <c r="C72" s="138" t="s">
        <v>566</v>
      </c>
    </row>
    <row r="73" spans="1:3" x14ac:dyDescent="0.2">
      <c r="A73" s="138" t="s">
        <v>72</v>
      </c>
      <c r="B73" s="138" t="s">
        <v>616</v>
      </c>
      <c r="C73" s="138" t="s">
        <v>619</v>
      </c>
    </row>
    <row r="74" spans="1:3" x14ac:dyDescent="0.2">
      <c r="A74" s="138" t="s">
        <v>72</v>
      </c>
      <c r="B74" s="138" t="s">
        <v>124</v>
      </c>
      <c r="C74" s="138" t="s">
        <v>542</v>
      </c>
    </row>
    <row r="75" spans="1:3" x14ac:dyDescent="0.2">
      <c r="A75" s="138" t="s">
        <v>72</v>
      </c>
      <c r="B75" s="138" t="s">
        <v>723</v>
      </c>
      <c r="C75" s="138" t="s">
        <v>725</v>
      </c>
    </row>
    <row r="76" spans="1:3" x14ac:dyDescent="0.2">
      <c r="A76" s="138" t="s">
        <v>72</v>
      </c>
      <c r="B76" s="138" t="s">
        <v>73</v>
      </c>
      <c r="C76" s="138" t="s">
        <v>278</v>
      </c>
    </row>
    <row r="77" spans="1:3" x14ac:dyDescent="0.2">
      <c r="A77" s="143" t="s">
        <v>72</v>
      </c>
      <c r="B77" s="143" t="s">
        <v>552</v>
      </c>
      <c r="C77" s="143" t="s">
        <v>353</v>
      </c>
    </row>
    <row r="78" spans="1:3" x14ac:dyDescent="0.2">
      <c r="A78" s="138" t="s">
        <v>388</v>
      </c>
      <c r="B78" s="138" t="s">
        <v>148</v>
      </c>
      <c r="C78" s="138" t="s">
        <v>151</v>
      </c>
    </row>
    <row r="79" spans="1:3" x14ac:dyDescent="0.2">
      <c r="A79" s="138" t="s">
        <v>256</v>
      </c>
      <c r="B79" s="138" t="s">
        <v>257</v>
      </c>
      <c r="C79" s="138" t="s">
        <v>240</v>
      </c>
    </row>
    <row r="80" spans="1:3" x14ac:dyDescent="0.2">
      <c r="A80" s="138" t="s">
        <v>745</v>
      </c>
      <c r="B80" s="138" t="s">
        <v>746</v>
      </c>
      <c r="C80" s="138" t="s">
        <v>749</v>
      </c>
    </row>
    <row r="81" spans="1:3" x14ac:dyDescent="0.2">
      <c r="A81" s="138" t="s">
        <v>521</v>
      </c>
      <c r="B81" s="138" t="s">
        <v>522</v>
      </c>
      <c r="C81" s="138" t="s">
        <v>523</v>
      </c>
    </row>
  </sheetData>
  <phoneticPr fontId="9" type="noConversion"/>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18BB340-69D8-4C9F-B29C-231FCDCF3D7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16</vt:i4>
      </vt:variant>
    </vt:vector>
  </HeadingPairs>
  <TitlesOfParts>
    <vt:vector size="16" baseType="lpstr">
      <vt:lpstr>in</vt:lpstr>
      <vt:lpstr>omie</vt:lpstr>
      <vt:lpstr>ene</vt:lpstr>
      <vt:lpstr>feb</vt:lpstr>
      <vt:lpstr>mar</vt:lpstr>
      <vt:lpstr>abr</vt:lpstr>
      <vt:lpstr>may</vt:lpstr>
      <vt:lpstr>jun</vt:lpstr>
      <vt:lpstr>gauss</vt:lpstr>
      <vt:lpstr>powerrange</vt:lpstr>
      <vt:lpstr>externo</vt:lpstr>
      <vt:lpstr>res_mes</vt:lpstr>
      <vt:lpstr>acum_porc</vt:lpstr>
      <vt:lpstr>acum_abs</vt:lpstr>
      <vt:lpstr>estadisticas</vt:lpstr>
      <vt:lpstr>Hoja1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Jose Vidal</dc:creator>
  <cp:lastModifiedBy>Jose Vidal</cp:lastModifiedBy>
  <dcterms:created xsi:type="dcterms:W3CDTF">2023-11-04T11:44:26Z</dcterms:created>
  <dcterms:modified xsi:type="dcterms:W3CDTF">2024-06-10T07:34:15Z</dcterms:modified>
</cp:coreProperties>
</file>