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\RESULTS\"/>
    </mc:Choice>
  </mc:AlternateContent>
  <xr:revisionPtr revIDLastSave="0" documentId="13_ncr:1_{A88FC72E-618F-4279-9654-43443F687029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task0ForecastsPVandDemand_Run1" sheetId="1" r:id="rId1"/>
    <sheet name="task0ForecastsPVandDemand_R (2)" sheetId="3" r:id="rId2"/>
    <sheet name="Sheet1" sheetId="2" r:id="rId3"/>
  </sheets>
  <definedNames>
    <definedName name="_xlnm._FilterDatabase" localSheetId="1" hidden="1">'task0ForecastsPVandDemand_R (2)'!$A$14:$AC$350</definedName>
    <definedName name="_xlnm._FilterDatabase" localSheetId="0" hidden="1">task0ForecastsPVandDemand_Run1!$A$14:$AC$350</definedName>
    <definedName name="chargingSolard1" localSheetId="1">'task0ForecastsPVandDemand_R (2)'!$F$15:$F$45</definedName>
    <definedName name="chargingSolard1">task0ForecastsPVandDemand_Run1!$F$15:$F$45</definedName>
    <definedName name="chargingSolard2" localSheetId="1">'task0ForecastsPVandDemand_R (2)'!$F$63:$F$93</definedName>
    <definedName name="chargingSolard2">task0ForecastsPVandDemand_Run1!$F$63:$F$93</definedName>
    <definedName name="chargingSolard3" localSheetId="1">'task0ForecastsPVandDemand_R (2)'!$F$111:$F$141</definedName>
    <definedName name="chargingSolard3">task0ForecastsPVandDemand_Run1!$F$111:$F$141</definedName>
    <definedName name="chargingSolard4" localSheetId="1">'task0ForecastsPVandDemand_R (2)'!$F$159:$F$189</definedName>
    <definedName name="chargingSolard4">task0ForecastsPVandDemand_Run1!$F$159:$F$189</definedName>
    <definedName name="chargingSolard5" localSheetId="1">'task0ForecastsPVandDemand_R (2)'!$F$207:$F$237</definedName>
    <definedName name="chargingSolard5">task0ForecastsPVandDemand_Run1!$F$207:$F$237</definedName>
    <definedName name="chargingSolard6" localSheetId="1">'task0ForecastsPVandDemand_R (2)'!$F$255:$F$285</definedName>
    <definedName name="chargingSolard6">task0ForecastsPVandDemand_Run1!$F$255:$F$285</definedName>
    <definedName name="chargingSolard7" localSheetId="1">'task0ForecastsPVandDemand_R (2)'!$F$303:$F$333</definedName>
    <definedName name="chargingSolard7">task0ForecastsPVandDemand_Run1!$F$303:$F$333</definedName>
    <definedName name="gridTopUpd1" localSheetId="1">'task0ForecastsPVandDemand_R (2)'!$K$15:$K$62</definedName>
    <definedName name="gridTopUpd1">task0ForecastsPVandDemand_Run1!$K$15:$K$62</definedName>
    <definedName name="gridTopUpd2" localSheetId="1">'task0ForecastsPVandDemand_R (2)'!$K$63:$K$110</definedName>
    <definedName name="gridTopUpd2">task0ForecastsPVandDemand_Run1!$K$63:$K$110</definedName>
    <definedName name="gridTopUpd3" localSheetId="1">'task0ForecastsPVandDemand_R (2)'!$K$111:$K$158</definedName>
    <definedName name="gridTopUpd3">task0ForecastsPVandDemand_Run1!$K$111:$K$158</definedName>
    <definedName name="gridTopUpd4" localSheetId="1">'task0ForecastsPVandDemand_R (2)'!$K$159:$K$206</definedName>
    <definedName name="gridTopUpd4">task0ForecastsPVandDemand_Run1!$K$159:$K$206</definedName>
    <definedName name="gridTopUpd5" localSheetId="1">'task0ForecastsPVandDemand_R (2)'!$K$207:$K$254</definedName>
    <definedName name="gridTopUpd5">task0ForecastsPVandDemand_Run1!$K$207:$K$254</definedName>
    <definedName name="gridTopUpd6" localSheetId="1">'task0ForecastsPVandDemand_R (2)'!$K$255:$K$302</definedName>
    <definedName name="gridTopUpd6">task0ForecastsPVandDemand_Run1!$K$255:$K$302</definedName>
    <definedName name="gridTopUpd7" localSheetId="1">'task0ForecastsPVandDemand_R (2)'!$K$303:$K$350</definedName>
    <definedName name="gridTopUpd7">task0ForecastsPVandDemand_Run1!$K$303:$K$350</definedName>
    <definedName name="newPeakd1" localSheetId="1">'task0ForecastsPVandDemand_R (2)'!$E$46:$E$56</definedName>
    <definedName name="newPeakd1">task0ForecastsPVandDemand_Run1!$E$46:$E$56</definedName>
    <definedName name="newPeakd2" localSheetId="1">'task0ForecastsPVandDemand_R (2)'!$E$94:$E$104</definedName>
    <definedName name="newPeakd2">task0ForecastsPVandDemand_Run1!$E$94:$E$104</definedName>
    <definedName name="newPeakd3" localSheetId="1">'task0ForecastsPVandDemand_R (2)'!$E$142:$E$152</definedName>
    <definedName name="newPeakd3">task0ForecastsPVandDemand_Run1!$E$142:$E$152</definedName>
    <definedName name="newPeakd4" localSheetId="1">'task0ForecastsPVandDemand_R (2)'!$E$190:$E$200</definedName>
    <definedName name="newPeakd4">task0ForecastsPVandDemand_Run1!$E$190:$E$200</definedName>
    <definedName name="newPeakd5" localSheetId="1">'task0ForecastsPVandDemand_R (2)'!$E$238:$E$248</definedName>
    <definedName name="newPeakd5">task0ForecastsPVandDemand_Run1!$E$238:$E$248</definedName>
    <definedName name="newPeakd6" localSheetId="1">'task0ForecastsPVandDemand_R (2)'!$E$286:$E$296</definedName>
    <definedName name="newPeakd6">task0ForecastsPVandDemand_Run1!$E$286:$E$296</definedName>
    <definedName name="newPeakd7" localSheetId="1">'task0ForecastsPVandDemand_R (2)'!$E$334:$E$344</definedName>
    <definedName name="newPeakd7">task0ForecastsPVandDemand_Run1!$E$334:$E$344</definedName>
    <definedName name="peakd1" localSheetId="1">'task0ForecastsPVandDemand_R (2)'!$D$46:$D$56</definedName>
    <definedName name="peakd1">task0ForecastsPVandDemand_Run1!$D$46:$D$56</definedName>
    <definedName name="peakd2" localSheetId="1">'task0ForecastsPVandDemand_R (2)'!$D$94:$D$104</definedName>
    <definedName name="peakd2">task0ForecastsPVandDemand_Run1!$D$94:$D$104</definedName>
    <definedName name="peakd3" localSheetId="1">'task0ForecastsPVandDemand_R (2)'!$D$142:$D$152</definedName>
    <definedName name="peakd3">task0ForecastsPVandDemand_Run1!$D$142:$D$152</definedName>
    <definedName name="peakd4" localSheetId="1">'task0ForecastsPVandDemand_R (2)'!$D$190:$D$200</definedName>
    <definedName name="peakd4">task0ForecastsPVandDemand_Run1!$D$190:$D$200</definedName>
    <definedName name="peakd5" localSheetId="1">'task0ForecastsPVandDemand_R (2)'!$D$238:$D$248</definedName>
    <definedName name="peakd5">task0ForecastsPVandDemand_Run1!$D$238:$D$248</definedName>
    <definedName name="peakd6" localSheetId="1">'task0ForecastsPVandDemand_R (2)'!$D$286:$D$296</definedName>
    <definedName name="peakd6">task0ForecastsPVandDemand_Run1!$D$286:$D$296</definedName>
    <definedName name="peakd7" localSheetId="1">'task0ForecastsPVandDemand_R (2)'!$D$334:$D$344</definedName>
    <definedName name="peakd7">task0ForecastsPVandDemand_Run1!$D$334:$D$344</definedName>
    <definedName name="pvRIskF1" localSheetId="1">'task0ForecastsPVandDemand_R (2)'!$E$3</definedName>
    <definedName name="pvRIskF1">task0ForecastsPVandDemand_Run1!$E$3</definedName>
    <definedName name="solarCharged1" localSheetId="1">'task0ForecastsPVandDemand_R (2)'!$J$15:$J$45</definedName>
    <definedName name="solarCharged1">task0ForecastsPVandDemand_Run1!$J$15:$J$45</definedName>
    <definedName name="solarCharged2" localSheetId="1">'task0ForecastsPVandDemand_R (2)'!$J$63:$J$93</definedName>
    <definedName name="solarCharged2">task0ForecastsPVandDemand_Run1!$J$63:$J$93</definedName>
    <definedName name="solarCharged3" localSheetId="1">'task0ForecastsPVandDemand_R (2)'!$J$111:$J$152</definedName>
    <definedName name="solarCharged3">task0ForecastsPVandDemand_Run1!$J$111:$J$152</definedName>
    <definedName name="solarCharged4" localSheetId="1">'task0ForecastsPVandDemand_R (2)'!$J$159:$J$206</definedName>
    <definedName name="solarCharged4">task0ForecastsPVandDemand_Run1!$J$159:$J$206</definedName>
    <definedName name="solarCharged5" localSheetId="1">'task0ForecastsPVandDemand_R (2)'!$J$207:$J$254</definedName>
    <definedName name="solarCharged5">task0ForecastsPVandDemand_Run1!$J$207:$J$254</definedName>
    <definedName name="solarCharged6" localSheetId="1">'task0ForecastsPVandDemand_R (2)'!$J$255:$J$302</definedName>
    <definedName name="solarCharged6">task0ForecastsPVandDemand_Run1!$J$255:$J$302</definedName>
    <definedName name="solarCharged7" localSheetId="1">'task0ForecastsPVandDemand_R (2)'!$J$303:$J$350</definedName>
    <definedName name="solarCharged7">task0ForecastsPVandDemand_Run1!$J$303:$J$350</definedName>
    <definedName name="StartPeakd1">Sheet1!$B$3</definedName>
    <definedName name="StartPeakd2">Sheet1!$B$4</definedName>
    <definedName name="StartPeakd3">Sheet1!$B$5</definedName>
    <definedName name="StartPeakd4">Sheet1!$B$6</definedName>
    <definedName name="StartPeakd5">Sheet1!$B$7</definedName>
    <definedName name="StartPeakd6">Sheet1!$B$8</definedName>
    <definedName name="StartPeakd7">Sheet1!$B$9</definedName>
    <definedName name="targetPeakd1">Sheet1!$C$3</definedName>
    <definedName name="targetpeakd2">Sheet1!$C$4</definedName>
    <definedName name="targetpeakd3">Sheet1!$C$5</definedName>
    <definedName name="targetpeakd4">Sheet1!$C$6</definedName>
    <definedName name="targetpeakd5">Sheet1!$C$7</definedName>
    <definedName name="targetpeakd6">Sheet1!$C$8</definedName>
    <definedName name="targetpeakd7">Sheet1!$C$9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0" i="3" l="1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L333" i="3" s="1"/>
  <c r="J321" i="3"/>
  <c r="L321" i="3" s="1"/>
  <c r="M320" i="3"/>
  <c r="L320" i="3"/>
  <c r="J320" i="3"/>
  <c r="J319" i="3"/>
  <c r="L318" i="3"/>
  <c r="M318" i="3" s="1"/>
  <c r="J318" i="3"/>
  <c r="J317" i="3"/>
  <c r="L317" i="3" s="1"/>
  <c r="M316" i="3"/>
  <c r="L316" i="3"/>
  <c r="J316" i="3"/>
  <c r="J315" i="3"/>
  <c r="J314" i="3"/>
  <c r="J313" i="3"/>
  <c r="L313" i="3" s="1"/>
  <c r="M312" i="3"/>
  <c r="L312" i="3"/>
  <c r="J312" i="3"/>
  <c r="J311" i="3"/>
  <c r="J310" i="3"/>
  <c r="J309" i="3"/>
  <c r="M308" i="3"/>
  <c r="L308" i="3"/>
  <c r="J308" i="3"/>
  <c r="J307" i="3"/>
  <c r="J306" i="3"/>
  <c r="J305" i="3"/>
  <c r="J304" i="3"/>
  <c r="L304" i="3" s="1"/>
  <c r="M304" i="3" s="1"/>
  <c r="A304" i="3"/>
  <c r="A305" i="3" s="1"/>
  <c r="K303" i="3"/>
  <c r="J303" i="3"/>
  <c r="L303" i="3" s="1"/>
  <c r="M303" i="3" s="1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70" i="3"/>
  <c r="J269" i="3"/>
  <c r="M268" i="3"/>
  <c r="L268" i="3"/>
  <c r="J268" i="3"/>
  <c r="L267" i="3"/>
  <c r="J267" i="3"/>
  <c r="L266" i="3"/>
  <c r="J266" i="3"/>
  <c r="J265" i="3"/>
  <c r="M264" i="3"/>
  <c r="L264" i="3"/>
  <c r="J264" i="3"/>
  <c r="J263" i="3"/>
  <c r="J262" i="3"/>
  <c r="J261" i="3"/>
  <c r="M260" i="3"/>
  <c r="L260" i="3"/>
  <c r="J260" i="3"/>
  <c r="L259" i="3"/>
  <c r="J259" i="3"/>
  <c r="L258" i="3"/>
  <c r="J258" i="3"/>
  <c r="J257" i="3"/>
  <c r="M256" i="3"/>
  <c r="L256" i="3"/>
  <c r="J256" i="3"/>
  <c r="A256" i="3"/>
  <c r="K255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M221" i="3"/>
  <c r="J221" i="3"/>
  <c r="L221" i="3" s="1"/>
  <c r="J220" i="3"/>
  <c r="L220" i="3" s="1"/>
  <c r="M220" i="3" s="1"/>
  <c r="L219" i="3"/>
  <c r="J219" i="3"/>
  <c r="M218" i="3"/>
  <c r="L218" i="3"/>
  <c r="J218" i="3"/>
  <c r="J217" i="3"/>
  <c r="L217" i="3" s="1"/>
  <c r="J216" i="3"/>
  <c r="L215" i="3"/>
  <c r="J215" i="3"/>
  <c r="L214" i="3"/>
  <c r="J214" i="3"/>
  <c r="M214" i="3" s="1"/>
  <c r="M213" i="3"/>
  <c r="L213" i="3"/>
  <c r="J213" i="3"/>
  <c r="L212" i="3"/>
  <c r="J212" i="3"/>
  <c r="J211" i="3"/>
  <c r="J210" i="3"/>
  <c r="M209" i="3"/>
  <c r="L209" i="3"/>
  <c r="J209" i="3"/>
  <c r="A209" i="3"/>
  <c r="K209" i="3" s="1"/>
  <c r="L208" i="3"/>
  <c r="K208" i="3"/>
  <c r="J208" i="3"/>
  <c r="A208" i="3"/>
  <c r="K207" i="3"/>
  <c r="J207" i="3"/>
  <c r="G207" i="3"/>
  <c r="E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72" i="3"/>
  <c r="J171" i="3"/>
  <c r="L171" i="3" s="1"/>
  <c r="J170" i="3"/>
  <c r="L169" i="3"/>
  <c r="M169" i="3" s="1"/>
  <c r="J169" i="3"/>
  <c r="J168" i="3"/>
  <c r="M167" i="3"/>
  <c r="J167" i="3"/>
  <c r="L167" i="3" s="1"/>
  <c r="J166" i="3"/>
  <c r="M165" i="3"/>
  <c r="L165" i="3"/>
  <c r="J165" i="3"/>
  <c r="J164" i="3"/>
  <c r="M163" i="3"/>
  <c r="J163" i="3"/>
  <c r="L163" i="3" s="1"/>
  <c r="J162" i="3"/>
  <c r="A162" i="3"/>
  <c r="K161" i="3"/>
  <c r="J161" i="3"/>
  <c r="A161" i="3"/>
  <c r="K160" i="3"/>
  <c r="J160" i="3"/>
  <c r="A160" i="3"/>
  <c r="K159" i="3"/>
  <c r="J159" i="3"/>
  <c r="E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24" i="3"/>
  <c r="L124" i="3" s="1"/>
  <c r="M124" i="3" s="1"/>
  <c r="J123" i="3"/>
  <c r="J122" i="3"/>
  <c r="J121" i="3"/>
  <c r="J120" i="3"/>
  <c r="L120" i="3" s="1"/>
  <c r="M120" i="3" s="1"/>
  <c r="J119" i="3"/>
  <c r="J118" i="3"/>
  <c r="J117" i="3"/>
  <c r="J116" i="3"/>
  <c r="J115" i="3"/>
  <c r="J114" i="3"/>
  <c r="A114" i="3"/>
  <c r="J113" i="3"/>
  <c r="A113" i="3"/>
  <c r="K113" i="3" s="1"/>
  <c r="K112" i="3"/>
  <c r="J112" i="3"/>
  <c r="A112" i="3"/>
  <c r="K111" i="3"/>
  <c r="J111" i="3"/>
  <c r="E111" i="3" s="1"/>
  <c r="G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76" i="3"/>
  <c r="J75" i="3"/>
  <c r="J74" i="3"/>
  <c r="M73" i="3"/>
  <c r="J73" i="3"/>
  <c r="L73" i="3" s="1"/>
  <c r="J72" i="3"/>
  <c r="J71" i="3"/>
  <c r="J70" i="3"/>
  <c r="J69" i="3"/>
  <c r="L69" i="3" s="1"/>
  <c r="J68" i="3"/>
  <c r="J67" i="3"/>
  <c r="J66" i="3"/>
  <c r="J65" i="3"/>
  <c r="L65" i="3" s="1"/>
  <c r="A65" i="3"/>
  <c r="K65" i="3" s="1"/>
  <c r="M64" i="3"/>
  <c r="K64" i="3"/>
  <c r="J64" i="3"/>
  <c r="L64" i="3" s="1"/>
  <c r="A64" i="3"/>
  <c r="K63" i="3"/>
  <c r="J63" i="3"/>
  <c r="G63" i="3"/>
  <c r="E63" i="3"/>
  <c r="J62" i="3"/>
  <c r="L61" i="3"/>
  <c r="M61" i="3" s="1"/>
  <c r="J61" i="3"/>
  <c r="M60" i="3"/>
  <c r="L60" i="3"/>
  <c r="J60" i="3"/>
  <c r="J59" i="3"/>
  <c r="J58" i="3"/>
  <c r="L57" i="3"/>
  <c r="M57" i="3" s="1"/>
  <c r="J57" i="3"/>
  <c r="L56" i="3"/>
  <c r="M56" i="3" s="1"/>
  <c r="J56" i="3"/>
  <c r="M55" i="3"/>
  <c r="L55" i="3"/>
  <c r="J55" i="3"/>
  <c r="J54" i="3"/>
  <c r="M53" i="3"/>
  <c r="L53" i="3"/>
  <c r="J53" i="3"/>
  <c r="M52" i="3"/>
  <c r="L52" i="3"/>
  <c r="J52" i="3"/>
  <c r="J51" i="3"/>
  <c r="J28" i="3"/>
  <c r="J27" i="3"/>
  <c r="J26" i="3"/>
  <c r="L26" i="3" s="1"/>
  <c r="M26" i="3" s="1"/>
  <c r="J25" i="3"/>
  <c r="J24" i="3"/>
  <c r="J23" i="3"/>
  <c r="J22" i="3"/>
  <c r="L22" i="3" s="1"/>
  <c r="M22" i="3" s="1"/>
  <c r="J21" i="3"/>
  <c r="J20" i="3"/>
  <c r="J19" i="3"/>
  <c r="J18" i="3"/>
  <c r="L18" i="3" s="1"/>
  <c r="M18" i="3" s="1"/>
  <c r="J17" i="3"/>
  <c r="K16" i="3"/>
  <c r="J16" i="3"/>
  <c r="A16" i="3"/>
  <c r="A17" i="3" s="1"/>
  <c r="L15" i="3"/>
  <c r="M15" i="3" s="1"/>
  <c r="K15" i="3"/>
  <c r="G15" i="3"/>
  <c r="E15" i="3"/>
  <c r="I9" i="3"/>
  <c r="G9" i="3"/>
  <c r="E9" i="3"/>
  <c r="D9" i="3"/>
  <c r="C9" i="3"/>
  <c r="I8" i="3"/>
  <c r="G8" i="3"/>
  <c r="E8" i="3"/>
  <c r="D8" i="3"/>
  <c r="C8" i="3"/>
  <c r="I7" i="3"/>
  <c r="G7" i="3"/>
  <c r="E7" i="3"/>
  <c r="D7" i="3"/>
  <c r="C7" i="3"/>
  <c r="I6" i="3"/>
  <c r="G6" i="3"/>
  <c r="E6" i="3"/>
  <c r="D6" i="3"/>
  <c r="C6" i="3"/>
  <c r="I5" i="3"/>
  <c r="G5" i="3"/>
  <c r="E5" i="3"/>
  <c r="D5" i="3"/>
  <c r="C5" i="3"/>
  <c r="I4" i="3"/>
  <c r="G4" i="3"/>
  <c r="E4" i="3"/>
  <c r="D4" i="3"/>
  <c r="C4" i="3"/>
  <c r="I3" i="3"/>
  <c r="G3" i="3"/>
  <c r="E3" i="3"/>
  <c r="D3" i="3"/>
  <c r="C3" i="3"/>
  <c r="G3" i="1"/>
  <c r="G6" i="1"/>
  <c r="G5" i="1"/>
  <c r="G4" i="1"/>
  <c r="J160" i="1"/>
  <c r="G9" i="1"/>
  <c r="G8" i="1"/>
  <c r="G7" i="1"/>
  <c r="J159" i="1"/>
  <c r="J16" i="1"/>
  <c r="J17" i="1"/>
  <c r="J18" i="1"/>
  <c r="J19" i="1"/>
  <c r="J20" i="1"/>
  <c r="J21" i="1"/>
  <c r="J22" i="1"/>
  <c r="J23" i="1"/>
  <c r="J24" i="1"/>
  <c r="J53" i="1"/>
  <c r="L53" i="1" s="1"/>
  <c r="J54" i="1"/>
  <c r="L54" i="1" s="1"/>
  <c r="M54" i="1" s="1"/>
  <c r="J55" i="1"/>
  <c r="L55" i="1" s="1"/>
  <c r="M55" i="1" s="1"/>
  <c r="J56" i="1"/>
  <c r="L56" i="1" s="1"/>
  <c r="M56" i="1" s="1"/>
  <c r="J57" i="1"/>
  <c r="L57" i="1" s="1"/>
  <c r="M57" i="1" s="1"/>
  <c r="J58" i="1"/>
  <c r="L58" i="1" s="1"/>
  <c r="M58" i="1" s="1"/>
  <c r="J59" i="1"/>
  <c r="L59" i="1" s="1"/>
  <c r="J60" i="1"/>
  <c r="J61" i="1"/>
  <c r="L61" i="1" s="1"/>
  <c r="M61" i="1" s="1"/>
  <c r="J62" i="1"/>
  <c r="L62" i="1" s="1"/>
  <c r="M62" i="1" s="1"/>
  <c r="J63" i="1"/>
  <c r="L63" i="1" s="1"/>
  <c r="M63" i="1" s="1"/>
  <c r="J64" i="1"/>
  <c r="J65" i="1"/>
  <c r="L65" i="1" s="1"/>
  <c r="M65" i="1" s="1"/>
  <c r="J66" i="1"/>
  <c r="J67" i="1"/>
  <c r="L67" i="1" s="1"/>
  <c r="M67" i="1" s="1"/>
  <c r="J68" i="1"/>
  <c r="J69" i="1"/>
  <c r="L69" i="1" s="1"/>
  <c r="M69" i="1" s="1"/>
  <c r="J70" i="1"/>
  <c r="J71" i="1"/>
  <c r="J72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L113" i="1" s="1"/>
  <c r="J114" i="1"/>
  <c r="J115" i="1"/>
  <c r="L115" i="1" s="1"/>
  <c r="J116" i="1"/>
  <c r="J117" i="1"/>
  <c r="L117" i="1" s="1"/>
  <c r="J118" i="1"/>
  <c r="J119" i="1"/>
  <c r="J120" i="1"/>
  <c r="J149" i="1"/>
  <c r="J150" i="1"/>
  <c r="J151" i="1"/>
  <c r="J152" i="1"/>
  <c r="J153" i="1"/>
  <c r="J154" i="1"/>
  <c r="J155" i="1"/>
  <c r="J156" i="1"/>
  <c r="J157" i="1"/>
  <c r="J158" i="1"/>
  <c r="J161" i="1"/>
  <c r="J162" i="1"/>
  <c r="J163" i="1"/>
  <c r="J164" i="1"/>
  <c r="J165" i="1"/>
  <c r="J166" i="1"/>
  <c r="J167" i="1"/>
  <c r="J168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L211" i="1" s="1"/>
  <c r="J212" i="1"/>
  <c r="J213" i="1"/>
  <c r="J214" i="1"/>
  <c r="J215" i="1"/>
  <c r="J216" i="1"/>
  <c r="J217" i="1"/>
  <c r="J218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L311" i="1" s="1"/>
  <c r="J312" i="1"/>
  <c r="J313" i="1"/>
  <c r="J314" i="1"/>
  <c r="J315" i="1"/>
  <c r="J316" i="1"/>
  <c r="J341" i="1"/>
  <c r="J342" i="1"/>
  <c r="J343" i="1"/>
  <c r="J344" i="1"/>
  <c r="J345" i="1"/>
  <c r="J346" i="1"/>
  <c r="J347" i="1"/>
  <c r="J348" i="1"/>
  <c r="J349" i="1"/>
  <c r="J350" i="1"/>
  <c r="I9" i="1"/>
  <c r="E9" i="1" s="1"/>
  <c r="I8" i="1"/>
  <c r="E8" i="1" s="1"/>
  <c r="I7" i="1"/>
  <c r="E7" i="1" s="1"/>
  <c r="I6" i="1"/>
  <c r="E6" i="1" s="1"/>
  <c r="I5" i="1"/>
  <c r="E5" i="1" s="1"/>
  <c r="I4" i="1"/>
  <c r="E4" i="1" s="1"/>
  <c r="I3" i="1"/>
  <c r="E3" i="1" s="1"/>
  <c r="K15" i="1"/>
  <c r="G15" i="1" s="1"/>
  <c r="K63" i="1"/>
  <c r="K111" i="1"/>
  <c r="K159" i="1"/>
  <c r="K207" i="1"/>
  <c r="K255" i="1"/>
  <c r="K303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E15" i="1"/>
  <c r="L15" i="1"/>
  <c r="M15" i="1" s="1"/>
  <c r="F9" i="2"/>
  <c r="C9" i="2"/>
  <c r="B9" i="2"/>
  <c r="F8" i="2"/>
  <c r="C8" i="2"/>
  <c r="B8" i="2"/>
  <c r="F7" i="2"/>
  <c r="C7" i="2"/>
  <c r="B7" i="2"/>
  <c r="F6" i="2"/>
  <c r="C6" i="2"/>
  <c r="B6" i="2"/>
  <c r="F5" i="2"/>
  <c r="C5" i="2"/>
  <c r="B5" i="2"/>
  <c r="F4" i="2"/>
  <c r="C4" i="2"/>
  <c r="B4" i="2"/>
  <c r="F3" i="2"/>
  <c r="C3" i="2"/>
  <c r="I160" i="3" s="1"/>
  <c r="G160" i="3" s="1"/>
  <c r="H160" i="3" s="1"/>
  <c r="B3" i="2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A160" i="1"/>
  <c r="K160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A16" i="1"/>
  <c r="K16" i="1" s="1"/>
  <c r="M59" i="3" l="1"/>
  <c r="I161" i="3"/>
  <c r="G161" i="3" s="1"/>
  <c r="H161" i="3"/>
  <c r="A18" i="3"/>
  <c r="K17" i="3"/>
  <c r="A115" i="3"/>
  <c r="K114" i="3"/>
  <c r="I16" i="1"/>
  <c r="E16" i="1" s="1"/>
  <c r="I304" i="3"/>
  <c r="I256" i="3"/>
  <c r="I208" i="3"/>
  <c r="G208" i="3" s="1"/>
  <c r="H208" i="3" s="1"/>
  <c r="I16" i="3"/>
  <c r="G16" i="3" s="1"/>
  <c r="H16" i="3" s="1"/>
  <c r="L17" i="3"/>
  <c r="M17" i="3" s="1"/>
  <c r="L21" i="3"/>
  <c r="M21" i="3" s="1"/>
  <c r="L25" i="3"/>
  <c r="M25" i="3" s="1"/>
  <c r="M62" i="3"/>
  <c r="L62" i="3"/>
  <c r="L66" i="3"/>
  <c r="M66" i="3" s="1"/>
  <c r="L75" i="3"/>
  <c r="M75" i="3" s="1"/>
  <c r="L54" i="3"/>
  <c r="M54" i="3" s="1"/>
  <c r="L16" i="3"/>
  <c r="L20" i="3"/>
  <c r="M20" i="3" s="1"/>
  <c r="L24" i="3"/>
  <c r="L28" i="3"/>
  <c r="L51" i="3"/>
  <c r="L71" i="3"/>
  <c r="L76" i="3"/>
  <c r="M16" i="3"/>
  <c r="M24" i="3"/>
  <c r="M28" i="3"/>
  <c r="M51" i="3"/>
  <c r="L59" i="3"/>
  <c r="M69" i="3"/>
  <c r="M71" i="3"/>
  <c r="M76" i="3"/>
  <c r="L19" i="3"/>
  <c r="M19" i="3" s="1"/>
  <c r="L23" i="3"/>
  <c r="M23" i="3" s="1"/>
  <c r="L27" i="3"/>
  <c r="M27" i="3" s="1"/>
  <c r="L63" i="3"/>
  <c r="M63" i="3" s="1"/>
  <c r="L67" i="3"/>
  <c r="M67" i="3" s="1"/>
  <c r="L72" i="3"/>
  <c r="M72" i="3" s="1"/>
  <c r="L74" i="3"/>
  <c r="M74" i="3" s="1"/>
  <c r="L162" i="3"/>
  <c r="M162" i="3" s="1"/>
  <c r="L168" i="3"/>
  <c r="M168" i="3" s="1"/>
  <c r="M65" i="3"/>
  <c r="M114" i="3"/>
  <c r="M58" i="3"/>
  <c r="L58" i="3"/>
  <c r="A66" i="3"/>
  <c r="M270" i="3"/>
  <c r="L270" i="3"/>
  <c r="L68" i="3"/>
  <c r="M68" i="3" s="1"/>
  <c r="L70" i="3"/>
  <c r="M70" i="3" s="1"/>
  <c r="M122" i="3"/>
  <c r="L170" i="3"/>
  <c r="M170" i="3" s="1"/>
  <c r="L112" i="3"/>
  <c r="M112" i="3" s="1"/>
  <c r="L116" i="3"/>
  <c r="M116" i="3" s="1"/>
  <c r="E160" i="3"/>
  <c r="L160" i="3"/>
  <c r="M160" i="3" s="1"/>
  <c r="M211" i="3"/>
  <c r="M216" i="3"/>
  <c r="E208" i="3"/>
  <c r="M208" i="3"/>
  <c r="M212" i="3"/>
  <c r="L111" i="3"/>
  <c r="L115" i="3"/>
  <c r="L119" i="3"/>
  <c r="M119" i="3" s="1"/>
  <c r="L123" i="3"/>
  <c r="M123" i="3" s="1"/>
  <c r="M111" i="3"/>
  <c r="M115" i="3"/>
  <c r="M171" i="3"/>
  <c r="L309" i="3"/>
  <c r="M309" i="3"/>
  <c r="E161" i="3"/>
  <c r="L166" i="3"/>
  <c r="L114" i="3"/>
  <c r="L118" i="3"/>
  <c r="M118" i="3" s="1"/>
  <c r="L122" i="3"/>
  <c r="L159" i="3"/>
  <c r="G159" i="3"/>
  <c r="M166" i="3"/>
  <c r="L172" i="3"/>
  <c r="L262" i="3"/>
  <c r="M262" i="3" s="1"/>
  <c r="L161" i="3"/>
  <c r="M159" i="3"/>
  <c r="M161" i="3"/>
  <c r="L164" i="3"/>
  <c r="M164" i="3" s="1"/>
  <c r="M172" i="3"/>
  <c r="L113" i="3"/>
  <c r="M113" i="3" s="1"/>
  <c r="L117" i="3"/>
  <c r="M117" i="3" s="1"/>
  <c r="L121" i="3"/>
  <c r="M121" i="3" s="1"/>
  <c r="K162" i="3"/>
  <c r="A163" i="3"/>
  <c r="M210" i="3"/>
  <c r="M207" i="3"/>
  <c r="M215" i="3"/>
  <c r="L306" i="3"/>
  <c r="M306" i="3" s="1"/>
  <c r="A210" i="3"/>
  <c r="M259" i="3"/>
  <c r="M267" i="3"/>
  <c r="L305" i="3"/>
  <c r="M305" i="3"/>
  <c r="G255" i="3"/>
  <c r="E255" i="3"/>
  <c r="L310" i="3"/>
  <c r="L207" i="3"/>
  <c r="L211" i="3"/>
  <c r="M217" i="3"/>
  <c r="M257" i="3"/>
  <c r="M265" i="3"/>
  <c r="M310" i="3"/>
  <c r="L314" i="3"/>
  <c r="M314" i="3" s="1"/>
  <c r="L255" i="3"/>
  <c r="M255" i="3" s="1"/>
  <c r="L263" i="3"/>
  <c r="M263" i="3" s="1"/>
  <c r="K305" i="3"/>
  <c r="A306" i="3"/>
  <c r="L210" i="3"/>
  <c r="A257" i="3"/>
  <c r="K256" i="3"/>
  <c r="M258" i="3"/>
  <c r="M266" i="3"/>
  <c r="L216" i="3"/>
  <c r="M219" i="3"/>
  <c r="L257" i="3"/>
  <c r="L261" i="3"/>
  <c r="M261" i="3" s="1"/>
  <c r="L265" i="3"/>
  <c r="L269" i="3"/>
  <c r="M269" i="3" s="1"/>
  <c r="M313" i="3"/>
  <c r="M317" i="3"/>
  <c r="M321" i="3"/>
  <c r="M333" i="3"/>
  <c r="L237" i="3"/>
  <c r="M237" i="3" s="1"/>
  <c r="E303" i="3"/>
  <c r="K304" i="3"/>
  <c r="G303" i="3"/>
  <c r="L307" i="3"/>
  <c r="M307" i="3" s="1"/>
  <c r="L311" i="3"/>
  <c r="M311" i="3" s="1"/>
  <c r="L315" i="3"/>
  <c r="M315" i="3" s="1"/>
  <c r="L319" i="3"/>
  <c r="M319" i="3" s="1"/>
  <c r="K298" i="1"/>
  <c r="K256" i="1"/>
  <c r="K274" i="1"/>
  <c r="K269" i="1"/>
  <c r="K226" i="1"/>
  <c r="K224" i="1"/>
  <c r="K221" i="1"/>
  <c r="K323" i="1"/>
  <c r="K251" i="1"/>
  <c r="K270" i="1"/>
  <c r="K331" i="1"/>
  <c r="K275" i="1"/>
  <c r="K257" i="1"/>
  <c r="K231" i="1"/>
  <c r="K329" i="1"/>
  <c r="K300" i="1"/>
  <c r="K123" i="1"/>
  <c r="K324" i="1"/>
  <c r="K299" i="1"/>
  <c r="K273" i="1"/>
  <c r="K225" i="1"/>
  <c r="K322" i="1"/>
  <c r="K250" i="1"/>
  <c r="K86" i="1"/>
  <c r="K319" i="1"/>
  <c r="K293" i="1"/>
  <c r="K268" i="1"/>
  <c r="K249" i="1"/>
  <c r="K219" i="1"/>
  <c r="K79" i="1"/>
  <c r="K317" i="1"/>
  <c r="K288" i="1"/>
  <c r="K267" i="1"/>
  <c r="K246" i="1"/>
  <c r="K214" i="1"/>
  <c r="K78" i="1"/>
  <c r="K99" i="1"/>
  <c r="K312" i="1"/>
  <c r="K287" i="1"/>
  <c r="K263" i="1"/>
  <c r="K244" i="1"/>
  <c r="K213" i="1"/>
  <c r="K74" i="1"/>
  <c r="K311" i="1"/>
  <c r="K286" i="1"/>
  <c r="K262" i="1"/>
  <c r="K239" i="1"/>
  <c r="K212" i="1"/>
  <c r="K67" i="1"/>
  <c r="K310" i="1"/>
  <c r="K282" i="1"/>
  <c r="K261" i="1"/>
  <c r="K238" i="1"/>
  <c r="K209" i="1"/>
  <c r="K66" i="1"/>
  <c r="K295" i="1"/>
  <c r="K307" i="1"/>
  <c r="K281" i="1"/>
  <c r="K260" i="1"/>
  <c r="K236" i="1"/>
  <c r="K305" i="1"/>
  <c r="K280" i="1"/>
  <c r="K258" i="1"/>
  <c r="K233" i="1"/>
  <c r="K151" i="1"/>
  <c r="K126" i="1"/>
  <c r="K102" i="1"/>
  <c r="K77" i="1"/>
  <c r="K321" i="1"/>
  <c r="K297" i="1"/>
  <c r="K235" i="1"/>
  <c r="K332" i="1"/>
  <c r="K320" i="1"/>
  <c r="K308" i="1"/>
  <c r="K296" i="1"/>
  <c r="K283" i="1"/>
  <c r="K271" i="1"/>
  <c r="K259" i="1"/>
  <c r="K247" i="1"/>
  <c r="K234" i="1"/>
  <c r="K222" i="1"/>
  <c r="K210" i="1"/>
  <c r="K149" i="1"/>
  <c r="K136" i="1"/>
  <c r="K124" i="1"/>
  <c r="K112" i="1"/>
  <c r="K100" i="1"/>
  <c r="K87" i="1"/>
  <c r="K75" i="1"/>
  <c r="K330" i="1"/>
  <c r="K318" i="1"/>
  <c r="K306" i="1"/>
  <c r="K294" i="1"/>
  <c r="K245" i="1"/>
  <c r="K232" i="1"/>
  <c r="K220" i="1"/>
  <c r="K208" i="1"/>
  <c r="K147" i="1"/>
  <c r="K134" i="1"/>
  <c r="K122" i="1"/>
  <c r="K98" i="1"/>
  <c r="K85" i="1"/>
  <c r="K73" i="1"/>
  <c r="K72" i="1"/>
  <c r="K146" i="1"/>
  <c r="K121" i="1"/>
  <c r="K97" i="1"/>
  <c r="K328" i="1"/>
  <c r="K316" i="1"/>
  <c r="K304" i="1"/>
  <c r="K292" i="1"/>
  <c r="K279" i="1"/>
  <c r="K243" i="1"/>
  <c r="K230" i="1"/>
  <c r="K218" i="1"/>
  <c r="K157" i="1"/>
  <c r="K145" i="1"/>
  <c r="K132" i="1"/>
  <c r="K120" i="1"/>
  <c r="K96" i="1"/>
  <c r="K83" i="1"/>
  <c r="K71" i="1"/>
  <c r="K148" i="1"/>
  <c r="K327" i="1"/>
  <c r="K315" i="1"/>
  <c r="K291" i="1"/>
  <c r="K278" i="1"/>
  <c r="K266" i="1"/>
  <c r="K242" i="1"/>
  <c r="K229" i="1"/>
  <c r="K217" i="1"/>
  <c r="K156" i="1"/>
  <c r="K144" i="1"/>
  <c r="K131" i="1"/>
  <c r="K119" i="1"/>
  <c r="K95" i="1"/>
  <c r="K82" i="1"/>
  <c r="K70" i="1"/>
  <c r="K135" i="1"/>
  <c r="K133" i="1"/>
  <c r="K84" i="1"/>
  <c r="K326" i="1"/>
  <c r="K314" i="1"/>
  <c r="K290" i="1"/>
  <c r="K277" i="1"/>
  <c r="K265" i="1"/>
  <c r="K253" i="1"/>
  <c r="K241" i="1"/>
  <c r="K228" i="1"/>
  <c r="K216" i="1"/>
  <c r="K155" i="1"/>
  <c r="K143" i="1"/>
  <c r="K130" i="1"/>
  <c r="K118" i="1"/>
  <c r="K94" i="1"/>
  <c r="K81" i="1"/>
  <c r="K69" i="1"/>
  <c r="K325" i="1"/>
  <c r="K313" i="1"/>
  <c r="K301" i="1"/>
  <c r="K289" i="1"/>
  <c r="K276" i="1"/>
  <c r="K264" i="1"/>
  <c r="K252" i="1"/>
  <c r="K240" i="1"/>
  <c r="K227" i="1"/>
  <c r="K215" i="1"/>
  <c r="K154" i="1"/>
  <c r="K142" i="1"/>
  <c r="K129" i="1"/>
  <c r="K117" i="1"/>
  <c r="K92" i="1"/>
  <c r="K80" i="1"/>
  <c r="K68" i="1"/>
  <c r="K153" i="1"/>
  <c r="K140" i="1"/>
  <c r="K128" i="1"/>
  <c r="K116" i="1"/>
  <c r="K91" i="1"/>
  <c r="K152" i="1"/>
  <c r="K139" i="1"/>
  <c r="K127" i="1"/>
  <c r="K115" i="1"/>
  <c r="K90" i="1"/>
  <c r="K138" i="1"/>
  <c r="K114" i="1"/>
  <c r="K89" i="1"/>
  <c r="K65" i="1"/>
  <c r="K338" i="1"/>
  <c r="K309" i="1"/>
  <c r="K284" i="1"/>
  <c r="K272" i="1"/>
  <c r="K248" i="1"/>
  <c r="K223" i="1"/>
  <c r="K211" i="1"/>
  <c r="K150" i="1"/>
  <c r="K137" i="1"/>
  <c r="K125" i="1"/>
  <c r="K113" i="1"/>
  <c r="K101" i="1"/>
  <c r="K88" i="1"/>
  <c r="K76" i="1"/>
  <c r="K64" i="1"/>
  <c r="K339" i="1"/>
  <c r="K349" i="1"/>
  <c r="K337" i="1"/>
  <c r="G16" i="1"/>
  <c r="H16" i="1" s="1"/>
  <c r="K347" i="1"/>
  <c r="K335" i="1"/>
  <c r="K348" i="1"/>
  <c r="K346" i="1"/>
  <c r="K334" i="1"/>
  <c r="K345" i="1"/>
  <c r="K344" i="1"/>
  <c r="K343" i="1"/>
  <c r="K342" i="1"/>
  <c r="K341" i="1"/>
  <c r="K336" i="1"/>
  <c r="K340" i="1"/>
  <c r="L16" i="1"/>
  <c r="M16" i="1" s="1"/>
  <c r="A161" i="1"/>
  <c r="K161" i="1" s="1"/>
  <c r="A104" i="1"/>
  <c r="K104" i="1" s="1"/>
  <c r="A17" i="1"/>
  <c r="K17" i="1" s="1"/>
  <c r="L303" i="1"/>
  <c r="M303" i="1" s="1"/>
  <c r="L111" i="1"/>
  <c r="M111" i="1" s="1"/>
  <c r="L159" i="1"/>
  <c r="M159" i="1" s="1"/>
  <c r="L207" i="1"/>
  <c r="M207" i="1" s="1"/>
  <c r="L255" i="1"/>
  <c r="M255" i="1" s="1"/>
  <c r="M53" i="1"/>
  <c r="M59" i="1"/>
  <c r="L60" i="1"/>
  <c r="M60" i="1" s="1"/>
  <c r="L307" i="1"/>
  <c r="M307" i="1" s="1"/>
  <c r="M311" i="1"/>
  <c r="L305" i="1"/>
  <c r="M305" i="1" s="1"/>
  <c r="L309" i="1"/>
  <c r="M309" i="1" s="1"/>
  <c r="L304" i="1"/>
  <c r="M304" i="1" s="1"/>
  <c r="L306" i="1"/>
  <c r="M306" i="1" s="1"/>
  <c r="L308" i="1"/>
  <c r="M308" i="1" s="1"/>
  <c r="L310" i="1"/>
  <c r="M310" i="1" s="1"/>
  <c r="L312" i="1"/>
  <c r="M312" i="1" s="1"/>
  <c r="L257" i="1"/>
  <c r="M257" i="1" s="1"/>
  <c r="L259" i="1"/>
  <c r="M259" i="1" s="1"/>
  <c r="L261" i="1"/>
  <c r="M261" i="1" s="1"/>
  <c r="L263" i="1"/>
  <c r="M263" i="1" s="1"/>
  <c r="L256" i="1"/>
  <c r="M256" i="1" s="1"/>
  <c r="L258" i="1"/>
  <c r="M258" i="1" s="1"/>
  <c r="L260" i="1"/>
  <c r="M260" i="1" s="1"/>
  <c r="L262" i="1"/>
  <c r="M262" i="1" s="1"/>
  <c r="L264" i="1"/>
  <c r="M264" i="1" s="1"/>
  <c r="M211" i="1"/>
  <c r="L209" i="1"/>
  <c r="M209" i="1" s="1"/>
  <c r="L215" i="1"/>
  <c r="M215" i="1" s="1"/>
  <c r="L208" i="1"/>
  <c r="M208" i="1" s="1"/>
  <c r="L210" i="1"/>
  <c r="M210" i="1" s="1"/>
  <c r="L212" i="1"/>
  <c r="M212" i="1" s="1"/>
  <c r="L214" i="1"/>
  <c r="M214" i="1" s="1"/>
  <c r="L216" i="1"/>
  <c r="M216" i="1" s="1"/>
  <c r="L213" i="1"/>
  <c r="M213" i="1" s="1"/>
  <c r="L163" i="1"/>
  <c r="M163" i="1" s="1"/>
  <c r="L161" i="1"/>
  <c r="M161" i="1" s="1"/>
  <c r="L165" i="1"/>
  <c r="M165" i="1" s="1"/>
  <c r="L160" i="1"/>
  <c r="M160" i="1" s="1"/>
  <c r="L162" i="1"/>
  <c r="M162" i="1" s="1"/>
  <c r="L164" i="1"/>
  <c r="M164" i="1" s="1"/>
  <c r="L166" i="1"/>
  <c r="M166" i="1" s="1"/>
  <c r="M113" i="1"/>
  <c r="M115" i="1"/>
  <c r="M117" i="1"/>
  <c r="L112" i="1"/>
  <c r="M112" i="1" s="1"/>
  <c r="L114" i="1"/>
  <c r="M114" i="1" s="1"/>
  <c r="L118" i="1"/>
  <c r="M118" i="1" s="1"/>
  <c r="L116" i="1"/>
  <c r="M116" i="1" s="1"/>
  <c r="L64" i="1"/>
  <c r="M64" i="1" s="1"/>
  <c r="L66" i="1"/>
  <c r="M66" i="1" s="1"/>
  <c r="L68" i="1"/>
  <c r="M68" i="1" s="1"/>
  <c r="L70" i="1"/>
  <c r="M70" i="1" s="1"/>
  <c r="L20" i="1"/>
  <c r="M20" i="1" s="1"/>
  <c r="L18" i="1"/>
  <c r="M18" i="1" s="1"/>
  <c r="L22" i="1"/>
  <c r="M22" i="1" s="1"/>
  <c r="L21" i="1"/>
  <c r="M21" i="1" s="1"/>
  <c r="L17" i="1"/>
  <c r="M17" i="1" s="1"/>
  <c r="L19" i="1"/>
  <c r="M19" i="1" s="1"/>
  <c r="K18" i="3" l="1"/>
  <c r="A19" i="3"/>
  <c r="K257" i="3"/>
  <c r="A258" i="3"/>
  <c r="A307" i="3"/>
  <c r="K306" i="3"/>
  <c r="A164" i="3"/>
  <c r="K163" i="3"/>
  <c r="A116" i="3"/>
  <c r="K115" i="3"/>
  <c r="I162" i="3"/>
  <c r="A67" i="3"/>
  <c r="K66" i="3"/>
  <c r="I17" i="3"/>
  <c r="I209" i="3"/>
  <c r="G256" i="3"/>
  <c r="H256" i="3" s="1"/>
  <c r="E256" i="3"/>
  <c r="A211" i="3"/>
  <c r="K210" i="3"/>
  <c r="G304" i="3"/>
  <c r="H304" i="3" s="1"/>
  <c r="E304" i="3"/>
  <c r="E16" i="3"/>
  <c r="I17" i="1"/>
  <c r="A18" i="1"/>
  <c r="K18" i="1" s="1"/>
  <c r="A105" i="1"/>
  <c r="K105" i="1" s="1"/>
  <c r="A162" i="1"/>
  <c r="K162" i="1" s="1"/>
  <c r="I257" i="3" l="1"/>
  <c r="G17" i="3"/>
  <c r="H17" i="3" s="1"/>
  <c r="E17" i="3"/>
  <c r="A165" i="3"/>
  <c r="K164" i="3"/>
  <c r="A308" i="3"/>
  <c r="K307" i="3"/>
  <c r="G209" i="3"/>
  <c r="H209" i="3" s="1"/>
  <c r="E209" i="3"/>
  <c r="A259" i="3"/>
  <c r="K258" i="3"/>
  <c r="I305" i="3"/>
  <c r="A68" i="3"/>
  <c r="K67" i="3"/>
  <c r="A20" i="3"/>
  <c r="K19" i="3"/>
  <c r="G162" i="3"/>
  <c r="H162" i="3" s="1"/>
  <c r="E162" i="3"/>
  <c r="A212" i="3"/>
  <c r="K211" i="3"/>
  <c r="A117" i="3"/>
  <c r="K116" i="3"/>
  <c r="A106" i="1"/>
  <c r="K106" i="1" s="1"/>
  <c r="A19" i="1"/>
  <c r="K19" i="1" s="1"/>
  <c r="A163" i="1"/>
  <c r="K163" i="1" s="1"/>
  <c r="I163" i="3" l="1"/>
  <c r="A213" i="3"/>
  <c r="K212" i="3"/>
  <c r="K259" i="3"/>
  <c r="A260" i="3"/>
  <c r="A309" i="3"/>
  <c r="K308" i="3"/>
  <c r="I210" i="3"/>
  <c r="A21" i="3"/>
  <c r="K20" i="3"/>
  <c r="K165" i="3"/>
  <c r="A166" i="3"/>
  <c r="I18" i="3"/>
  <c r="E257" i="3"/>
  <c r="G257" i="3"/>
  <c r="H257" i="3" s="1"/>
  <c r="A69" i="3"/>
  <c r="K68" i="3"/>
  <c r="G305" i="3"/>
  <c r="H305" i="3" s="1"/>
  <c r="E305" i="3"/>
  <c r="K117" i="3"/>
  <c r="A118" i="3"/>
  <c r="G17" i="1"/>
  <c r="H17" i="1" s="1"/>
  <c r="I18" i="1" s="1"/>
  <c r="A164" i="1"/>
  <c r="K164" i="1" s="1"/>
  <c r="A107" i="1"/>
  <c r="K107" i="1" s="1"/>
  <c r="A20" i="1"/>
  <c r="K20" i="1" s="1"/>
  <c r="E17" i="1"/>
  <c r="K69" i="3" l="1"/>
  <c r="A70" i="3"/>
  <c r="I258" i="3"/>
  <c r="G210" i="3"/>
  <c r="H210" i="3" s="1"/>
  <c r="E210" i="3"/>
  <c r="K166" i="3"/>
  <c r="A167" i="3"/>
  <c r="G18" i="3"/>
  <c r="H18" i="3" s="1"/>
  <c r="E18" i="3"/>
  <c r="A22" i="3"/>
  <c r="K21" i="3"/>
  <c r="A261" i="3"/>
  <c r="K260" i="3"/>
  <c r="K213" i="3"/>
  <c r="A214" i="3"/>
  <c r="I306" i="3"/>
  <c r="K309" i="3"/>
  <c r="A310" i="3"/>
  <c r="A119" i="3"/>
  <c r="K118" i="3"/>
  <c r="E163" i="3"/>
  <c r="G163" i="3"/>
  <c r="H163" i="3" s="1"/>
  <c r="A21" i="1"/>
  <c r="K21" i="1" s="1"/>
  <c r="A108" i="1"/>
  <c r="K108" i="1" s="1"/>
  <c r="A165" i="1"/>
  <c r="K165" i="1" s="1"/>
  <c r="G306" i="3" l="1"/>
  <c r="H306" i="3" s="1"/>
  <c r="E306" i="3"/>
  <c r="A71" i="3"/>
  <c r="K70" i="3"/>
  <c r="I19" i="3"/>
  <c r="A215" i="3"/>
  <c r="K214" i="3"/>
  <c r="I211" i="3"/>
  <c r="G258" i="3"/>
  <c r="H258" i="3" s="1"/>
  <c r="E258" i="3"/>
  <c r="I164" i="3"/>
  <c r="K261" i="3"/>
  <c r="A262" i="3"/>
  <c r="K22" i="3"/>
  <c r="A23" i="3"/>
  <c r="A311" i="3"/>
  <c r="K310" i="3"/>
  <c r="A168" i="3"/>
  <c r="K167" i="3"/>
  <c r="A120" i="3"/>
  <c r="K119" i="3"/>
  <c r="G18" i="1"/>
  <c r="H18" i="1" s="1"/>
  <c r="I19" i="1" s="1"/>
  <c r="A109" i="1"/>
  <c r="K109" i="1" s="1"/>
  <c r="A166" i="1"/>
  <c r="K166" i="1" s="1"/>
  <c r="A22" i="1"/>
  <c r="K22" i="1" s="1"/>
  <c r="E18" i="1"/>
  <c r="E211" i="3" l="1"/>
  <c r="G211" i="3"/>
  <c r="H211" i="3" s="1"/>
  <c r="I259" i="3"/>
  <c r="G19" i="3"/>
  <c r="H19" i="3" s="1"/>
  <c r="E19" i="3"/>
  <c r="A263" i="3"/>
  <c r="K262" i="3"/>
  <c r="A72" i="3"/>
  <c r="K71" i="3"/>
  <c r="A121" i="3"/>
  <c r="K120" i="3"/>
  <c r="A169" i="3"/>
  <c r="K168" i="3"/>
  <c r="A312" i="3"/>
  <c r="K311" i="3"/>
  <c r="A216" i="3"/>
  <c r="K215" i="3"/>
  <c r="A24" i="3"/>
  <c r="K23" i="3"/>
  <c r="G164" i="3"/>
  <c r="H164" i="3" s="1"/>
  <c r="E164" i="3"/>
  <c r="I307" i="3"/>
  <c r="A23" i="1"/>
  <c r="K23" i="1" s="1"/>
  <c r="A167" i="1"/>
  <c r="K167" i="1" s="1"/>
  <c r="A110" i="1"/>
  <c r="K110" i="1" s="1"/>
  <c r="G19" i="1"/>
  <c r="H19" i="1" s="1"/>
  <c r="I20" i="1" s="1"/>
  <c r="I20" i="3" l="1"/>
  <c r="G307" i="3"/>
  <c r="H307" i="3" s="1"/>
  <c r="E307" i="3"/>
  <c r="K121" i="3"/>
  <c r="A122" i="3"/>
  <c r="A73" i="3"/>
  <c r="K72" i="3"/>
  <c r="G259" i="3"/>
  <c r="H259" i="3" s="1"/>
  <c r="E259" i="3"/>
  <c r="I165" i="3"/>
  <c r="K263" i="3"/>
  <c r="A264" i="3"/>
  <c r="K24" i="3"/>
  <c r="A25" i="3"/>
  <c r="K216" i="3"/>
  <c r="A217" i="3"/>
  <c r="A313" i="3"/>
  <c r="K312" i="3"/>
  <c r="K169" i="3"/>
  <c r="A170" i="3"/>
  <c r="I212" i="3"/>
  <c r="A168" i="1"/>
  <c r="K168" i="1" s="1"/>
  <c r="A24" i="1"/>
  <c r="K24" i="1" s="1"/>
  <c r="E19" i="1"/>
  <c r="K170" i="3" l="1"/>
  <c r="A171" i="3"/>
  <c r="I260" i="3"/>
  <c r="K73" i="3"/>
  <c r="A74" i="3"/>
  <c r="G165" i="3"/>
  <c r="H165" i="3" s="1"/>
  <c r="E165" i="3"/>
  <c r="K217" i="3"/>
  <c r="A218" i="3"/>
  <c r="I308" i="3"/>
  <c r="G212" i="3"/>
  <c r="H212" i="3" s="1"/>
  <c r="E212" i="3"/>
  <c r="K313" i="3"/>
  <c r="A314" i="3"/>
  <c r="A123" i="3"/>
  <c r="K122" i="3"/>
  <c r="A26" i="3"/>
  <c r="K25" i="3"/>
  <c r="A265" i="3"/>
  <c r="K264" i="3"/>
  <c r="G20" i="3"/>
  <c r="H20" i="3" s="1"/>
  <c r="E20" i="3"/>
  <c r="A25" i="1"/>
  <c r="K25" i="1" s="1"/>
  <c r="A169" i="1"/>
  <c r="K169" i="1" s="1"/>
  <c r="I21" i="3" l="1"/>
  <c r="G308" i="3"/>
  <c r="H308" i="3" s="1"/>
  <c r="E308" i="3"/>
  <c r="A219" i="3"/>
  <c r="K218" i="3"/>
  <c r="K265" i="3"/>
  <c r="A266" i="3"/>
  <c r="I166" i="3"/>
  <c r="A75" i="3"/>
  <c r="K74" i="3"/>
  <c r="A315" i="3"/>
  <c r="K314" i="3"/>
  <c r="K26" i="3"/>
  <c r="A27" i="3"/>
  <c r="A124" i="3"/>
  <c r="K123" i="3"/>
  <c r="G260" i="3"/>
  <c r="H260" i="3" s="1"/>
  <c r="E260" i="3"/>
  <c r="A172" i="3"/>
  <c r="K171" i="3"/>
  <c r="I213" i="3"/>
  <c r="G20" i="1"/>
  <c r="H20" i="1" s="1"/>
  <c r="I21" i="1" s="1"/>
  <c r="A170" i="1"/>
  <c r="K170" i="1" s="1"/>
  <c r="A26" i="1"/>
  <c r="K26" i="1" s="1"/>
  <c r="E20" i="1"/>
  <c r="G166" i="3" l="1"/>
  <c r="H166" i="3" s="1"/>
  <c r="E166" i="3"/>
  <c r="A267" i="3"/>
  <c r="K266" i="3"/>
  <c r="A125" i="3"/>
  <c r="K124" i="3"/>
  <c r="A76" i="3"/>
  <c r="K75" i="3"/>
  <c r="I261" i="3"/>
  <c r="I309" i="3"/>
  <c r="A173" i="3"/>
  <c r="K172" i="3"/>
  <c r="A220" i="3"/>
  <c r="K219" i="3"/>
  <c r="A28" i="3"/>
  <c r="K27" i="3"/>
  <c r="G213" i="3"/>
  <c r="H213" i="3" s="1"/>
  <c r="E213" i="3"/>
  <c r="A316" i="3"/>
  <c r="K315" i="3"/>
  <c r="G21" i="3"/>
  <c r="H21" i="3" s="1"/>
  <c r="E21" i="3"/>
  <c r="A27" i="1"/>
  <c r="K27" i="1" s="1"/>
  <c r="A171" i="1"/>
  <c r="K171" i="1" s="1"/>
  <c r="G21" i="1"/>
  <c r="H21" i="1" s="1"/>
  <c r="I22" i="1" s="1"/>
  <c r="I22" i="3" l="1"/>
  <c r="I214" i="3"/>
  <c r="G309" i="3"/>
  <c r="H309" i="3" s="1"/>
  <c r="E309" i="3"/>
  <c r="A317" i="3"/>
  <c r="K316" i="3"/>
  <c r="A77" i="3"/>
  <c r="K76" i="3"/>
  <c r="A29" i="3"/>
  <c r="K28" i="3"/>
  <c r="K267" i="3"/>
  <c r="A268" i="3"/>
  <c r="A221" i="3"/>
  <c r="K220" i="3"/>
  <c r="G261" i="3"/>
  <c r="H261" i="3" s="1"/>
  <c r="E261" i="3"/>
  <c r="K125" i="3"/>
  <c r="A126" i="3"/>
  <c r="K173" i="3"/>
  <c r="A174" i="3"/>
  <c r="I167" i="3"/>
  <c r="A28" i="1"/>
  <c r="K28" i="1" s="1"/>
  <c r="A172" i="1"/>
  <c r="K172" i="1" s="1"/>
  <c r="K174" i="3" l="1"/>
  <c r="A175" i="3"/>
  <c r="K29" i="3"/>
  <c r="A30" i="3"/>
  <c r="K77" i="3"/>
  <c r="A78" i="3"/>
  <c r="K317" i="3"/>
  <c r="A318" i="3"/>
  <c r="E214" i="3"/>
  <c r="G214" i="3"/>
  <c r="H214" i="3" s="1"/>
  <c r="I262" i="3"/>
  <c r="A269" i="3"/>
  <c r="K268" i="3"/>
  <c r="G167" i="3"/>
  <c r="H167" i="3" s="1"/>
  <c r="E167" i="3"/>
  <c r="A127" i="3"/>
  <c r="K126" i="3"/>
  <c r="I310" i="3"/>
  <c r="K221" i="3"/>
  <c r="A222" i="3"/>
  <c r="G22" i="3"/>
  <c r="H22" i="3" s="1"/>
  <c r="E22" i="3"/>
  <c r="A173" i="1"/>
  <c r="K173" i="1" s="1"/>
  <c r="A29" i="1"/>
  <c r="K29" i="1" s="1"/>
  <c r="E21" i="1"/>
  <c r="G22" i="1"/>
  <c r="H22" i="1" s="1"/>
  <c r="I23" i="3" l="1"/>
  <c r="A319" i="3"/>
  <c r="K318" i="3"/>
  <c r="G310" i="3"/>
  <c r="H310" i="3" s="1"/>
  <c r="E310" i="3"/>
  <c r="A128" i="3"/>
  <c r="K127" i="3"/>
  <c r="I215" i="3"/>
  <c r="K30" i="3"/>
  <c r="A31" i="3"/>
  <c r="A176" i="3"/>
  <c r="K175" i="3"/>
  <c r="G262" i="3"/>
  <c r="H262" i="3" s="1"/>
  <c r="E262" i="3"/>
  <c r="A223" i="3"/>
  <c r="K222" i="3"/>
  <c r="A79" i="3"/>
  <c r="K78" i="3"/>
  <c r="I168" i="3"/>
  <c r="K269" i="3"/>
  <c r="A270" i="3"/>
  <c r="I23" i="1"/>
  <c r="G23" i="1" s="1"/>
  <c r="H23" i="1" s="1"/>
  <c r="L23" i="1"/>
  <c r="M23" i="1" s="1"/>
  <c r="A30" i="1"/>
  <c r="K30" i="1" s="1"/>
  <c r="A174" i="1"/>
  <c r="K174" i="1" s="1"/>
  <c r="E22" i="1"/>
  <c r="A80" i="3" l="1"/>
  <c r="K79" i="3"/>
  <c r="A32" i="3"/>
  <c r="K31" i="3"/>
  <c r="A271" i="3"/>
  <c r="K270" i="3"/>
  <c r="I263" i="3"/>
  <c r="A320" i="3"/>
  <c r="K319" i="3"/>
  <c r="G215" i="3"/>
  <c r="H215" i="3" s="1"/>
  <c r="E215" i="3"/>
  <c r="A129" i="3"/>
  <c r="K128" i="3"/>
  <c r="I311" i="3"/>
  <c r="G168" i="3"/>
  <c r="H168" i="3" s="1"/>
  <c r="E168" i="3"/>
  <c r="A224" i="3"/>
  <c r="K223" i="3"/>
  <c r="A177" i="3"/>
  <c r="K176" i="3"/>
  <c r="G23" i="3"/>
  <c r="H23" i="3" s="1"/>
  <c r="E23" i="3"/>
  <c r="I24" i="1"/>
  <c r="A175" i="1"/>
  <c r="K175" i="1" s="1"/>
  <c r="A31" i="1"/>
  <c r="K31" i="1" s="1"/>
  <c r="E23" i="1"/>
  <c r="I216" i="3" l="1"/>
  <c r="G263" i="3"/>
  <c r="H263" i="3" s="1"/>
  <c r="E263" i="3"/>
  <c r="G311" i="3"/>
  <c r="H311" i="3" s="1"/>
  <c r="E311" i="3"/>
  <c r="A33" i="3"/>
  <c r="K32" i="3"/>
  <c r="I169" i="3"/>
  <c r="I24" i="3"/>
  <c r="K177" i="3"/>
  <c r="A178" i="3"/>
  <c r="A321" i="3"/>
  <c r="K320" i="3"/>
  <c r="K224" i="3"/>
  <c r="A225" i="3"/>
  <c r="K271" i="3"/>
  <c r="A272" i="3"/>
  <c r="K129" i="3"/>
  <c r="A130" i="3"/>
  <c r="K80" i="3"/>
  <c r="A81" i="3"/>
  <c r="L24" i="1"/>
  <c r="M24" i="1" s="1"/>
  <c r="A32" i="1"/>
  <c r="K32" i="1" s="1"/>
  <c r="A176" i="1"/>
  <c r="K176" i="1" s="1"/>
  <c r="G24" i="1"/>
  <c r="H24" i="1" s="1"/>
  <c r="J25" i="1" s="1"/>
  <c r="G24" i="3" l="1"/>
  <c r="H24" i="3" s="1"/>
  <c r="E24" i="3"/>
  <c r="I264" i="3"/>
  <c r="K81" i="3"/>
  <c r="A82" i="3"/>
  <c r="A34" i="3"/>
  <c r="K33" i="3"/>
  <c r="K225" i="3"/>
  <c r="A226" i="3"/>
  <c r="K321" i="3"/>
  <c r="A322" i="3"/>
  <c r="K178" i="3"/>
  <c r="A179" i="3"/>
  <c r="A131" i="3"/>
  <c r="K130" i="3"/>
  <c r="G169" i="3"/>
  <c r="H169" i="3" s="1"/>
  <c r="E169" i="3"/>
  <c r="A273" i="3"/>
  <c r="K272" i="3"/>
  <c r="I312" i="3"/>
  <c r="G216" i="3"/>
  <c r="H216" i="3" s="1"/>
  <c r="E216" i="3"/>
  <c r="I25" i="1"/>
  <c r="A33" i="1"/>
  <c r="K33" i="1" s="1"/>
  <c r="A177" i="1"/>
  <c r="K177" i="1" s="1"/>
  <c r="E24" i="1"/>
  <c r="G312" i="3" l="1"/>
  <c r="H312" i="3" s="1"/>
  <c r="E312" i="3"/>
  <c r="K273" i="3"/>
  <c r="A274" i="3"/>
  <c r="G264" i="3"/>
  <c r="H264" i="3" s="1"/>
  <c r="E264" i="3"/>
  <c r="A323" i="3"/>
  <c r="K322" i="3"/>
  <c r="A227" i="3"/>
  <c r="K226" i="3"/>
  <c r="A83" i="3"/>
  <c r="K82" i="3"/>
  <c r="I217" i="3"/>
  <c r="I170" i="3"/>
  <c r="A132" i="3"/>
  <c r="K131" i="3"/>
  <c r="A180" i="3"/>
  <c r="K179" i="3"/>
  <c r="K34" i="3"/>
  <c r="A35" i="3"/>
  <c r="I25" i="3"/>
  <c r="A178" i="1"/>
  <c r="K178" i="1" s="1"/>
  <c r="A34" i="1"/>
  <c r="K34" i="1" s="1"/>
  <c r="A324" i="3" l="1"/>
  <c r="K323" i="3"/>
  <c r="A181" i="3"/>
  <c r="K180" i="3"/>
  <c r="K132" i="3"/>
  <c r="A133" i="3"/>
  <c r="G25" i="3"/>
  <c r="H25" i="3" s="1"/>
  <c r="E25" i="3"/>
  <c r="A36" i="3"/>
  <c r="K35" i="3"/>
  <c r="A228" i="3"/>
  <c r="K227" i="3"/>
  <c r="G170" i="3"/>
  <c r="H170" i="3" s="1"/>
  <c r="E170" i="3"/>
  <c r="A84" i="3"/>
  <c r="K83" i="3"/>
  <c r="I265" i="3"/>
  <c r="A275" i="3"/>
  <c r="K274" i="3"/>
  <c r="G217" i="3"/>
  <c r="H217" i="3" s="1"/>
  <c r="E217" i="3"/>
  <c r="I313" i="3"/>
  <c r="A35" i="1"/>
  <c r="K35" i="1" s="1"/>
  <c r="A179" i="1"/>
  <c r="K179" i="1" s="1"/>
  <c r="I218" i="3" l="1"/>
  <c r="A37" i="3"/>
  <c r="K36" i="3"/>
  <c r="K275" i="3"/>
  <c r="A276" i="3"/>
  <c r="K181" i="3"/>
  <c r="A182" i="3"/>
  <c r="G313" i="3"/>
  <c r="H313" i="3" s="1"/>
  <c r="E313" i="3"/>
  <c r="A229" i="3"/>
  <c r="K228" i="3"/>
  <c r="E265" i="3"/>
  <c r="G265" i="3"/>
  <c r="H265" i="3" s="1"/>
  <c r="I26" i="3"/>
  <c r="K133" i="3"/>
  <c r="A134" i="3"/>
  <c r="K84" i="3"/>
  <c r="A85" i="3"/>
  <c r="I171" i="3"/>
  <c r="A325" i="3"/>
  <c r="K324" i="3"/>
  <c r="A36" i="1"/>
  <c r="K36" i="1" s="1"/>
  <c r="A180" i="1"/>
  <c r="K180" i="1" s="1"/>
  <c r="K325" i="3" l="1"/>
  <c r="A326" i="3"/>
  <c r="K85" i="3"/>
  <c r="A86" i="3"/>
  <c r="I314" i="3"/>
  <c r="G171" i="3"/>
  <c r="H171" i="3" s="1"/>
  <c r="E171" i="3"/>
  <c r="K182" i="3"/>
  <c r="A183" i="3"/>
  <c r="A38" i="3"/>
  <c r="K37" i="3"/>
  <c r="A135" i="3"/>
  <c r="K134" i="3"/>
  <c r="A277" i="3"/>
  <c r="K276" i="3"/>
  <c r="I266" i="3"/>
  <c r="K229" i="3"/>
  <c r="A230" i="3"/>
  <c r="G26" i="3"/>
  <c r="H26" i="3" s="1"/>
  <c r="E26" i="3"/>
  <c r="G218" i="3"/>
  <c r="H218" i="3" s="1"/>
  <c r="E218" i="3"/>
  <c r="A181" i="1"/>
  <c r="K181" i="1" s="1"/>
  <c r="A37" i="1"/>
  <c r="K37" i="1" s="1"/>
  <c r="I27" i="3" l="1"/>
  <c r="K38" i="3"/>
  <c r="A39" i="3"/>
  <c r="A184" i="3"/>
  <c r="K183" i="3"/>
  <c r="I172" i="3"/>
  <c r="I219" i="3"/>
  <c r="A231" i="3"/>
  <c r="K230" i="3"/>
  <c r="G314" i="3"/>
  <c r="H314" i="3" s="1"/>
  <c r="E314" i="3"/>
  <c r="A87" i="3"/>
  <c r="K86" i="3"/>
  <c r="K277" i="3"/>
  <c r="A278" i="3"/>
  <c r="A327" i="3"/>
  <c r="K326" i="3"/>
  <c r="G266" i="3"/>
  <c r="H266" i="3" s="1"/>
  <c r="E266" i="3"/>
  <c r="A136" i="3"/>
  <c r="K135" i="3"/>
  <c r="A38" i="1"/>
  <c r="K38" i="1" s="1"/>
  <c r="A182" i="1"/>
  <c r="K182" i="1" s="1"/>
  <c r="I267" i="3" l="1"/>
  <c r="G219" i="3"/>
  <c r="H219" i="3" s="1"/>
  <c r="E219" i="3"/>
  <c r="A279" i="3"/>
  <c r="K278" i="3"/>
  <c r="A137" i="3"/>
  <c r="K136" i="3"/>
  <c r="A232" i="3"/>
  <c r="K231" i="3"/>
  <c r="G172" i="3"/>
  <c r="H172" i="3" s="1"/>
  <c r="E172" i="3"/>
  <c r="A328" i="3"/>
  <c r="K327" i="3"/>
  <c r="A185" i="3"/>
  <c r="K184" i="3"/>
  <c r="A40" i="3"/>
  <c r="K39" i="3"/>
  <c r="A88" i="3"/>
  <c r="K87" i="3"/>
  <c r="I315" i="3"/>
  <c r="G27" i="3"/>
  <c r="H27" i="3" s="1"/>
  <c r="E27" i="3"/>
  <c r="A183" i="1"/>
  <c r="K183" i="1" s="1"/>
  <c r="A39" i="1"/>
  <c r="K39" i="1" s="1"/>
  <c r="I28" i="3" l="1"/>
  <c r="G315" i="3"/>
  <c r="H315" i="3" s="1"/>
  <c r="E315" i="3"/>
  <c r="I220" i="3"/>
  <c r="A233" i="3"/>
  <c r="K232" i="3"/>
  <c r="A89" i="3"/>
  <c r="K88" i="3"/>
  <c r="K137" i="3"/>
  <c r="A138" i="3"/>
  <c r="A41" i="3"/>
  <c r="K40" i="3"/>
  <c r="K279" i="3"/>
  <c r="A280" i="3"/>
  <c r="K185" i="3"/>
  <c r="A186" i="3"/>
  <c r="I173" i="3"/>
  <c r="J173" i="3"/>
  <c r="A329" i="3"/>
  <c r="K328" i="3"/>
  <c r="G267" i="3"/>
  <c r="H267" i="3" s="1"/>
  <c r="E267" i="3"/>
  <c r="A40" i="1"/>
  <c r="K40" i="1" s="1"/>
  <c r="A184" i="1"/>
  <c r="K184" i="1" s="1"/>
  <c r="I268" i="3" l="1"/>
  <c r="G220" i="3"/>
  <c r="H220" i="3" s="1"/>
  <c r="E220" i="3"/>
  <c r="E173" i="3"/>
  <c r="L173" i="3"/>
  <c r="M173" i="3"/>
  <c r="K233" i="3"/>
  <c r="A234" i="3"/>
  <c r="G173" i="3"/>
  <c r="H173" i="3" s="1"/>
  <c r="I316" i="3"/>
  <c r="A139" i="3"/>
  <c r="K138" i="3"/>
  <c r="K329" i="3"/>
  <c r="A330" i="3"/>
  <c r="K89" i="3"/>
  <c r="A90" i="3"/>
  <c r="K186" i="3"/>
  <c r="A187" i="3"/>
  <c r="A281" i="3"/>
  <c r="K280" i="3"/>
  <c r="K41" i="3"/>
  <c r="A42" i="3"/>
  <c r="G28" i="3"/>
  <c r="H28" i="3" s="1"/>
  <c r="E28" i="3"/>
  <c r="A185" i="1"/>
  <c r="K185" i="1" s="1"/>
  <c r="A41" i="1"/>
  <c r="K41" i="1" s="1"/>
  <c r="I174" i="3" l="1"/>
  <c r="J174" i="3"/>
  <c r="A188" i="3"/>
  <c r="K187" i="3"/>
  <c r="A91" i="3"/>
  <c r="K90" i="3"/>
  <c r="A235" i="3"/>
  <c r="K234" i="3"/>
  <c r="G316" i="3"/>
  <c r="H316" i="3" s="1"/>
  <c r="E316" i="3"/>
  <c r="I221" i="3"/>
  <c r="A331" i="3"/>
  <c r="K330" i="3"/>
  <c r="G268" i="3"/>
  <c r="H268" i="3" s="1"/>
  <c r="E268" i="3"/>
  <c r="K281" i="3"/>
  <c r="A282" i="3"/>
  <c r="I29" i="3"/>
  <c r="J29" i="3"/>
  <c r="K139" i="3"/>
  <c r="A140" i="3"/>
  <c r="K42" i="3"/>
  <c r="A43" i="3"/>
  <c r="A42" i="1"/>
  <c r="K42" i="1" s="1"/>
  <c r="A186" i="1"/>
  <c r="K186" i="1" s="1"/>
  <c r="G221" i="3" l="1"/>
  <c r="H221" i="3" s="1"/>
  <c r="E221" i="3"/>
  <c r="A141" i="3"/>
  <c r="K140" i="3"/>
  <c r="A236" i="3"/>
  <c r="K235" i="3"/>
  <c r="A189" i="3"/>
  <c r="K188" i="3"/>
  <c r="E29" i="3"/>
  <c r="L29" i="3"/>
  <c r="M29" i="3" s="1"/>
  <c r="L174" i="3"/>
  <c r="M174" i="3" s="1"/>
  <c r="E174" i="3"/>
  <c r="I317" i="3"/>
  <c r="A92" i="3"/>
  <c r="K91" i="3"/>
  <c r="A44" i="3"/>
  <c r="K43" i="3"/>
  <c r="A332" i="3"/>
  <c r="K331" i="3"/>
  <c r="G29" i="3"/>
  <c r="H29" i="3" s="1"/>
  <c r="A283" i="3"/>
  <c r="K282" i="3"/>
  <c r="I269" i="3"/>
  <c r="G174" i="3"/>
  <c r="H174" i="3" s="1"/>
  <c r="A187" i="1"/>
  <c r="K187" i="1" s="1"/>
  <c r="A43" i="1"/>
  <c r="K43" i="1" s="1"/>
  <c r="A333" i="3" l="1"/>
  <c r="K332" i="3"/>
  <c r="A45" i="3"/>
  <c r="K44" i="3"/>
  <c r="A93" i="3"/>
  <c r="K92" i="3"/>
  <c r="A190" i="3"/>
  <c r="I175" i="3"/>
  <c r="J175" i="3"/>
  <c r="A142" i="3"/>
  <c r="G269" i="3"/>
  <c r="H269" i="3" s="1"/>
  <c r="E269" i="3"/>
  <c r="G317" i="3"/>
  <c r="H317" i="3" s="1"/>
  <c r="E317" i="3"/>
  <c r="K236" i="3"/>
  <c r="A237" i="3"/>
  <c r="K283" i="3"/>
  <c r="A284" i="3"/>
  <c r="I30" i="3"/>
  <c r="J30" i="3"/>
  <c r="I222" i="3"/>
  <c r="J222" i="3"/>
  <c r="A188" i="1"/>
  <c r="K188" i="1" s="1"/>
  <c r="A44" i="1"/>
  <c r="K44" i="1" s="1"/>
  <c r="L30" i="3" l="1"/>
  <c r="E30" i="3"/>
  <c r="M30" i="3"/>
  <c r="K142" i="3"/>
  <c r="A143" i="3"/>
  <c r="G30" i="3"/>
  <c r="H30" i="3" s="1"/>
  <c r="A191" i="3"/>
  <c r="K190" i="3"/>
  <c r="A238" i="3"/>
  <c r="M222" i="3"/>
  <c r="L222" i="3"/>
  <c r="E222" i="3"/>
  <c r="A46" i="3"/>
  <c r="G175" i="3"/>
  <c r="H175" i="3" s="1"/>
  <c r="I318" i="3"/>
  <c r="I270" i="3"/>
  <c r="L175" i="3"/>
  <c r="M175" i="3" s="1"/>
  <c r="E175" i="3"/>
  <c r="A285" i="3"/>
  <c r="K284" i="3"/>
  <c r="A94" i="3"/>
  <c r="G222" i="3"/>
  <c r="H222" i="3" s="1"/>
  <c r="A334" i="3"/>
  <c r="A189" i="1"/>
  <c r="A45" i="1"/>
  <c r="A192" i="3" l="1"/>
  <c r="K191" i="3"/>
  <c r="G270" i="3"/>
  <c r="H270" i="3" s="1"/>
  <c r="E270" i="3"/>
  <c r="I31" i="3"/>
  <c r="J31" i="3"/>
  <c r="I223" i="3"/>
  <c r="J223" i="3"/>
  <c r="I176" i="3"/>
  <c r="G176" i="3" s="1"/>
  <c r="H176" i="3" s="1"/>
  <c r="J176" i="3"/>
  <c r="K46" i="3"/>
  <c r="A47" i="3"/>
  <c r="A286" i="3"/>
  <c r="G318" i="3"/>
  <c r="H318" i="3" s="1"/>
  <c r="E318" i="3"/>
  <c r="A95" i="3"/>
  <c r="K94" i="3"/>
  <c r="A144" i="3"/>
  <c r="K143" i="3"/>
  <c r="K238" i="3"/>
  <c r="A239" i="3"/>
  <c r="K334" i="3"/>
  <c r="A335" i="3"/>
  <c r="A46" i="1"/>
  <c r="K46" i="1" s="1"/>
  <c r="A190" i="1"/>
  <c r="K190" i="1" s="1"/>
  <c r="I177" i="3" l="1"/>
  <c r="J177" i="3"/>
  <c r="E223" i="3"/>
  <c r="L223" i="3"/>
  <c r="M223" i="3" s="1"/>
  <c r="K95" i="3"/>
  <c r="A96" i="3"/>
  <c r="A145" i="3"/>
  <c r="K144" i="3"/>
  <c r="I319" i="3"/>
  <c r="A287" i="3"/>
  <c r="K286" i="3"/>
  <c r="L31" i="3"/>
  <c r="M31" i="3" s="1"/>
  <c r="E31" i="3"/>
  <c r="I271" i="3"/>
  <c r="J271" i="3"/>
  <c r="G31" i="3"/>
  <c r="H31" i="3" s="1"/>
  <c r="A336" i="3"/>
  <c r="K335" i="3"/>
  <c r="A48" i="3"/>
  <c r="K47" i="3"/>
  <c r="G223" i="3"/>
  <c r="H223" i="3" s="1"/>
  <c r="A240" i="3"/>
  <c r="K239" i="3"/>
  <c r="E176" i="3"/>
  <c r="L176" i="3"/>
  <c r="M176" i="3"/>
  <c r="K192" i="3"/>
  <c r="A193" i="3"/>
  <c r="A47" i="1"/>
  <c r="K47" i="1" s="1"/>
  <c r="A191" i="1"/>
  <c r="K191" i="1" s="1"/>
  <c r="G319" i="3" l="1"/>
  <c r="H319" i="3" s="1"/>
  <c r="E319" i="3"/>
  <c r="E271" i="3"/>
  <c r="L271" i="3"/>
  <c r="M271" i="3" s="1"/>
  <c r="G271" i="3"/>
  <c r="H271" i="3" s="1"/>
  <c r="K240" i="3"/>
  <c r="A241" i="3"/>
  <c r="A194" i="3"/>
  <c r="K193" i="3"/>
  <c r="E177" i="3"/>
  <c r="L177" i="3"/>
  <c r="M177" i="3"/>
  <c r="A337" i="3"/>
  <c r="K336" i="3"/>
  <c r="I224" i="3"/>
  <c r="J224" i="3"/>
  <c r="A49" i="3"/>
  <c r="K48" i="3"/>
  <c r="A288" i="3"/>
  <c r="K287" i="3"/>
  <c r="J32" i="3"/>
  <c r="I32" i="3"/>
  <c r="K145" i="3"/>
  <c r="A146" i="3"/>
  <c r="A97" i="3"/>
  <c r="K96" i="3"/>
  <c r="G177" i="3"/>
  <c r="H177" i="3" s="1"/>
  <c r="A192" i="1"/>
  <c r="K192" i="1" s="1"/>
  <c r="A48" i="1"/>
  <c r="K48" i="1" s="1"/>
  <c r="L224" i="3" l="1"/>
  <c r="M224" i="3" s="1"/>
  <c r="E224" i="3"/>
  <c r="A195" i="3"/>
  <c r="K194" i="3"/>
  <c r="I178" i="3"/>
  <c r="J178" i="3"/>
  <c r="A98" i="3"/>
  <c r="K97" i="3"/>
  <c r="A147" i="3"/>
  <c r="K146" i="3"/>
  <c r="A289" i="3"/>
  <c r="K288" i="3"/>
  <c r="K241" i="3"/>
  <c r="A242" i="3"/>
  <c r="G224" i="3"/>
  <c r="H224" i="3" s="1"/>
  <c r="I272" i="3"/>
  <c r="J272" i="3"/>
  <c r="A338" i="3"/>
  <c r="K337" i="3"/>
  <c r="E32" i="3"/>
  <c r="L32" i="3"/>
  <c r="M32" i="3" s="1"/>
  <c r="K49" i="3"/>
  <c r="A50" i="3"/>
  <c r="G32" i="3"/>
  <c r="H32" i="3" s="1"/>
  <c r="I320" i="3"/>
  <c r="A49" i="1"/>
  <c r="K49" i="1" s="1"/>
  <c r="A193" i="1"/>
  <c r="K193" i="1" s="1"/>
  <c r="A148" i="3" l="1"/>
  <c r="K147" i="3"/>
  <c r="L178" i="3"/>
  <c r="M178" i="3" s="1"/>
  <c r="E178" i="3"/>
  <c r="K338" i="3"/>
  <c r="A339" i="3"/>
  <c r="A99" i="3"/>
  <c r="K98" i="3"/>
  <c r="G320" i="3"/>
  <c r="H320" i="3" s="1"/>
  <c r="E320" i="3"/>
  <c r="I225" i="3"/>
  <c r="J225" i="3"/>
  <c r="L272" i="3"/>
  <c r="M272" i="3" s="1"/>
  <c r="E272" i="3"/>
  <c r="I33" i="3"/>
  <c r="J33" i="3"/>
  <c r="A51" i="3"/>
  <c r="K50" i="3"/>
  <c r="A196" i="3"/>
  <c r="K195" i="3"/>
  <c r="G178" i="3"/>
  <c r="H178" i="3" s="1"/>
  <c r="A243" i="3"/>
  <c r="K242" i="3"/>
  <c r="G272" i="3"/>
  <c r="H272" i="3" s="1"/>
  <c r="K289" i="3"/>
  <c r="A290" i="3"/>
  <c r="A194" i="1"/>
  <c r="K194" i="1" s="1"/>
  <c r="A50" i="1"/>
  <c r="K50" i="1" s="1"/>
  <c r="E33" i="3" l="1"/>
  <c r="L33" i="3"/>
  <c r="M33" i="3" s="1"/>
  <c r="A52" i="3"/>
  <c r="K51" i="3"/>
  <c r="I273" i="3"/>
  <c r="J273" i="3"/>
  <c r="G33" i="3"/>
  <c r="H33" i="3" s="1"/>
  <c r="A291" i="3"/>
  <c r="K290" i="3"/>
  <c r="A340" i="3"/>
  <c r="K339" i="3"/>
  <c r="L225" i="3"/>
  <c r="M225" i="3" s="1"/>
  <c r="E225" i="3"/>
  <c r="I179" i="3"/>
  <c r="J179" i="3"/>
  <c r="I321" i="3"/>
  <c r="A100" i="3"/>
  <c r="K99" i="3"/>
  <c r="A244" i="3"/>
  <c r="K243" i="3"/>
  <c r="A197" i="3"/>
  <c r="K196" i="3"/>
  <c r="G225" i="3"/>
  <c r="H225" i="3" s="1"/>
  <c r="A149" i="3"/>
  <c r="K148" i="3"/>
  <c r="A51" i="1"/>
  <c r="K51" i="1" s="1"/>
  <c r="A195" i="1"/>
  <c r="K195" i="1" s="1"/>
  <c r="A101" i="3" l="1"/>
  <c r="K100" i="3"/>
  <c r="K291" i="3"/>
  <c r="A292" i="3"/>
  <c r="I34" i="3"/>
  <c r="J34" i="3"/>
  <c r="G321" i="3"/>
  <c r="H321" i="3" s="1"/>
  <c r="E321" i="3"/>
  <c r="G179" i="3"/>
  <c r="H179" i="3" s="1"/>
  <c r="L179" i="3"/>
  <c r="M179" i="3" s="1"/>
  <c r="E179" i="3"/>
  <c r="A150" i="3"/>
  <c r="K149" i="3"/>
  <c r="I226" i="3"/>
  <c r="J226" i="3"/>
  <c r="A341" i="3"/>
  <c r="K340" i="3"/>
  <c r="G273" i="3"/>
  <c r="H273" i="3" s="1"/>
  <c r="A53" i="3"/>
  <c r="K52" i="3"/>
  <c r="M273" i="3"/>
  <c r="L273" i="3"/>
  <c r="E273" i="3"/>
  <c r="A198" i="3"/>
  <c r="K197" i="3"/>
  <c r="A245" i="3"/>
  <c r="K244" i="3"/>
  <c r="A196" i="1"/>
  <c r="K196" i="1" s="1"/>
  <c r="A52" i="1"/>
  <c r="K52" i="1" s="1"/>
  <c r="A54" i="3" l="1"/>
  <c r="K53" i="3"/>
  <c r="I322" i="3"/>
  <c r="J322" i="3"/>
  <c r="L34" i="3"/>
  <c r="E34" i="3"/>
  <c r="M34" i="3"/>
  <c r="E226" i="3"/>
  <c r="L226" i="3"/>
  <c r="M226" i="3"/>
  <c r="A293" i="3"/>
  <c r="K292" i="3"/>
  <c r="I274" i="3"/>
  <c r="J274" i="3"/>
  <c r="G34" i="3"/>
  <c r="H34" i="3" s="1"/>
  <c r="A199" i="3"/>
  <c r="K198" i="3"/>
  <c r="I180" i="3"/>
  <c r="J180" i="3"/>
  <c r="A342" i="3"/>
  <c r="K341" i="3"/>
  <c r="A246" i="3"/>
  <c r="K245" i="3"/>
  <c r="A151" i="3"/>
  <c r="K150" i="3"/>
  <c r="G226" i="3"/>
  <c r="H226" i="3" s="1"/>
  <c r="A102" i="3"/>
  <c r="K101" i="3"/>
  <c r="A53" i="1"/>
  <c r="K53" i="1" s="1"/>
  <c r="A197" i="1"/>
  <c r="K197" i="1" s="1"/>
  <c r="G180" i="3" l="1"/>
  <c r="H180" i="3" s="1"/>
  <c r="I227" i="3"/>
  <c r="J227" i="3"/>
  <c r="I35" i="3"/>
  <c r="J35" i="3"/>
  <c r="A343" i="3"/>
  <c r="K342" i="3"/>
  <c r="K199" i="3"/>
  <c r="A200" i="3"/>
  <c r="G274" i="3"/>
  <c r="H274" i="3" s="1"/>
  <c r="E180" i="3"/>
  <c r="L180" i="3"/>
  <c r="M180" i="3" s="1"/>
  <c r="K102" i="3"/>
  <c r="A103" i="3"/>
  <c r="G322" i="3"/>
  <c r="H322" i="3" s="1"/>
  <c r="E274" i="3"/>
  <c r="L274" i="3"/>
  <c r="M274" i="3" s="1"/>
  <c r="K246" i="3"/>
  <c r="A247" i="3"/>
  <c r="M322" i="3"/>
  <c r="E322" i="3"/>
  <c r="L322" i="3"/>
  <c r="A152" i="3"/>
  <c r="K151" i="3"/>
  <c r="A294" i="3"/>
  <c r="K293" i="3"/>
  <c r="A55" i="3"/>
  <c r="K54" i="3"/>
  <c r="A198" i="1"/>
  <c r="K198" i="1" s="1"/>
  <c r="A54" i="1"/>
  <c r="K54" i="1" s="1"/>
  <c r="A248" i="3" l="1"/>
  <c r="K247" i="3"/>
  <c r="A295" i="3"/>
  <c r="K294" i="3"/>
  <c r="I275" i="3"/>
  <c r="J275" i="3"/>
  <c r="I323" i="3"/>
  <c r="J323" i="3"/>
  <c r="E227" i="3"/>
  <c r="M227" i="3"/>
  <c r="L227" i="3"/>
  <c r="A56" i="3"/>
  <c r="K55" i="3"/>
  <c r="A344" i="3"/>
  <c r="K343" i="3"/>
  <c r="G35" i="3"/>
  <c r="H35" i="3" s="1"/>
  <c r="A153" i="3"/>
  <c r="K152" i="3"/>
  <c r="A201" i="3"/>
  <c r="K200" i="3"/>
  <c r="A104" i="3"/>
  <c r="K103" i="3"/>
  <c r="G227" i="3"/>
  <c r="H227" i="3" s="1"/>
  <c r="L35" i="3"/>
  <c r="M35" i="3" s="1"/>
  <c r="E35" i="3"/>
  <c r="I181" i="3"/>
  <c r="J181" i="3"/>
  <c r="A55" i="1"/>
  <c r="K55" i="1" s="1"/>
  <c r="A199" i="1"/>
  <c r="K199" i="1" s="1"/>
  <c r="E323" i="3" l="1"/>
  <c r="L323" i="3"/>
  <c r="M323" i="3" s="1"/>
  <c r="G323" i="3"/>
  <c r="H323" i="3" s="1"/>
  <c r="E181" i="3"/>
  <c r="L181" i="3"/>
  <c r="M181" i="3" s="1"/>
  <c r="K201" i="3"/>
  <c r="A202" i="3"/>
  <c r="A154" i="3"/>
  <c r="K153" i="3"/>
  <c r="J36" i="3"/>
  <c r="I36" i="3"/>
  <c r="A345" i="3"/>
  <c r="K344" i="3"/>
  <c r="K295" i="3"/>
  <c r="A296" i="3"/>
  <c r="E275" i="3"/>
  <c r="L275" i="3"/>
  <c r="M275" i="3" s="1"/>
  <c r="G275" i="3"/>
  <c r="H275" i="3" s="1"/>
  <c r="A57" i="3"/>
  <c r="K56" i="3"/>
  <c r="A105" i="3"/>
  <c r="K104" i="3"/>
  <c r="G181" i="3"/>
  <c r="H181" i="3" s="1"/>
  <c r="I228" i="3"/>
  <c r="J228" i="3"/>
  <c r="A249" i="3"/>
  <c r="K248" i="3"/>
  <c r="A56" i="1"/>
  <c r="K56" i="1" s="1"/>
  <c r="A200" i="1"/>
  <c r="K200" i="1" s="1"/>
  <c r="E228" i="3" l="1"/>
  <c r="L228" i="3"/>
  <c r="M228" i="3" s="1"/>
  <c r="A297" i="3"/>
  <c r="K296" i="3"/>
  <c r="K154" i="3"/>
  <c r="A155" i="3"/>
  <c r="I182" i="3"/>
  <c r="J182" i="3"/>
  <c r="A346" i="3"/>
  <c r="K345" i="3"/>
  <c r="A203" i="3"/>
  <c r="K202" i="3"/>
  <c r="G228" i="3"/>
  <c r="H228" i="3" s="1"/>
  <c r="I324" i="3"/>
  <c r="J324" i="3"/>
  <c r="I276" i="3"/>
  <c r="J276" i="3"/>
  <c r="K105" i="3"/>
  <c r="A106" i="3"/>
  <c r="G36" i="3"/>
  <c r="H36" i="3" s="1"/>
  <c r="K57" i="3"/>
  <c r="A58" i="3"/>
  <c r="K249" i="3"/>
  <c r="A250" i="3"/>
  <c r="E36" i="3"/>
  <c r="L36" i="3"/>
  <c r="M36" i="3" s="1"/>
  <c r="A201" i="1"/>
  <c r="K201" i="1" s="1"/>
  <c r="A57" i="1"/>
  <c r="K57" i="1" s="1"/>
  <c r="I37" i="3" l="1"/>
  <c r="J37" i="3"/>
  <c r="K346" i="3"/>
  <c r="A347" i="3"/>
  <c r="A107" i="3"/>
  <c r="K106" i="3"/>
  <c r="L276" i="3"/>
  <c r="M276" i="3" s="1"/>
  <c r="E276" i="3"/>
  <c r="G324" i="3"/>
  <c r="H324" i="3" s="1"/>
  <c r="M182" i="3"/>
  <c r="L182" i="3"/>
  <c r="E182" i="3"/>
  <c r="G182" i="3"/>
  <c r="H182" i="3" s="1"/>
  <c r="G276" i="3"/>
  <c r="H276" i="3" s="1"/>
  <c r="A156" i="3"/>
  <c r="K155" i="3"/>
  <c r="A251" i="3"/>
  <c r="K250" i="3"/>
  <c r="A298" i="3"/>
  <c r="K297" i="3"/>
  <c r="L324" i="3"/>
  <c r="M324" i="3" s="1"/>
  <c r="E324" i="3"/>
  <c r="I229" i="3"/>
  <c r="J229" i="3"/>
  <c r="K58" i="3"/>
  <c r="A59" i="3"/>
  <c r="A204" i="3"/>
  <c r="K203" i="3"/>
  <c r="A58" i="1"/>
  <c r="K58" i="1" s="1"/>
  <c r="A202" i="1"/>
  <c r="K202" i="1" s="1"/>
  <c r="A108" i="3" l="1"/>
  <c r="K107" i="3"/>
  <c r="A348" i="3"/>
  <c r="K347" i="3"/>
  <c r="A299" i="3"/>
  <c r="K298" i="3"/>
  <c r="K204" i="3"/>
  <c r="A205" i="3"/>
  <c r="A252" i="3"/>
  <c r="K251" i="3"/>
  <c r="K156" i="3"/>
  <c r="A157" i="3"/>
  <c r="I277" i="3"/>
  <c r="J277" i="3"/>
  <c r="I325" i="3"/>
  <c r="J325" i="3"/>
  <c r="A60" i="3"/>
  <c r="K59" i="3"/>
  <c r="E37" i="3"/>
  <c r="L37" i="3"/>
  <c r="M37" i="3" s="1"/>
  <c r="G229" i="3"/>
  <c r="H229" i="3" s="1"/>
  <c r="I183" i="3"/>
  <c r="J183" i="3"/>
  <c r="L229" i="3"/>
  <c r="M229" i="3" s="1"/>
  <c r="E229" i="3"/>
  <c r="G37" i="3"/>
  <c r="H37" i="3" s="1"/>
  <c r="A203" i="1"/>
  <c r="K203" i="1" s="1"/>
  <c r="A59" i="1"/>
  <c r="K59" i="1" s="1"/>
  <c r="I230" i="3" l="1"/>
  <c r="J230" i="3"/>
  <c r="A206" i="3"/>
  <c r="K206" i="3" s="1"/>
  <c r="K205" i="3"/>
  <c r="L325" i="3"/>
  <c r="E325" i="3"/>
  <c r="M325" i="3"/>
  <c r="A300" i="3"/>
  <c r="K299" i="3"/>
  <c r="K157" i="3"/>
  <c r="A158" i="3"/>
  <c r="K158" i="3" s="1"/>
  <c r="K252" i="3"/>
  <c r="A253" i="3"/>
  <c r="I38" i="3"/>
  <c r="J38" i="3"/>
  <c r="A61" i="3"/>
  <c r="K60" i="3"/>
  <c r="L277" i="3"/>
  <c r="M277" i="3" s="1"/>
  <c r="E277" i="3"/>
  <c r="A349" i="3"/>
  <c r="K348" i="3"/>
  <c r="G325" i="3"/>
  <c r="H325" i="3" s="1"/>
  <c r="G277" i="3"/>
  <c r="H277" i="3" s="1"/>
  <c r="L183" i="3"/>
  <c r="M183" i="3" s="1"/>
  <c r="E183" i="3"/>
  <c r="G183" i="3"/>
  <c r="H183" i="3" s="1"/>
  <c r="A109" i="3"/>
  <c r="K108" i="3"/>
  <c r="A60" i="1"/>
  <c r="K60" i="1" s="1"/>
  <c r="A204" i="1"/>
  <c r="K204" i="1" s="1"/>
  <c r="I184" i="3" l="1"/>
  <c r="J184" i="3"/>
  <c r="A110" i="3"/>
  <c r="K110" i="3" s="1"/>
  <c r="K109" i="3"/>
  <c r="A62" i="3"/>
  <c r="K62" i="3" s="1"/>
  <c r="K61" i="3"/>
  <c r="A350" i="3"/>
  <c r="K350" i="3" s="1"/>
  <c r="K349" i="3"/>
  <c r="L38" i="3"/>
  <c r="M38" i="3" s="1"/>
  <c r="E38" i="3"/>
  <c r="E230" i="3"/>
  <c r="L230" i="3"/>
  <c r="M230" i="3" s="1"/>
  <c r="G38" i="3"/>
  <c r="H38" i="3" s="1"/>
  <c r="I326" i="3"/>
  <c r="J326" i="3"/>
  <c r="G230" i="3"/>
  <c r="H230" i="3" s="1"/>
  <c r="A301" i="3"/>
  <c r="K300" i="3"/>
  <c r="I278" i="3"/>
  <c r="J278" i="3"/>
  <c r="K253" i="3"/>
  <c r="A254" i="3"/>
  <c r="K254" i="3" s="1"/>
  <c r="A61" i="1"/>
  <c r="K61" i="1" s="1"/>
  <c r="A205" i="1"/>
  <c r="K205" i="1" s="1"/>
  <c r="E326" i="3" l="1"/>
  <c r="L326" i="3"/>
  <c r="M326" i="3" s="1"/>
  <c r="I231" i="3"/>
  <c r="J231" i="3"/>
  <c r="G326" i="3"/>
  <c r="H326" i="3" s="1"/>
  <c r="I39" i="3"/>
  <c r="J39" i="3"/>
  <c r="K301" i="3"/>
  <c r="A302" i="3"/>
  <c r="K302" i="3" s="1"/>
  <c r="E184" i="3"/>
  <c r="L184" i="3"/>
  <c r="M184" i="3" s="1"/>
  <c r="G184" i="3"/>
  <c r="H184" i="3" s="1"/>
  <c r="E278" i="3"/>
  <c r="L278" i="3"/>
  <c r="M278" i="3" s="1"/>
  <c r="G278" i="3"/>
  <c r="H278" i="3" s="1"/>
  <c r="A206" i="1"/>
  <c r="K206" i="1" s="1"/>
  <c r="A62" i="1"/>
  <c r="K62" i="1" s="1"/>
  <c r="I327" i="3" l="1"/>
  <c r="J327" i="3"/>
  <c r="I185" i="3"/>
  <c r="J185" i="3"/>
  <c r="E231" i="3"/>
  <c r="L231" i="3"/>
  <c r="M231" i="3" s="1"/>
  <c r="L39" i="3"/>
  <c r="M39" i="3" s="1"/>
  <c r="E39" i="3"/>
  <c r="G39" i="3"/>
  <c r="H39" i="3" s="1"/>
  <c r="G231" i="3"/>
  <c r="H231" i="3" s="1"/>
  <c r="I279" i="3"/>
  <c r="J279" i="3"/>
  <c r="G63" i="1"/>
  <c r="E279" i="3" l="1"/>
  <c r="L279" i="3"/>
  <c r="M279" i="3" s="1"/>
  <c r="G185" i="3"/>
  <c r="H185" i="3" s="1"/>
  <c r="E327" i="3"/>
  <c r="L327" i="3"/>
  <c r="M327" i="3" s="1"/>
  <c r="E185" i="3"/>
  <c r="L185" i="3"/>
  <c r="M185" i="3" s="1"/>
  <c r="I232" i="3"/>
  <c r="G232" i="3" s="1"/>
  <c r="H232" i="3" s="1"/>
  <c r="J232" i="3"/>
  <c r="J40" i="3"/>
  <c r="I40" i="3"/>
  <c r="G279" i="3"/>
  <c r="H279" i="3" s="1"/>
  <c r="G327" i="3"/>
  <c r="H327" i="3" s="1"/>
  <c r="E63" i="1"/>
  <c r="I233" i="3" l="1"/>
  <c r="J233" i="3"/>
  <c r="I328" i="3"/>
  <c r="J328" i="3"/>
  <c r="I280" i="3"/>
  <c r="J280" i="3"/>
  <c r="I186" i="3"/>
  <c r="J186" i="3"/>
  <c r="G40" i="3"/>
  <c r="H40" i="3" s="1"/>
  <c r="E40" i="3"/>
  <c r="L40" i="3"/>
  <c r="M40" i="3" s="1"/>
  <c r="E232" i="3"/>
  <c r="L232" i="3"/>
  <c r="M232" i="3" s="1"/>
  <c r="G111" i="1"/>
  <c r="E111" i="1"/>
  <c r="G186" i="3" l="1"/>
  <c r="H186" i="3" s="1"/>
  <c r="L186" i="3"/>
  <c r="M186" i="3" s="1"/>
  <c r="E186" i="3"/>
  <c r="G280" i="3"/>
  <c r="H280" i="3" s="1"/>
  <c r="L233" i="3"/>
  <c r="M233" i="3" s="1"/>
  <c r="E233" i="3"/>
  <c r="M280" i="3"/>
  <c r="L280" i="3"/>
  <c r="E280" i="3"/>
  <c r="G328" i="3"/>
  <c r="H328" i="3" s="1"/>
  <c r="L328" i="3"/>
  <c r="M328" i="3" s="1"/>
  <c r="E328" i="3"/>
  <c r="I41" i="3"/>
  <c r="J41" i="3"/>
  <c r="G233" i="3"/>
  <c r="H233" i="3" s="1"/>
  <c r="G159" i="1"/>
  <c r="E159" i="1"/>
  <c r="I329" i="3" l="1"/>
  <c r="J329" i="3"/>
  <c r="I234" i="3"/>
  <c r="J234" i="3"/>
  <c r="E41" i="3"/>
  <c r="L41" i="3"/>
  <c r="M41" i="3" s="1"/>
  <c r="G41" i="3"/>
  <c r="H41" i="3" s="1"/>
  <c r="I281" i="3"/>
  <c r="G281" i="3" s="1"/>
  <c r="H281" i="3" s="1"/>
  <c r="J281" i="3"/>
  <c r="I187" i="3"/>
  <c r="J187" i="3"/>
  <c r="G207" i="1"/>
  <c r="E207" i="1"/>
  <c r="I282" i="3" l="1"/>
  <c r="J282" i="3"/>
  <c r="E234" i="3"/>
  <c r="L234" i="3"/>
  <c r="M234" i="3" s="1"/>
  <c r="G234" i="3"/>
  <c r="H234" i="3" s="1"/>
  <c r="L187" i="3"/>
  <c r="M187" i="3" s="1"/>
  <c r="E187" i="3"/>
  <c r="L329" i="3"/>
  <c r="M329" i="3" s="1"/>
  <c r="E329" i="3"/>
  <c r="G187" i="3"/>
  <c r="H187" i="3" s="1"/>
  <c r="G329" i="3"/>
  <c r="H329" i="3" s="1"/>
  <c r="I42" i="3"/>
  <c r="J42" i="3"/>
  <c r="L281" i="3"/>
  <c r="M281" i="3" s="1"/>
  <c r="E281" i="3"/>
  <c r="G255" i="1"/>
  <c r="E255" i="1"/>
  <c r="I235" i="3" l="1"/>
  <c r="J235" i="3"/>
  <c r="L42" i="3"/>
  <c r="E42" i="3"/>
  <c r="M42" i="3"/>
  <c r="E282" i="3"/>
  <c r="L282" i="3"/>
  <c r="M282" i="3" s="1"/>
  <c r="G42" i="3"/>
  <c r="H42" i="3" s="1"/>
  <c r="I330" i="3"/>
  <c r="G330" i="3" s="1"/>
  <c r="H330" i="3" s="1"/>
  <c r="J330" i="3"/>
  <c r="I188" i="3"/>
  <c r="J188" i="3"/>
  <c r="G282" i="3"/>
  <c r="H282" i="3" s="1"/>
  <c r="E303" i="1"/>
  <c r="G303" i="1"/>
  <c r="L25" i="1"/>
  <c r="I331" i="3" l="1"/>
  <c r="J331" i="3"/>
  <c r="I283" i="3"/>
  <c r="J283" i="3"/>
  <c r="E188" i="3"/>
  <c r="L188" i="3"/>
  <c r="M188" i="3" s="1"/>
  <c r="I43" i="3"/>
  <c r="J43" i="3"/>
  <c r="G188" i="3"/>
  <c r="H188" i="3" s="1"/>
  <c r="E235" i="3"/>
  <c r="L235" i="3"/>
  <c r="M235" i="3" s="1"/>
  <c r="E330" i="3"/>
  <c r="L330" i="3"/>
  <c r="M330" i="3" s="1"/>
  <c r="G235" i="3"/>
  <c r="H235" i="3" s="1"/>
  <c r="M25" i="1"/>
  <c r="E25" i="1"/>
  <c r="G25" i="1"/>
  <c r="H25" i="1" s="1"/>
  <c r="J26" i="1" s="1"/>
  <c r="L43" i="3" l="1"/>
  <c r="M43" i="3" s="1"/>
  <c r="E43" i="3"/>
  <c r="I236" i="3"/>
  <c r="J236" i="3"/>
  <c r="E283" i="3"/>
  <c r="L283" i="3"/>
  <c r="M283" i="3" s="1"/>
  <c r="G43" i="3"/>
  <c r="H43" i="3" s="1"/>
  <c r="E331" i="3"/>
  <c r="M331" i="3"/>
  <c r="L331" i="3"/>
  <c r="G283" i="3"/>
  <c r="H283" i="3" s="1"/>
  <c r="I189" i="3"/>
  <c r="J189" i="3"/>
  <c r="K189" i="3" s="1"/>
  <c r="K6" i="3" s="1"/>
  <c r="N6" i="3" s="1"/>
  <c r="G331" i="3"/>
  <c r="H331" i="3" s="1"/>
  <c r="I26" i="1"/>
  <c r="I44" i="3" l="1"/>
  <c r="J44" i="3"/>
  <c r="I332" i="3"/>
  <c r="J332" i="3"/>
  <c r="E189" i="3"/>
  <c r="L189" i="3"/>
  <c r="M189" i="3" s="1"/>
  <c r="E236" i="3"/>
  <c r="L236" i="3"/>
  <c r="M236" i="3" s="1"/>
  <c r="J7" i="3"/>
  <c r="M7" i="3" s="1"/>
  <c r="G189" i="3"/>
  <c r="H189" i="3" s="1"/>
  <c r="G236" i="3"/>
  <c r="H236" i="3" s="1"/>
  <c r="I284" i="3"/>
  <c r="G284" i="3" s="1"/>
  <c r="H284" i="3" s="1"/>
  <c r="J284" i="3"/>
  <c r="G26" i="1"/>
  <c r="H26" i="1" s="1"/>
  <c r="J27" i="1" s="1"/>
  <c r="L26" i="1"/>
  <c r="M26" i="1" s="1"/>
  <c r="E26" i="1"/>
  <c r="I285" i="3" l="1"/>
  <c r="J285" i="3"/>
  <c r="L332" i="3"/>
  <c r="M332" i="3" s="1"/>
  <c r="E332" i="3"/>
  <c r="J9" i="3"/>
  <c r="M9" i="3" s="1"/>
  <c r="G332" i="3"/>
  <c r="H332" i="3" s="1"/>
  <c r="L284" i="3"/>
  <c r="M284" i="3" s="1"/>
  <c r="E284" i="3"/>
  <c r="E44" i="3"/>
  <c r="L44" i="3"/>
  <c r="M44" i="3" s="1"/>
  <c r="I237" i="3"/>
  <c r="K237" i="3"/>
  <c r="K7" i="3" s="1"/>
  <c r="N7" i="3" s="1"/>
  <c r="I190" i="3"/>
  <c r="J190" i="3"/>
  <c r="E190" i="3" s="1"/>
  <c r="G44" i="3"/>
  <c r="H44" i="3" s="1"/>
  <c r="I27" i="1"/>
  <c r="E237" i="3" l="1"/>
  <c r="G237" i="3"/>
  <c r="H237" i="3" s="1"/>
  <c r="I45" i="3"/>
  <c r="J45" i="3"/>
  <c r="K45" i="3" s="1"/>
  <c r="K3" i="3" s="1"/>
  <c r="N3" i="3" s="1"/>
  <c r="I333" i="3"/>
  <c r="K333" i="3"/>
  <c r="K9" i="3" s="1"/>
  <c r="N9" i="3" s="1"/>
  <c r="L285" i="3"/>
  <c r="M285" i="3" s="1"/>
  <c r="E285" i="3"/>
  <c r="G190" i="3"/>
  <c r="H190" i="3" s="1"/>
  <c r="K285" i="3"/>
  <c r="K8" i="3" s="1"/>
  <c r="N8" i="3" s="1"/>
  <c r="G285" i="3"/>
  <c r="H285" i="3" s="1"/>
  <c r="G27" i="1"/>
  <c r="H27" i="1" s="1"/>
  <c r="J28" i="1" s="1"/>
  <c r="L27" i="1"/>
  <c r="M27" i="1" s="1"/>
  <c r="E27" i="1"/>
  <c r="E45" i="3" l="1"/>
  <c r="L45" i="3"/>
  <c r="M45" i="3" s="1"/>
  <c r="J3" i="3"/>
  <c r="M3" i="3" s="1"/>
  <c r="I286" i="3"/>
  <c r="J286" i="3"/>
  <c r="E286" i="3" s="1"/>
  <c r="I238" i="3"/>
  <c r="G333" i="3"/>
  <c r="H333" i="3" s="1"/>
  <c r="E333" i="3"/>
  <c r="G45" i="3"/>
  <c r="H45" i="3" s="1"/>
  <c r="I191" i="3"/>
  <c r="J191" i="3"/>
  <c r="E191" i="3" s="1"/>
  <c r="I28" i="1"/>
  <c r="G28" i="1" s="1"/>
  <c r="H28" i="1" s="1"/>
  <c r="J29" i="1" s="1"/>
  <c r="L28" i="1"/>
  <c r="M28" i="1" s="1"/>
  <c r="G238" i="3" l="1"/>
  <c r="H238" i="3" s="1"/>
  <c r="E238" i="3"/>
  <c r="I46" i="3"/>
  <c r="J46" i="3"/>
  <c r="G286" i="3"/>
  <c r="H286" i="3" s="1"/>
  <c r="I334" i="3"/>
  <c r="G191" i="3"/>
  <c r="H191" i="3" s="1"/>
  <c r="E28" i="1"/>
  <c r="I29" i="1"/>
  <c r="E29" i="1" s="1"/>
  <c r="I192" i="3" l="1"/>
  <c r="J192" i="3"/>
  <c r="E192" i="3" s="1"/>
  <c r="G46" i="3"/>
  <c r="H46" i="3" s="1"/>
  <c r="I287" i="3"/>
  <c r="J287" i="3"/>
  <c r="L46" i="3"/>
  <c r="E46" i="3"/>
  <c r="M46" i="3"/>
  <c r="G334" i="3"/>
  <c r="H334" i="3" s="1"/>
  <c r="E334" i="3"/>
  <c r="I239" i="3"/>
  <c r="G29" i="1"/>
  <c r="H29" i="1" s="1"/>
  <c r="J30" i="1" s="1"/>
  <c r="L29" i="1"/>
  <c r="M29" i="1" s="1"/>
  <c r="I335" i="3" l="1"/>
  <c r="E287" i="3"/>
  <c r="J8" i="3"/>
  <c r="M8" i="3" s="1"/>
  <c r="I47" i="3"/>
  <c r="J47" i="3"/>
  <c r="G287" i="3"/>
  <c r="H287" i="3" s="1"/>
  <c r="G239" i="3"/>
  <c r="H239" i="3" s="1"/>
  <c r="E239" i="3"/>
  <c r="G192" i="3"/>
  <c r="H192" i="3" s="1"/>
  <c r="I30" i="1"/>
  <c r="G30" i="1" s="1"/>
  <c r="H30" i="1" s="1"/>
  <c r="J31" i="1" s="1"/>
  <c r="L30" i="1"/>
  <c r="M30" i="1" s="1"/>
  <c r="I240" i="3" l="1"/>
  <c r="I288" i="3"/>
  <c r="G47" i="3"/>
  <c r="H47" i="3" s="1"/>
  <c r="L47" i="3"/>
  <c r="M47" i="3" s="1"/>
  <c r="E47" i="3"/>
  <c r="G335" i="3"/>
  <c r="H335" i="3" s="1"/>
  <c r="E335" i="3"/>
  <c r="I193" i="3"/>
  <c r="J193" i="3"/>
  <c r="E30" i="1"/>
  <c r="I31" i="1"/>
  <c r="E31" i="1" s="1"/>
  <c r="I336" i="3" l="1"/>
  <c r="I48" i="3"/>
  <c r="J48" i="3"/>
  <c r="G288" i="3"/>
  <c r="H288" i="3" s="1"/>
  <c r="E288" i="3"/>
  <c r="E193" i="3"/>
  <c r="J6" i="3"/>
  <c r="M6" i="3" s="1"/>
  <c r="G193" i="3"/>
  <c r="H193" i="3" s="1"/>
  <c r="G240" i="3"/>
  <c r="H240" i="3" s="1"/>
  <c r="E240" i="3"/>
  <c r="G31" i="1"/>
  <c r="H31" i="1" s="1"/>
  <c r="J32" i="1" s="1"/>
  <c r="L31" i="1"/>
  <c r="M31" i="1" s="1"/>
  <c r="I241" i="3" l="1"/>
  <c r="I194" i="3"/>
  <c r="I289" i="3"/>
  <c r="G48" i="3"/>
  <c r="H48" i="3" s="1"/>
  <c r="E48" i="3"/>
  <c r="L48" i="3"/>
  <c r="M48" i="3"/>
  <c r="G336" i="3"/>
  <c r="H336" i="3" s="1"/>
  <c r="E336" i="3"/>
  <c r="I32" i="1"/>
  <c r="G32" i="1" s="1"/>
  <c r="H32" i="1" s="1"/>
  <c r="J33" i="1" s="1"/>
  <c r="L32" i="1"/>
  <c r="M32" i="1" s="1"/>
  <c r="G289" i="3" l="1"/>
  <c r="H289" i="3" s="1"/>
  <c r="E289" i="3"/>
  <c r="G241" i="3"/>
  <c r="H241" i="3" s="1"/>
  <c r="E241" i="3"/>
  <c r="I49" i="3"/>
  <c r="J49" i="3"/>
  <c r="G194" i="3"/>
  <c r="H194" i="3" s="1"/>
  <c r="E194" i="3"/>
  <c r="I337" i="3"/>
  <c r="E32" i="1"/>
  <c r="I33" i="1"/>
  <c r="G33" i="1" s="1"/>
  <c r="H33" i="1" s="1"/>
  <c r="J34" i="1" s="1"/>
  <c r="L33" i="1"/>
  <c r="M33" i="1" s="1"/>
  <c r="G49" i="3" l="1"/>
  <c r="H49" i="3" s="1"/>
  <c r="G337" i="3"/>
  <c r="H337" i="3" s="1"/>
  <c r="E337" i="3"/>
  <c r="I195" i="3"/>
  <c r="I290" i="3"/>
  <c r="E49" i="3"/>
  <c r="L49" i="3"/>
  <c r="M49" i="3" s="1"/>
  <c r="I242" i="3"/>
  <c r="E33" i="1"/>
  <c r="I34" i="1"/>
  <c r="G34" i="1" s="1"/>
  <c r="H34" i="1" s="1"/>
  <c r="J35" i="1" s="1"/>
  <c r="L34" i="1"/>
  <c r="M34" i="1" s="1"/>
  <c r="E242" i="3" l="1"/>
  <c r="G242" i="3"/>
  <c r="H242" i="3" s="1"/>
  <c r="G195" i="3"/>
  <c r="H195" i="3" s="1"/>
  <c r="E195" i="3"/>
  <c r="E290" i="3"/>
  <c r="G290" i="3"/>
  <c r="H290" i="3" s="1"/>
  <c r="I338" i="3"/>
  <c r="I50" i="3"/>
  <c r="J50" i="3"/>
  <c r="E34" i="1"/>
  <c r="I35" i="1"/>
  <c r="G35" i="1" s="1"/>
  <c r="H35" i="1" s="1"/>
  <c r="J36" i="1" s="1"/>
  <c r="L35" i="1"/>
  <c r="L50" i="3" l="1"/>
  <c r="M50" i="3"/>
  <c r="E50" i="3"/>
  <c r="G338" i="3"/>
  <c r="H338" i="3" s="1"/>
  <c r="E338" i="3"/>
  <c r="I196" i="3"/>
  <c r="G50" i="3"/>
  <c r="H50" i="3" s="1"/>
  <c r="I291" i="3"/>
  <c r="I243" i="3"/>
  <c r="M35" i="1"/>
  <c r="E35" i="1"/>
  <c r="I36" i="1"/>
  <c r="G291" i="3" l="1"/>
  <c r="H291" i="3" s="1"/>
  <c r="E291" i="3"/>
  <c r="G196" i="3"/>
  <c r="H196" i="3" s="1"/>
  <c r="E196" i="3"/>
  <c r="G243" i="3"/>
  <c r="H243" i="3" s="1"/>
  <c r="E243" i="3"/>
  <c r="I51" i="3"/>
  <c r="I339" i="3"/>
  <c r="G36" i="1"/>
  <c r="H36" i="1" s="1"/>
  <c r="J37" i="1" s="1"/>
  <c r="L36" i="1"/>
  <c r="M36" i="1" s="1"/>
  <c r="E36" i="1"/>
  <c r="G339" i="3" l="1"/>
  <c r="H339" i="3" s="1"/>
  <c r="E339" i="3"/>
  <c r="I197" i="3"/>
  <c r="I244" i="3"/>
  <c r="G51" i="3"/>
  <c r="H51" i="3" s="1"/>
  <c r="E51" i="3"/>
  <c r="I292" i="3"/>
  <c r="I37" i="1"/>
  <c r="G37" i="1" s="1"/>
  <c r="H37" i="1" s="1"/>
  <c r="J38" i="1" s="1"/>
  <c r="L37" i="1"/>
  <c r="M37" i="1" s="1"/>
  <c r="G244" i="3" l="1"/>
  <c r="H244" i="3" s="1"/>
  <c r="E244" i="3"/>
  <c r="I52" i="3"/>
  <c r="G292" i="3"/>
  <c r="H292" i="3" s="1"/>
  <c r="E292" i="3"/>
  <c r="G197" i="3"/>
  <c r="H197" i="3" s="1"/>
  <c r="E197" i="3"/>
  <c r="I340" i="3"/>
  <c r="E37" i="1"/>
  <c r="I38" i="1"/>
  <c r="G340" i="3" l="1"/>
  <c r="H340" i="3" s="1"/>
  <c r="E340" i="3"/>
  <c r="I293" i="3"/>
  <c r="I198" i="3"/>
  <c r="G52" i="3"/>
  <c r="H52" i="3" s="1"/>
  <c r="E52" i="3"/>
  <c r="I245" i="3"/>
  <c r="G38" i="1"/>
  <c r="H38" i="1" s="1"/>
  <c r="J39" i="1" s="1"/>
  <c r="E38" i="1"/>
  <c r="L38" i="1"/>
  <c r="M38" i="1" s="1"/>
  <c r="G293" i="3" l="1"/>
  <c r="H293" i="3" s="1"/>
  <c r="E293" i="3"/>
  <c r="E198" i="3"/>
  <c r="G198" i="3"/>
  <c r="H198" i="3" s="1"/>
  <c r="G245" i="3"/>
  <c r="H245" i="3" s="1"/>
  <c r="E245" i="3"/>
  <c r="I53" i="3"/>
  <c r="I341" i="3"/>
  <c r="I39" i="1"/>
  <c r="G39" i="1" s="1"/>
  <c r="H39" i="1" s="1"/>
  <c r="J40" i="1" s="1"/>
  <c r="L39" i="1"/>
  <c r="M39" i="1" s="1"/>
  <c r="E53" i="3" l="1"/>
  <c r="G53" i="3"/>
  <c r="H53" i="3" s="1"/>
  <c r="G341" i="3"/>
  <c r="H341" i="3" s="1"/>
  <c r="E341" i="3"/>
  <c r="I246" i="3"/>
  <c r="I199" i="3"/>
  <c r="I294" i="3"/>
  <c r="E39" i="1"/>
  <c r="I40" i="1"/>
  <c r="E40" i="1" s="1"/>
  <c r="G294" i="3" l="1"/>
  <c r="H294" i="3" s="1"/>
  <c r="E294" i="3"/>
  <c r="G199" i="3"/>
  <c r="H199" i="3" s="1"/>
  <c r="E199" i="3"/>
  <c r="I54" i="3"/>
  <c r="G246" i="3"/>
  <c r="H246" i="3" s="1"/>
  <c r="E246" i="3"/>
  <c r="I342" i="3"/>
  <c r="G40" i="1"/>
  <c r="H40" i="1" s="1"/>
  <c r="J41" i="1" s="1"/>
  <c r="L40" i="1"/>
  <c r="M40" i="1" s="1"/>
  <c r="G54" i="3" l="1"/>
  <c r="H54" i="3" s="1"/>
  <c r="E54" i="3"/>
  <c r="G342" i="3"/>
  <c r="H342" i="3" s="1"/>
  <c r="E342" i="3"/>
  <c r="I247" i="3"/>
  <c r="I200" i="3"/>
  <c r="I295" i="3"/>
  <c r="I41" i="1"/>
  <c r="G41" i="1" s="1"/>
  <c r="H41" i="1" s="1"/>
  <c r="J42" i="1" s="1"/>
  <c r="L41" i="1"/>
  <c r="M41" i="1" s="1"/>
  <c r="E200" i="3" l="1"/>
  <c r="H6" i="3" s="1"/>
  <c r="L6" i="3" s="1"/>
  <c r="O6" i="3" s="1"/>
  <c r="G200" i="3"/>
  <c r="H200" i="3" s="1"/>
  <c r="G247" i="3"/>
  <c r="H247" i="3" s="1"/>
  <c r="E247" i="3"/>
  <c r="G295" i="3"/>
  <c r="H295" i="3" s="1"/>
  <c r="E295" i="3"/>
  <c r="I343" i="3"/>
  <c r="I55" i="3"/>
  <c r="E41" i="1"/>
  <c r="I42" i="1"/>
  <c r="G42" i="1" s="1"/>
  <c r="H42" i="1" s="1"/>
  <c r="J43" i="1" s="1"/>
  <c r="L42" i="1"/>
  <c r="M42" i="1" s="1"/>
  <c r="I296" i="3" l="1"/>
  <c r="G55" i="3"/>
  <c r="H55" i="3" s="1"/>
  <c r="E55" i="3"/>
  <c r="I248" i="3"/>
  <c r="G343" i="3"/>
  <c r="H343" i="3" s="1"/>
  <c r="E343" i="3"/>
  <c r="I201" i="3"/>
  <c r="E42" i="1"/>
  <c r="I43" i="1"/>
  <c r="E43" i="1" s="1"/>
  <c r="L43" i="1"/>
  <c r="M43" i="1" s="1"/>
  <c r="I344" i="3" l="1"/>
  <c r="I56" i="3"/>
  <c r="G201" i="3"/>
  <c r="H201" i="3" s="1"/>
  <c r="E201" i="3"/>
  <c r="G248" i="3"/>
  <c r="H248" i="3" s="1"/>
  <c r="E248" i="3"/>
  <c r="H7" i="3" s="1"/>
  <c r="L7" i="3" s="1"/>
  <c r="O7" i="3" s="1"/>
  <c r="G296" i="3"/>
  <c r="H296" i="3" s="1"/>
  <c r="E296" i="3"/>
  <c r="H8" i="3" s="1"/>
  <c r="L8" i="3" s="1"/>
  <c r="O8" i="3" s="1"/>
  <c r="G43" i="1"/>
  <c r="H43" i="1" s="1"/>
  <c r="J44" i="1" s="1"/>
  <c r="G56" i="3" l="1"/>
  <c r="H56" i="3" s="1"/>
  <c r="E56" i="3"/>
  <c r="H3" i="3" s="1"/>
  <c r="L3" i="3" s="1"/>
  <c r="O3" i="3" s="1"/>
  <c r="I249" i="3"/>
  <c r="I297" i="3"/>
  <c r="I202" i="3"/>
  <c r="G344" i="3"/>
  <c r="H344" i="3" s="1"/>
  <c r="E344" i="3"/>
  <c r="H9" i="3" s="1"/>
  <c r="L9" i="3" s="1"/>
  <c r="O9" i="3" s="1"/>
  <c r="I44" i="1"/>
  <c r="G44" i="1" s="1"/>
  <c r="H44" i="1" s="1"/>
  <c r="J45" i="1" s="1"/>
  <c r="L44" i="1"/>
  <c r="M44" i="1" s="1"/>
  <c r="I345" i="3" l="1"/>
  <c r="G297" i="3"/>
  <c r="H297" i="3" s="1"/>
  <c r="E297" i="3"/>
  <c r="G202" i="3"/>
  <c r="H202" i="3" s="1"/>
  <c r="E202" i="3"/>
  <c r="G249" i="3"/>
  <c r="H249" i="3" s="1"/>
  <c r="E249" i="3"/>
  <c r="I57" i="3"/>
  <c r="E44" i="1"/>
  <c r="I45" i="1"/>
  <c r="L45" i="1"/>
  <c r="M45" i="1" s="1"/>
  <c r="G3" i="2"/>
  <c r="J3" i="1"/>
  <c r="M3" i="1" s="1"/>
  <c r="E57" i="3" l="1"/>
  <c r="G57" i="3"/>
  <c r="H57" i="3" s="1"/>
  <c r="I203" i="3"/>
  <c r="I298" i="3"/>
  <c r="I250" i="3"/>
  <c r="E345" i="3"/>
  <c r="G345" i="3"/>
  <c r="H345" i="3" s="1"/>
  <c r="K45" i="1"/>
  <c r="G45" i="1" s="1"/>
  <c r="H45" i="1" s="1"/>
  <c r="J46" i="1" s="1"/>
  <c r="E45" i="1"/>
  <c r="I346" i="3" l="1"/>
  <c r="G203" i="3"/>
  <c r="H203" i="3" s="1"/>
  <c r="E203" i="3"/>
  <c r="G298" i="3"/>
  <c r="H298" i="3" s="1"/>
  <c r="E298" i="3"/>
  <c r="I58" i="3"/>
  <c r="G250" i="3"/>
  <c r="H250" i="3" s="1"/>
  <c r="E250" i="3"/>
  <c r="H3" i="2"/>
  <c r="K3" i="1"/>
  <c r="N3" i="1" s="1"/>
  <c r="I46" i="1"/>
  <c r="E46" i="1" s="1"/>
  <c r="I299" i="3" l="1"/>
  <c r="I204" i="3"/>
  <c r="G58" i="3"/>
  <c r="H58" i="3" s="1"/>
  <c r="E58" i="3"/>
  <c r="I251" i="3"/>
  <c r="G346" i="3"/>
  <c r="H346" i="3" s="1"/>
  <c r="E346" i="3"/>
  <c r="L46" i="1"/>
  <c r="M46" i="1" s="1"/>
  <c r="G46" i="1"/>
  <c r="H46" i="1" s="1"/>
  <c r="J47" i="1" s="1"/>
  <c r="G251" i="3" l="1"/>
  <c r="H251" i="3" s="1"/>
  <c r="E251" i="3"/>
  <c r="I347" i="3"/>
  <c r="I59" i="3"/>
  <c r="G204" i="3"/>
  <c r="H204" i="3" s="1"/>
  <c r="E204" i="3"/>
  <c r="G299" i="3"/>
  <c r="H299" i="3" s="1"/>
  <c r="E299" i="3"/>
  <c r="I47" i="1"/>
  <c r="G47" i="1" s="1"/>
  <c r="H47" i="1" s="1"/>
  <c r="J48" i="1" s="1"/>
  <c r="L47" i="1"/>
  <c r="M47" i="1" s="1"/>
  <c r="G347" i="3" l="1"/>
  <c r="H347" i="3" s="1"/>
  <c r="E347" i="3"/>
  <c r="G59" i="3"/>
  <c r="H59" i="3" s="1"/>
  <c r="E59" i="3"/>
  <c r="I300" i="3"/>
  <c r="I205" i="3"/>
  <c r="I252" i="3"/>
  <c r="E47" i="1"/>
  <c r="I48" i="1"/>
  <c r="E48" i="1" s="1"/>
  <c r="G252" i="3" l="1"/>
  <c r="H252" i="3" s="1"/>
  <c r="E252" i="3"/>
  <c r="G205" i="3"/>
  <c r="H205" i="3" s="1"/>
  <c r="E205" i="3"/>
  <c r="G300" i="3"/>
  <c r="H300" i="3" s="1"/>
  <c r="E300" i="3"/>
  <c r="I60" i="3"/>
  <c r="I348" i="3"/>
  <c r="G48" i="1"/>
  <c r="H48" i="1" s="1"/>
  <c r="J49" i="1" s="1"/>
  <c r="L48" i="1"/>
  <c r="M48" i="1" s="1"/>
  <c r="G348" i="3" l="1"/>
  <c r="H348" i="3" s="1"/>
  <c r="E348" i="3"/>
  <c r="I301" i="3"/>
  <c r="G60" i="3"/>
  <c r="H60" i="3" s="1"/>
  <c r="E60" i="3"/>
  <c r="I206" i="3"/>
  <c r="I253" i="3"/>
  <c r="I49" i="1"/>
  <c r="G253" i="3" l="1"/>
  <c r="H253" i="3" s="1"/>
  <c r="E253" i="3"/>
  <c r="I61" i="3"/>
  <c r="G206" i="3"/>
  <c r="H206" i="3" s="1"/>
  <c r="E206" i="3"/>
  <c r="G301" i="3"/>
  <c r="H301" i="3" s="1"/>
  <c r="E301" i="3"/>
  <c r="I349" i="3"/>
  <c r="E49" i="1"/>
  <c r="L49" i="1"/>
  <c r="M49" i="1" s="1"/>
  <c r="G49" i="1"/>
  <c r="H49" i="1" s="1"/>
  <c r="J50" i="1" s="1"/>
  <c r="G61" i="3" l="1"/>
  <c r="H61" i="3" s="1"/>
  <c r="E61" i="3"/>
  <c r="G349" i="3"/>
  <c r="H349" i="3" s="1"/>
  <c r="E349" i="3"/>
  <c r="I302" i="3"/>
  <c r="I254" i="3"/>
  <c r="I50" i="1"/>
  <c r="E302" i="3" l="1"/>
  <c r="G302" i="3"/>
  <c r="H302" i="3" s="1"/>
  <c r="E254" i="3"/>
  <c r="G254" i="3"/>
  <c r="H254" i="3" s="1"/>
  <c r="I350" i="3"/>
  <c r="I62" i="3"/>
  <c r="L50" i="1"/>
  <c r="M50" i="1" s="1"/>
  <c r="E50" i="1"/>
  <c r="G50" i="1"/>
  <c r="H50" i="1" s="1"/>
  <c r="J51" i="1" s="1"/>
  <c r="G350" i="3" l="1"/>
  <c r="H350" i="3" s="1"/>
  <c r="E350" i="3"/>
  <c r="G62" i="3"/>
  <c r="H62" i="3" s="1"/>
  <c r="H63" i="3" s="1"/>
  <c r="E62" i="3"/>
  <c r="I51" i="1"/>
  <c r="G51" i="1" s="1"/>
  <c r="H51" i="1" s="1"/>
  <c r="J52" i="1" s="1"/>
  <c r="I64" i="3" l="1"/>
  <c r="I52" i="1"/>
  <c r="G52" i="1" s="1"/>
  <c r="H52" i="1" s="1"/>
  <c r="I53" i="1" s="1"/>
  <c r="G53" i="1" s="1"/>
  <c r="H53" i="1" s="1"/>
  <c r="E51" i="1"/>
  <c r="L51" i="1"/>
  <c r="M51" i="1" s="1"/>
  <c r="G64" i="3" l="1"/>
  <c r="H64" i="3" s="1"/>
  <c r="E64" i="3"/>
  <c r="E53" i="1"/>
  <c r="E52" i="1"/>
  <c r="L52" i="1"/>
  <c r="M52" i="1" s="1"/>
  <c r="I54" i="1"/>
  <c r="I65" i="3" l="1"/>
  <c r="G54" i="1"/>
  <c r="H54" i="1" s="1"/>
  <c r="E54" i="1"/>
  <c r="G65" i="3" l="1"/>
  <c r="H65" i="3" s="1"/>
  <c r="E65" i="3"/>
  <c r="I55" i="1"/>
  <c r="I66" i="3" l="1"/>
  <c r="E55" i="1"/>
  <c r="G55" i="1"/>
  <c r="H55" i="1" s="1"/>
  <c r="G66" i="3" l="1"/>
  <c r="H66" i="3" s="1"/>
  <c r="E66" i="3"/>
  <c r="I56" i="1"/>
  <c r="I67" i="3" l="1"/>
  <c r="E56" i="1"/>
  <c r="G56" i="1"/>
  <c r="H56" i="1" s="1"/>
  <c r="G67" i="3" l="1"/>
  <c r="H67" i="3" s="1"/>
  <c r="E67" i="3"/>
  <c r="I57" i="1"/>
  <c r="E3" i="2"/>
  <c r="I3" i="2" s="1"/>
  <c r="H3" i="1"/>
  <c r="L3" i="1" s="1"/>
  <c r="O3" i="1" s="1"/>
  <c r="I68" i="3" l="1"/>
  <c r="E57" i="1"/>
  <c r="G57" i="1"/>
  <c r="H57" i="1" s="1"/>
  <c r="G68" i="3" l="1"/>
  <c r="H68" i="3" s="1"/>
  <c r="E68" i="3"/>
  <c r="I58" i="1"/>
  <c r="I69" i="3" l="1"/>
  <c r="E58" i="1"/>
  <c r="G58" i="1"/>
  <c r="H58" i="1" s="1"/>
  <c r="E69" i="3" l="1"/>
  <c r="G69" i="3"/>
  <c r="H69" i="3" s="1"/>
  <c r="I59" i="1"/>
  <c r="I70" i="3" l="1"/>
  <c r="G59" i="1"/>
  <c r="H59" i="1" s="1"/>
  <c r="E59" i="1"/>
  <c r="G70" i="3" l="1"/>
  <c r="H70" i="3" s="1"/>
  <c r="E70" i="3"/>
  <c r="I60" i="1"/>
  <c r="I71" i="3" l="1"/>
  <c r="G60" i="1"/>
  <c r="H60" i="1" s="1"/>
  <c r="E60" i="1"/>
  <c r="G71" i="3" l="1"/>
  <c r="H71" i="3" s="1"/>
  <c r="E71" i="3"/>
  <c r="I61" i="1"/>
  <c r="I72" i="3" l="1"/>
  <c r="E61" i="1"/>
  <c r="G61" i="1"/>
  <c r="H61" i="1" s="1"/>
  <c r="G72" i="3" l="1"/>
  <c r="H72" i="3" s="1"/>
  <c r="E72" i="3"/>
  <c r="I62" i="1"/>
  <c r="I73" i="3" l="1"/>
  <c r="G62" i="1"/>
  <c r="H62" i="1" s="1"/>
  <c r="H63" i="1" s="1"/>
  <c r="E62" i="1"/>
  <c r="G73" i="3" l="1"/>
  <c r="H73" i="3" s="1"/>
  <c r="E73" i="3"/>
  <c r="I64" i="1"/>
  <c r="I74" i="3" l="1"/>
  <c r="G64" i="1"/>
  <c r="H64" i="1" s="1"/>
  <c r="E64" i="1"/>
  <c r="G74" i="3" l="1"/>
  <c r="H74" i="3" s="1"/>
  <c r="E74" i="3"/>
  <c r="I65" i="1"/>
  <c r="I75" i="3" l="1"/>
  <c r="E65" i="1"/>
  <c r="G65" i="1"/>
  <c r="H65" i="1" s="1"/>
  <c r="G75" i="3" l="1"/>
  <c r="H75" i="3" s="1"/>
  <c r="E75" i="3"/>
  <c r="I66" i="1"/>
  <c r="I76" i="3" l="1"/>
  <c r="G66" i="1"/>
  <c r="H66" i="1" s="1"/>
  <c r="E66" i="1"/>
  <c r="G76" i="3" l="1"/>
  <c r="H76" i="3" s="1"/>
  <c r="E76" i="3"/>
  <c r="I67" i="1"/>
  <c r="I77" i="3" l="1"/>
  <c r="J77" i="3"/>
  <c r="E67" i="1"/>
  <c r="G67" i="1"/>
  <c r="H67" i="1" s="1"/>
  <c r="L77" i="3" l="1"/>
  <c r="E77" i="3"/>
  <c r="M77" i="3"/>
  <c r="G77" i="3"/>
  <c r="H77" i="3" s="1"/>
  <c r="I68" i="1"/>
  <c r="I78" i="3" l="1"/>
  <c r="J78" i="3"/>
  <c r="E68" i="1"/>
  <c r="G68" i="1"/>
  <c r="H68" i="1" s="1"/>
  <c r="L78" i="3" l="1"/>
  <c r="E78" i="3"/>
  <c r="M78" i="3"/>
  <c r="G78" i="3"/>
  <c r="H78" i="3" s="1"/>
  <c r="I69" i="1"/>
  <c r="I79" i="3" l="1"/>
  <c r="J79" i="3"/>
  <c r="G69" i="1"/>
  <c r="H69" i="1" s="1"/>
  <c r="E69" i="1"/>
  <c r="E79" i="3" l="1"/>
  <c r="L79" i="3"/>
  <c r="M79" i="3" s="1"/>
  <c r="G79" i="3"/>
  <c r="H79" i="3" s="1"/>
  <c r="I70" i="1"/>
  <c r="I80" i="3" l="1"/>
  <c r="J80" i="3"/>
  <c r="E70" i="1"/>
  <c r="G70" i="1"/>
  <c r="H70" i="1" s="1"/>
  <c r="L71" i="1" s="1"/>
  <c r="M71" i="1" s="1"/>
  <c r="E80" i="3" l="1"/>
  <c r="L80" i="3"/>
  <c r="M80" i="3" s="1"/>
  <c r="G80" i="3"/>
  <c r="H80" i="3" s="1"/>
  <c r="I71" i="1"/>
  <c r="I81" i="3" l="1"/>
  <c r="J81" i="3"/>
  <c r="E71" i="1"/>
  <c r="G71" i="1"/>
  <c r="H71" i="1" s="1"/>
  <c r="L72" i="1" s="1"/>
  <c r="M72" i="1" s="1"/>
  <c r="L81" i="3" l="1"/>
  <c r="M81" i="3"/>
  <c r="E81" i="3"/>
  <c r="G81" i="3"/>
  <c r="H81" i="3" s="1"/>
  <c r="I72" i="1"/>
  <c r="I82" i="3" l="1"/>
  <c r="J82" i="3"/>
  <c r="G72" i="1"/>
  <c r="H72" i="1" s="1"/>
  <c r="J73" i="1" s="1"/>
  <c r="E72" i="1"/>
  <c r="L82" i="3" l="1"/>
  <c r="E82" i="3"/>
  <c r="M82" i="3"/>
  <c r="G82" i="3"/>
  <c r="H82" i="3" s="1"/>
  <c r="I73" i="1"/>
  <c r="I83" i="3" l="1"/>
  <c r="J83" i="3"/>
  <c r="E73" i="1"/>
  <c r="L73" i="1"/>
  <c r="M73" i="1" s="1"/>
  <c r="G73" i="1"/>
  <c r="H73" i="1" s="1"/>
  <c r="J74" i="1" s="1"/>
  <c r="E83" i="3" l="1"/>
  <c r="L83" i="3"/>
  <c r="M83" i="3" s="1"/>
  <c r="G83" i="3"/>
  <c r="H83" i="3" s="1"/>
  <c r="I74" i="1"/>
  <c r="I84" i="3" l="1"/>
  <c r="J84" i="3"/>
  <c r="G74" i="1"/>
  <c r="H74" i="1" s="1"/>
  <c r="J75" i="1" s="1"/>
  <c r="L74" i="1"/>
  <c r="M74" i="1" s="1"/>
  <c r="E74" i="1"/>
  <c r="E84" i="3" l="1"/>
  <c r="L84" i="3"/>
  <c r="M84" i="3" s="1"/>
  <c r="G84" i="3"/>
  <c r="H84" i="3" s="1"/>
  <c r="I75" i="1"/>
  <c r="G75" i="1" s="1"/>
  <c r="H75" i="1" s="1"/>
  <c r="J76" i="1" s="1"/>
  <c r="L75" i="1"/>
  <c r="M75" i="1" s="1"/>
  <c r="I85" i="3" l="1"/>
  <c r="J85" i="3"/>
  <c r="E75" i="1"/>
  <c r="I76" i="1"/>
  <c r="G76" i="1" s="1"/>
  <c r="H76" i="1" s="1"/>
  <c r="J77" i="1" s="1"/>
  <c r="L76" i="1"/>
  <c r="M76" i="1" s="1"/>
  <c r="L85" i="3" l="1"/>
  <c r="M85" i="3" s="1"/>
  <c r="E85" i="3"/>
  <c r="G85" i="3"/>
  <c r="H85" i="3" s="1"/>
  <c r="E76" i="1"/>
  <c r="I77" i="1"/>
  <c r="G77" i="1" s="1"/>
  <c r="H77" i="1" s="1"/>
  <c r="J78" i="1" s="1"/>
  <c r="L77" i="1"/>
  <c r="M77" i="1" s="1"/>
  <c r="I86" i="3" l="1"/>
  <c r="J86" i="3"/>
  <c r="E77" i="1"/>
  <c r="I78" i="1"/>
  <c r="G78" i="1" s="1"/>
  <c r="H78" i="1" s="1"/>
  <c r="J79" i="1" s="1"/>
  <c r="L86" i="3" l="1"/>
  <c r="M86" i="3" s="1"/>
  <c r="E86" i="3"/>
  <c r="G86" i="3"/>
  <c r="H86" i="3" s="1"/>
  <c r="I79" i="1"/>
  <c r="L78" i="1"/>
  <c r="M78" i="1" s="1"/>
  <c r="E78" i="1"/>
  <c r="I87" i="3" l="1"/>
  <c r="J87" i="3"/>
  <c r="E79" i="1"/>
  <c r="L79" i="1"/>
  <c r="M79" i="1" s="1"/>
  <c r="G79" i="1"/>
  <c r="H79" i="1" s="1"/>
  <c r="J80" i="1" s="1"/>
  <c r="E87" i="3" l="1"/>
  <c r="L87" i="3"/>
  <c r="M87" i="3" s="1"/>
  <c r="G87" i="3"/>
  <c r="H87" i="3" s="1"/>
  <c r="I80" i="1"/>
  <c r="G80" i="1" s="1"/>
  <c r="H80" i="1" s="1"/>
  <c r="J81" i="1" s="1"/>
  <c r="I88" i="3" l="1"/>
  <c r="J88" i="3"/>
  <c r="I81" i="1"/>
  <c r="G81" i="1" s="1"/>
  <c r="H81" i="1" s="1"/>
  <c r="J82" i="1" s="1"/>
  <c r="E80" i="1"/>
  <c r="L80" i="1"/>
  <c r="M80" i="1" s="1"/>
  <c r="E88" i="3" l="1"/>
  <c r="L88" i="3"/>
  <c r="M88" i="3" s="1"/>
  <c r="G88" i="3"/>
  <c r="H88" i="3" s="1"/>
  <c r="I82" i="1"/>
  <c r="E81" i="1"/>
  <c r="L81" i="1"/>
  <c r="M81" i="1" s="1"/>
  <c r="I89" i="3" l="1"/>
  <c r="J89" i="3"/>
  <c r="G82" i="1"/>
  <c r="H82" i="1" s="1"/>
  <c r="J83" i="1" s="1"/>
  <c r="E82" i="1"/>
  <c r="L82" i="1"/>
  <c r="M82" i="1" s="1"/>
  <c r="L89" i="3" l="1"/>
  <c r="M89" i="3" s="1"/>
  <c r="E89" i="3"/>
  <c r="G89" i="3"/>
  <c r="H89" i="3" s="1"/>
  <c r="I83" i="1"/>
  <c r="E83" i="1" s="1"/>
  <c r="I90" i="3" l="1"/>
  <c r="J90" i="3"/>
  <c r="G83" i="1"/>
  <c r="H83" i="1" s="1"/>
  <c r="J84" i="1" s="1"/>
  <c r="L83" i="1"/>
  <c r="M83" i="1" s="1"/>
  <c r="L90" i="3" l="1"/>
  <c r="M90" i="3" s="1"/>
  <c r="E90" i="3"/>
  <c r="G90" i="3"/>
  <c r="H90" i="3" s="1"/>
  <c r="I84" i="1"/>
  <c r="E84" i="1" s="1"/>
  <c r="L84" i="1"/>
  <c r="M84" i="1" s="1"/>
  <c r="I91" i="3" l="1"/>
  <c r="J91" i="3"/>
  <c r="G84" i="1"/>
  <c r="H84" i="1" s="1"/>
  <c r="J85" i="1" s="1"/>
  <c r="E91" i="3" l="1"/>
  <c r="L91" i="3"/>
  <c r="M91" i="3" s="1"/>
  <c r="G91" i="3"/>
  <c r="H91" i="3" s="1"/>
  <c r="I85" i="1"/>
  <c r="I92" i="3" l="1"/>
  <c r="J92" i="3"/>
  <c r="G85" i="1"/>
  <c r="H85" i="1" s="1"/>
  <c r="J86" i="1" s="1"/>
  <c r="E85" i="1"/>
  <c r="L85" i="1"/>
  <c r="M85" i="1" s="1"/>
  <c r="E92" i="3" l="1"/>
  <c r="L92" i="3"/>
  <c r="M92" i="3" s="1"/>
  <c r="G92" i="3"/>
  <c r="H92" i="3" s="1"/>
  <c r="I86" i="1"/>
  <c r="I93" i="3" l="1"/>
  <c r="J93" i="3"/>
  <c r="K93" i="3" s="1"/>
  <c r="K4" i="3" s="1"/>
  <c r="N4" i="3" s="1"/>
  <c r="G86" i="1"/>
  <c r="H86" i="1" s="1"/>
  <c r="J87" i="1" s="1"/>
  <c r="E86" i="1"/>
  <c r="L86" i="1"/>
  <c r="M86" i="1" s="1"/>
  <c r="L93" i="3" l="1"/>
  <c r="M93" i="3" s="1"/>
  <c r="E93" i="3"/>
  <c r="J4" i="3"/>
  <c r="M4" i="3" s="1"/>
  <c r="G93" i="3"/>
  <c r="H93" i="3" s="1"/>
  <c r="I87" i="1"/>
  <c r="I94" i="3" l="1"/>
  <c r="J94" i="3"/>
  <c r="E94" i="3" s="1"/>
  <c r="G87" i="1"/>
  <c r="H87" i="1" s="1"/>
  <c r="J88" i="1" s="1"/>
  <c r="L87" i="1"/>
  <c r="M87" i="1" s="1"/>
  <c r="E87" i="1"/>
  <c r="G94" i="3" l="1"/>
  <c r="H94" i="3" s="1"/>
  <c r="I88" i="1"/>
  <c r="I95" i="3" l="1"/>
  <c r="J95" i="3"/>
  <c r="E95" i="3" s="1"/>
  <c r="G88" i="1"/>
  <c r="H88" i="1" s="1"/>
  <c r="J89" i="1" s="1"/>
  <c r="L88" i="1"/>
  <c r="M88" i="1" s="1"/>
  <c r="E88" i="1"/>
  <c r="G95" i="3" l="1"/>
  <c r="H95" i="3" s="1"/>
  <c r="I89" i="1"/>
  <c r="G89" i="1" s="1"/>
  <c r="H89" i="1" s="1"/>
  <c r="J90" i="1" s="1"/>
  <c r="L89" i="1"/>
  <c r="M89" i="1" s="1"/>
  <c r="I96" i="3" l="1"/>
  <c r="J96" i="3"/>
  <c r="E96" i="3" s="1"/>
  <c r="E89" i="1"/>
  <c r="I90" i="1"/>
  <c r="G96" i="3" l="1"/>
  <c r="H96" i="3" s="1"/>
  <c r="G90" i="1"/>
  <c r="H90" i="1" s="1"/>
  <c r="J91" i="1" s="1"/>
  <c r="E90" i="1"/>
  <c r="L90" i="1"/>
  <c r="M90" i="1" s="1"/>
  <c r="I97" i="3" l="1"/>
  <c r="J97" i="3"/>
  <c r="E97" i="3" s="1"/>
  <c r="I91" i="1"/>
  <c r="G97" i="3" l="1"/>
  <c r="H97" i="3" s="1"/>
  <c r="G91" i="1"/>
  <c r="H91" i="1" s="1"/>
  <c r="J92" i="1" s="1"/>
  <c r="E91" i="1"/>
  <c r="L91" i="1"/>
  <c r="M91" i="1" s="1"/>
  <c r="I98" i="3" l="1"/>
  <c r="I92" i="1"/>
  <c r="G98" i="3" l="1"/>
  <c r="H98" i="3" s="1"/>
  <c r="E98" i="3"/>
  <c r="G92" i="1"/>
  <c r="H92" i="1" s="1"/>
  <c r="J93" i="1" s="1"/>
  <c r="E92" i="1"/>
  <c r="L92" i="1"/>
  <c r="M92" i="1" s="1"/>
  <c r="I99" i="3" l="1"/>
  <c r="K93" i="1"/>
  <c r="I93" i="1"/>
  <c r="G99" i="3" l="1"/>
  <c r="H99" i="3" s="1"/>
  <c r="E99" i="3"/>
  <c r="H4" i="2"/>
  <c r="K4" i="1"/>
  <c r="N4" i="1" s="1"/>
  <c r="G93" i="1"/>
  <c r="H93" i="1" s="1"/>
  <c r="J94" i="1" s="1"/>
  <c r="L93" i="1"/>
  <c r="M93" i="1" s="1"/>
  <c r="E93" i="1"/>
  <c r="G4" i="2"/>
  <c r="J4" i="1"/>
  <c r="M4" i="1" s="1"/>
  <c r="I100" i="3" l="1"/>
  <c r="I94" i="1"/>
  <c r="G100" i="3" l="1"/>
  <c r="H100" i="3" s="1"/>
  <c r="E100" i="3"/>
  <c r="G94" i="1"/>
  <c r="H94" i="1" s="1"/>
  <c r="J95" i="1" s="1"/>
  <c r="E94" i="1"/>
  <c r="I101" i="3" l="1"/>
  <c r="I95" i="1"/>
  <c r="E95" i="1" s="1"/>
  <c r="E101" i="3" l="1"/>
  <c r="G101" i="3"/>
  <c r="H101" i="3" s="1"/>
  <c r="G95" i="1"/>
  <c r="H95" i="1" s="1"/>
  <c r="J96" i="1" s="1"/>
  <c r="I102" i="3" l="1"/>
  <c r="I96" i="1"/>
  <c r="E96" i="1" s="1"/>
  <c r="G102" i="3" l="1"/>
  <c r="H102" i="3" s="1"/>
  <c r="E102" i="3"/>
  <c r="G96" i="1"/>
  <c r="H96" i="1" s="1"/>
  <c r="J97" i="1" s="1"/>
  <c r="I103" i="3" l="1"/>
  <c r="I97" i="1"/>
  <c r="E97" i="1" s="1"/>
  <c r="G103" i="3" l="1"/>
  <c r="H103" i="3" s="1"/>
  <c r="E103" i="3"/>
  <c r="G97" i="1"/>
  <c r="H97" i="1" s="1"/>
  <c r="J98" i="1" s="1"/>
  <c r="I104" i="3" l="1"/>
  <c r="I98" i="1"/>
  <c r="E98" i="1" s="1"/>
  <c r="G104" i="3" l="1"/>
  <c r="H104" i="3" s="1"/>
  <c r="E104" i="3"/>
  <c r="H4" i="3" s="1"/>
  <c r="L4" i="3" s="1"/>
  <c r="O4" i="3" s="1"/>
  <c r="G98" i="1"/>
  <c r="H98" i="1" s="1"/>
  <c r="J99" i="1" s="1"/>
  <c r="I105" i="3" l="1"/>
  <c r="I99" i="1"/>
  <c r="E99" i="1" s="1"/>
  <c r="G105" i="3" l="1"/>
  <c r="H105" i="3" s="1"/>
  <c r="E105" i="3"/>
  <c r="G99" i="1"/>
  <c r="H99" i="1" s="1"/>
  <c r="J100" i="1" s="1"/>
  <c r="I106" i="3" l="1"/>
  <c r="I100" i="1"/>
  <c r="E100" i="1" s="1"/>
  <c r="G106" i="3" l="1"/>
  <c r="H106" i="3" s="1"/>
  <c r="E106" i="3"/>
  <c r="G100" i="1"/>
  <c r="H100" i="1" s="1"/>
  <c r="I101" i="1" s="1"/>
  <c r="E101" i="1" s="1"/>
  <c r="I107" i="3" l="1"/>
  <c r="G101" i="1"/>
  <c r="H101" i="1" s="1"/>
  <c r="I102" i="1" s="1"/>
  <c r="E102" i="1" s="1"/>
  <c r="G107" i="3" l="1"/>
  <c r="H107" i="3" s="1"/>
  <c r="E107" i="3"/>
  <c r="G102" i="1"/>
  <c r="H102" i="1" s="1"/>
  <c r="I103" i="1" s="1"/>
  <c r="E103" i="1" s="1"/>
  <c r="I108" i="3" l="1"/>
  <c r="G103" i="1"/>
  <c r="H103" i="1" s="1"/>
  <c r="I104" i="1" s="1"/>
  <c r="G104" i="1" s="1"/>
  <c r="H104" i="1" s="1"/>
  <c r="I105" i="1" s="1"/>
  <c r="G108" i="3" l="1"/>
  <c r="H108" i="3" s="1"/>
  <c r="E108" i="3"/>
  <c r="E104" i="1"/>
  <c r="E4" i="2" s="1"/>
  <c r="I4" i="2" s="1"/>
  <c r="E105" i="1"/>
  <c r="G105" i="1"/>
  <c r="H105" i="1" s="1"/>
  <c r="I109" i="3" l="1"/>
  <c r="H4" i="1"/>
  <c r="L4" i="1" s="1"/>
  <c r="O4" i="1" s="1"/>
  <c r="I106" i="1"/>
  <c r="G109" i="3" l="1"/>
  <c r="H109" i="3" s="1"/>
  <c r="E109" i="3"/>
  <c r="E106" i="1"/>
  <c r="G106" i="1"/>
  <c r="H106" i="1" s="1"/>
  <c r="I110" i="3" l="1"/>
  <c r="I107" i="1"/>
  <c r="G110" i="3" l="1"/>
  <c r="H110" i="3" s="1"/>
  <c r="H111" i="3" s="1"/>
  <c r="E110" i="3"/>
  <c r="E107" i="1"/>
  <c r="G107" i="1"/>
  <c r="H107" i="1" s="1"/>
  <c r="I112" i="3" l="1"/>
  <c r="I108" i="1"/>
  <c r="G112" i="3" l="1"/>
  <c r="H112" i="3" s="1"/>
  <c r="E112" i="3"/>
  <c r="E108" i="1"/>
  <c r="G108" i="1"/>
  <c r="H108" i="1" s="1"/>
  <c r="I113" i="3" l="1"/>
  <c r="I109" i="1"/>
  <c r="G113" i="3" l="1"/>
  <c r="H113" i="3" s="1"/>
  <c r="E113" i="3"/>
  <c r="E109" i="1"/>
  <c r="G109" i="1"/>
  <c r="H109" i="1" s="1"/>
  <c r="I114" i="3" l="1"/>
  <c r="I110" i="1"/>
  <c r="G114" i="3" l="1"/>
  <c r="H114" i="3" s="1"/>
  <c r="E114" i="3"/>
  <c r="E110" i="1"/>
  <c r="G110" i="1"/>
  <c r="H110" i="1" s="1"/>
  <c r="H111" i="1" s="1"/>
  <c r="I115" i="3" l="1"/>
  <c r="I112" i="1"/>
  <c r="G115" i="3" l="1"/>
  <c r="H115" i="3" s="1"/>
  <c r="E115" i="3"/>
  <c r="G112" i="1"/>
  <c r="H112" i="1" s="1"/>
  <c r="E112" i="1"/>
  <c r="I116" i="3" l="1"/>
  <c r="I113" i="1"/>
  <c r="G116" i="3" l="1"/>
  <c r="H116" i="3" s="1"/>
  <c r="E116" i="3"/>
  <c r="G113" i="1"/>
  <c r="H113" i="1" s="1"/>
  <c r="E113" i="1"/>
  <c r="I117" i="3" l="1"/>
  <c r="I114" i="1"/>
  <c r="G117" i="3" l="1"/>
  <c r="H117" i="3" s="1"/>
  <c r="E117" i="3"/>
  <c r="E114" i="1"/>
  <c r="G114" i="1"/>
  <c r="H114" i="1" s="1"/>
  <c r="I118" i="3" l="1"/>
  <c r="I115" i="1"/>
  <c r="G118" i="3" l="1"/>
  <c r="H118" i="3" s="1"/>
  <c r="E118" i="3"/>
  <c r="G115" i="1"/>
  <c r="H115" i="1" s="1"/>
  <c r="E115" i="1"/>
  <c r="I119" i="3" l="1"/>
  <c r="I116" i="1"/>
  <c r="G119" i="3" l="1"/>
  <c r="H119" i="3" s="1"/>
  <c r="E119" i="3"/>
  <c r="E116" i="1"/>
  <c r="G116" i="1"/>
  <c r="H116" i="1" s="1"/>
  <c r="I120" i="3" l="1"/>
  <c r="I117" i="1"/>
  <c r="G120" i="3" l="1"/>
  <c r="H120" i="3" s="1"/>
  <c r="E120" i="3"/>
  <c r="G117" i="1"/>
  <c r="H117" i="1" s="1"/>
  <c r="E117" i="1"/>
  <c r="I121" i="3" l="1"/>
  <c r="I118" i="1"/>
  <c r="G121" i="3" l="1"/>
  <c r="H121" i="3" s="1"/>
  <c r="E121" i="3"/>
  <c r="G118" i="1"/>
  <c r="H118" i="1" s="1"/>
  <c r="E118" i="1"/>
  <c r="I122" i="3" l="1"/>
  <c r="L119" i="1"/>
  <c r="M119" i="1" s="1"/>
  <c r="I119" i="1"/>
  <c r="G122" i="3" l="1"/>
  <c r="H122" i="3" s="1"/>
  <c r="E122" i="3"/>
  <c r="E119" i="1"/>
  <c r="G119" i="1"/>
  <c r="H119" i="1" s="1"/>
  <c r="I123" i="3" l="1"/>
  <c r="L120" i="1"/>
  <c r="M120" i="1" s="1"/>
  <c r="I120" i="1"/>
  <c r="G123" i="3" l="1"/>
  <c r="H123" i="3" s="1"/>
  <c r="E123" i="3"/>
  <c r="E120" i="1"/>
  <c r="G120" i="1"/>
  <c r="H120" i="1" s="1"/>
  <c r="J121" i="1" s="1"/>
  <c r="I124" i="3" l="1"/>
  <c r="I121" i="1"/>
  <c r="G121" i="1" s="1"/>
  <c r="H121" i="1" s="1"/>
  <c r="J122" i="1" s="1"/>
  <c r="G124" i="3" l="1"/>
  <c r="H124" i="3" s="1"/>
  <c r="E124" i="3"/>
  <c r="I122" i="1"/>
  <c r="L121" i="1"/>
  <c r="M121" i="1" s="1"/>
  <c r="E121" i="1"/>
  <c r="I125" i="3" l="1"/>
  <c r="J125" i="3"/>
  <c r="L122" i="1"/>
  <c r="M122" i="1" s="1"/>
  <c r="E122" i="1"/>
  <c r="G122" i="1"/>
  <c r="H122" i="1" s="1"/>
  <c r="J123" i="1" s="1"/>
  <c r="L125" i="3" l="1"/>
  <c r="M125" i="3" s="1"/>
  <c r="E125" i="3"/>
  <c r="G125" i="3"/>
  <c r="H125" i="3" s="1"/>
  <c r="I123" i="1"/>
  <c r="I126" i="3" l="1"/>
  <c r="J126" i="3"/>
  <c r="E123" i="1"/>
  <c r="L123" i="1"/>
  <c r="M123" i="1" s="1"/>
  <c r="G123" i="1"/>
  <c r="H123" i="1" s="1"/>
  <c r="J124" i="1" s="1"/>
  <c r="L126" i="3" l="1"/>
  <c r="M126" i="3" s="1"/>
  <c r="E126" i="3"/>
  <c r="G126" i="3"/>
  <c r="H126" i="3" s="1"/>
  <c r="I124" i="1"/>
  <c r="I127" i="3" l="1"/>
  <c r="J127" i="3"/>
  <c r="G124" i="1"/>
  <c r="H124" i="1" s="1"/>
  <c r="J125" i="1" s="1"/>
  <c r="L124" i="1"/>
  <c r="M124" i="1" s="1"/>
  <c r="E124" i="1"/>
  <c r="E127" i="3" l="1"/>
  <c r="L127" i="3"/>
  <c r="M127" i="3" s="1"/>
  <c r="G127" i="3"/>
  <c r="H127" i="3" s="1"/>
  <c r="I125" i="1"/>
  <c r="G125" i="1" s="1"/>
  <c r="H125" i="1" s="1"/>
  <c r="J126" i="1" s="1"/>
  <c r="L125" i="1"/>
  <c r="M125" i="1" s="1"/>
  <c r="I128" i="3" l="1"/>
  <c r="J128" i="3"/>
  <c r="I126" i="1"/>
  <c r="L126" i="1"/>
  <c r="M126" i="1" s="1"/>
  <c r="E125" i="1"/>
  <c r="E128" i="3" l="1"/>
  <c r="L128" i="3"/>
  <c r="M128" i="3" s="1"/>
  <c r="G128" i="3"/>
  <c r="H128" i="3" s="1"/>
  <c r="G126" i="1"/>
  <c r="H126" i="1" s="1"/>
  <c r="J127" i="1" s="1"/>
  <c r="E126" i="1"/>
  <c r="I129" i="3" l="1"/>
  <c r="J129" i="3"/>
  <c r="I127" i="1"/>
  <c r="G127" i="1" s="1"/>
  <c r="H127" i="1" s="1"/>
  <c r="J128" i="1" s="1"/>
  <c r="L127" i="1"/>
  <c r="M127" i="1" s="1"/>
  <c r="L129" i="3" l="1"/>
  <c r="M129" i="3" s="1"/>
  <c r="E129" i="3"/>
  <c r="G129" i="3"/>
  <c r="H129" i="3" s="1"/>
  <c r="E127" i="1"/>
  <c r="I128" i="1"/>
  <c r="I130" i="3" l="1"/>
  <c r="J130" i="3"/>
  <c r="G128" i="1"/>
  <c r="H128" i="1" s="1"/>
  <c r="J129" i="1" s="1"/>
  <c r="E128" i="1"/>
  <c r="L128" i="1"/>
  <c r="M128" i="1" s="1"/>
  <c r="L130" i="3" l="1"/>
  <c r="M130" i="3" s="1"/>
  <c r="E130" i="3"/>
  <c r="G130" i="3"/>
  <c r="H130" i="3" s="1"/>
  <c r="I129" i="1"/>
  <c r="G129" i="1" s="1"/>
  <c r="H129" i="1" s="1"/>
  <c r="J130" i="1" s="1"/>
  <c r="L129" i="1"/>
  <c r="M129" i="1" s="1"/>
  <c r="I131" i="3" l="1"/>
  <c r="J131" i="3"/>
  <c r="E129" i="1"/>
  <c r="I130" i="1"/>
  <c r="G130" i="1" s="1"/>
  <c r="H130" i="1" s="1"/>
  <c r="J131" i="1" s="1"/>
  <c r="E131" i="3" l="1"/>
  <c r="L131" i="3"/>
  <c r="M131" i="3" s="1"/>
  <c r="G131" i="3"/>
  <c r="H131" i="3" s="1"/>
  <c r="E130" i="1"/>
  <c r="L130" i="1"/>
  <c r="M130" i="1" s="1"/>
  <c r="I131" i="1"/>
  <c r="G131" i="1" s="1"/>
  <c r="H131" i="1" s="1"/>
  <c r="J132" i="1" s="1"/>
  <c r="L131" i="1"/>
  <c r="M131" i="1" s="1"/>
  <c r="I132" i="3" l="1"/>
  <c r="J132" i="3"/>
  <c r="I132" i="1"/>
  <c r="E131" i="1"/>
  <c r="E132" i="3" l="1"/>
  <c r="L132" i="3"/>
  <c r="M132" i="3" s="1"/>
  <c r="G132" i="3"/>
  <c r="H132" i="3" s="1"/>
  <c r="E132" i="1"/>
  <c r="L132" i="1"/>
  <c r="M132" i="1" s="1"/>
  <c r="G132" i="1"/>
  <c r="H132" i="1" s="1"/>
  <c r="J133" i="1" s="1"/>
  <c r="I133" i="3" l="1"/>
  <c r="J133" i="3"/>
  <c r="I133" i="1"/>
  <c r="L133" i="1"/>
  <c r="M133" i="1" s="1"/>
  <c r="L133" i="3" l="1"/>
  <c r="M133" i="3" s="1"/>
  <c r="E133" i="3"/>
  <c r="G133" i="3"/>
  <c r="H133" i="3" s="1"/>
  <c r="G133" i="1"/>
  <c r="H133" i="1" s="1"/>
  <c r="J134" i="1" s="1"/>
  <c r="E133" i="1"/>
  <c r="I134" i="3" l="1"/>
  <c r="J134" i="3"/>
  <c r="I134" i="1"/>
  <c r="E134" i="1" s="1"/>
  <c r="L134" i="1"/>
  <c r="M134" i="1" s="1"/>
  <c r="L134" i="3" l="1"/>
  <c r="M134" i="3" s="1"/>
  <c r="E134" i="3"/>
  <c r="G134" i="3"/>
  <c r="H134" i="3" s="1"/>
  <c r="G134" i="1"/>
  <c r="H134" i="1" s="1"/>
  <c r="J135" i="1" s="1"/>
  <c r="I135" i="3" l="1"/>
  <c r="J135" i="3"/>
  <c r="I135" i="1"/>
  <c r="E135" i="1" s="1"/>
  <c r="L135" i="1"/>
  <c r="M135" i="1" s="1"/>
  <c r="E135" i="3" l="1"/>
  <c r="L135" i="3"/>
  <c r="M135" i="3" s="1"/>
  <c r="G135" i="3"/>
  <c r="H135" i="3" s="1"/>
  <c r="G135" i="1"/>
  <c r="H135" i="1" s="1"/>
  <c r="J136" i="1" s="1"/>
  <c r="I136" i="3" l="1"/>
  <c r="J136" i="3"/>
  <c r="I136" i="1"/>
  <c r="G136" i="1" s="1"/>
  <c r="H136" i="1" s="1"/>
  <c r="J137" i="1" s="1"/>
  <c r="L136" i="1"/>
  <c r="M136" i="1" s="1"/>
  <c r="E136" i="3" l="1"/>
  <c r="L136" i="3"/>
  <c r="M136" i="3" s="1"/>
  <c r="G136" i="3"/>
  <c r="H136" i="3" s="1"/>
  <c r="E136" i="1"/>
  <c r="I137" i="1"/>
  <c r="L137" i="1"/>
  <c r="M137" i="1" s="1"/>
  <c r="I137" i="3" l="1"/>
  <c r="J137" i="3"/>
  <c r="G137" i="1"/>
  <c r="H137" i="1" s="1"/>
  <c r="J138" i="1" s="1"/>
  <c r="E137" i="1"/>
  <c r="L137" i="3" l="1"/>
  <c r="M137" i="3" s="1"/>
  <c r="E137" i="3"/>
  <c r="G137" i="3"/>
  <c r="H137" i="3" s="1"/>
  <c r="I138" i="1"/>
  <c r="G138" i="1" s="1"/>
  <c r="H138" i="1" s="1"/>
  <c r="J139" i="1" s="1"/>
  <c r="L138" i="1"/>
  <c r="M138" i="1" s="1"/>
  <c r="I138" i="3" l="1"/>
  <c r="J138" i="3"/>
  <c r="I139" i="1"/>
  <c r="E139" i="1" s="1"/>
  <c r="E138" i="1"/>
  <c r="G138" i="3" l="1"/>
  <c r="H138" i="3" s="1"/>
  <c r="L138" i="3"/>
  <c r="M138" i="3" s="1"/>
  <c r="E138" i="3"/>
  <c r="G139" i="1"/>
  <c r="H139" i="1" s="1"/>
  <c r="J140" i="1" s="1"/>
  <c r="L139" i="1"/>
  <c r="M139" i="1" s="1"/>
  <c r="I139" i="3" l="1"/>
  <c r="J139" i="3"/>
  <c r="I140" i="1"/>
  <c r="E140" i="1" s="1"/>
  <c r="L140" i="1"/>
  <c r="M140" i="1" s="1"/>
  <c r="E139" i="3" l="1"/>
  <c r="L139" i="3"/>
  <c r="M139" i="3" s="1"/>
  <c r="G139" i="3"/>
  <c r="H139" i="3" s="1"/>
  <c r="G140" i="1"/>
  <c r="H140" i="1" s="1"/>
  <c r="J141" i="1" s="1"/>
  <c r="I140" i="3" l="1"/>
  <c r="J140" i="3"/>
  <c r="I141" i="1"/>
  <c r="E141" i="1" s="1"/>
  <c r="L141" i="1"/>
  <c r="M141" i="1" s="1"/>
  <c r="K141" i="1"/>
  <c r="L140" i="3" l="1"/>
  <c r="E140" i="3"/>
  <c r="M140" i="3"/>
  <c r="G140" i="3"/>
  <c r="H140" i="3" s="1"/>
  <c r="H5" i="2"/>
  <c r="K5" i="1"/>
  <c r="N5" i="1" s="1"/>
  <c r="G141" i="1"/>
  <c r="H141" i="1" s="1"/>
  <c r="J142" i="1" s="1"/>
  <c r="I141" i="3" l="1"/>
  <c r="J141" i="3"/>
  <c r="I142" i="1"/>
  <c r="L141" i="3" l="1"/>
  <c r="M141" i="3" s="1"/>
  <c r="E141" i="3"/>
  <c r="K141" i="3"/>
  <c r="K5" i="3" s="1"/>
  <c r="N5" i="3" s="1"/>
  <c r="G141" i="3"/>
  <c r="H141" i="3" s="1"/>
  <c r="E142" i="1"/>
  <c r="G142" i="1"/>
  <c r="H142" i="1" s="1"/>
  <c r="J143" i="1" s="1"/>
  <c r="I142" i="3" l="1"/>
  <c r="J142" i="3"/>
  <c r="E142" i="3" s="1"/>
  <c r="I143" i="1"/>
  <c r="G142" i="3" l="1"/>
  <c r="H142" i="3" s="1"/>
  <c r="G143" i="1"/>
  <c r="H143" i="1" s="1"/>
  <c r="J144" i="1" s="1"/>
  <c r="E143" i="1"/>
  <c r="I143" i="3" l="1"/>
  <c r="J143" i="3"/>
  <c r="E143" i="3" s="1"/>
  <c r="I144" i="1"/>
  <c r="E144" i="1" s="1"/>
  <c r="G143" i="3" l="1"/>
  <c r="H143" i="3" s="1"/>
  <c r="G144" i="1"/>
  <c r="H144" i="1" s="1"/>
  <c r="J145" i="1" s="1"/>
  <c r="I144" i="3" l="1"/>
  <c r="J144" i="3"/>
  <c r="E144" i="3" s="1"/>
  <c r="I145" i="1"/>
  <c r="E145" i="1" s="1"/>
  <c r="G144" i="3" l="1"/>
  <c r="H144" i="3" s="1"/>
  <c r="G145" i="1"/>
  <c r="H145" i="1" s="1"/>
  <c r="J146" i="1" s="1"/>
  <c r="I145" i="3" l="1"/>
  <c r="J145" i="3"/>
  <c r="I146" i="1"/>
  <c r="G146" i="1" s="1"/>
  <c r="H146" i="1" s="1"/>
  <c r="J147" i="1" s="1"/>
  <c r="E145" i="3" l="1"/>
  <c r="J5" i="3"/>
  <c r="M5" i="3" s="1"/>
  <c r="G145" i="3"/>
  <c r="H145" i="3" s="1"/>
  <c r="I147" i="1"/>
  <c r="E147" i="1" s="1"/>
  <c r="E146" i="1"/>
  <c r="I146" i="3" l="1"/>
  <c r="G147" i="1"/>
  <c r="H147" i="1" s="1"/>
  <c r="J148" i="1" s="1"/>
  <c r="G146" i="3" l="1"/>
  <c r="H146" i="3" s="1"/>
  <c r="E146" i="3"/>
  <c r="I148" i="1"/>
  <c r="E148" i="1" s="1"/>
  <c r="G5" i="2"/>
  <c r="J5" i="1"/>
  <c r="M5" i="1" s="1"/>
  <c r="I147" i="3" l="1"/>
  <c r="G148" i="1"/>
  <c r="H148" i="1" s="1"/>
  <c r="I149" i="1" s="1"/>
  <c r="G147" i="3" l="1"/>
  <c r="H147" i="3" s="1"/>
  <c r="E147" i="3"/>
  <c r="G149" i="1"/>
  <c r="H149" i="1" s="1"/>
  <c r="E149" i="1"/>
  <c r="I148" i="3" l="1"/>
  <c r="I150" i="1"/>
  <c r="G148" i="3" l="1"/>
  <c r="H148" i="3" s="1"/>
  <c r="E148" i="3"/>
  <c r="E150" i="1"/>
  <c r="G150" i="1"/>
  <c r="H150" i="1" s="1"/>
  <c r="I149" i="3" l="1"/>
  <c r="I151" i="1"/>
  <c r="G149" i="3" l="1"/>
  <c r="H149" i="3" s="1"/>
  <c r="E149" i="3"/>
  <c r="E151" i="1"/>
  <c r="G151" i="1"/>
  <c r="H151" i="1" s="1"/>
  <c r="I150" i="3" l="1"/>
  <c r="I152" i="1"/>
  <c r="G150" i="3" l="1"/>
  <c r="H150" i="3" s="1"/>
  <c r="E150" i="3"/>
  <c r="E152" i="1"/>
  <c r="G152" i="1"/>
  <c r="H152" i="1" s="1"/>
  <c r="I151" i="3" l="1"/>
  <c r="I153" i="1"/>
  <c r="E5" i="2"/>
  <c r="I5" i="2" s="1"/>
  <c r="H5" i="1"/>
  <c r="L5" i="1" s="1"/>
  <c r="O5" i="1" s="1"/>
  <c r="G151" i="3" l="1"/>
  <c r="H151" i="3" s="1"/>
  <c r="E151" i="3"/>
  <c r="G153" i="1"/>
  <c r="H153" i="1" s="1"/>
  <c r="E153" i="1"/>
  <c r="I152" i="3" l="1"/>
  <c r="I154" i="1"/>
  <c r="G152" i="3" l="1"/>
  <c r="H152" i="3" s="1"/>
  <c r="E152" i="3"/>
  <c r="H5" i="3" s="1"/>
  <c r="L5" i="3" s="1"/>
  <c r="O5" i="3" s="1"/>
  <c r="O10" i="3" s="1"/>
  <c r="G154" i="1"/>
  <c r="H154" i="1" s="1"/>
  <c r="E154" i="1"/>
  <c r="I153" i="3" l="1"/>
  <c r="I155" i="1"/>
  <c r="G153" i="3" l="1"/>
  <c r="H153" i="3" s="1"/>
  <c r="E153" i="3"/>
  <c r="G155" i="1"/>
  <c r="H155" i="1" s="1"/>
  <c r="E155" i="1"/>
  <c r="I154" i="3" l="1"/>
  <c r="I156" i="1"/>
  <c r="G154" i="3" l="1"/>
  <c r="H154" i="3" s="1"/>
  <c r="E154" i="3"/>
  <c r="G156" i="1"/>
  <c r="H156" i="1" s="1"/>
  <c r="E156" i="1"/>
  <c r="I155" i="3" l="1"/>
  <c r="I157" i="1"/>
  <c r="G155" i="3" l="1"/>
  <c r="H155" i="3" s="1"/>
  <c r="E155" i="3"/>
  <c r="G157" i="1"/>
  <c r="H157" i="1" s="1"/>
  <c r="E157" i="1"/>
  <c r="I156" i="3" l="1"/>
  <c r="I158" i="1"/>
  <c r="G156" i="3" l="1"/>
  <c r="H156" i="3" s="1"/>
  <c r="E156" i="3"/>
  <c r="E158" i="1"/>
  <c r="G158" i="1"/>
  <c r="H158" i="1" s="1"/>
  <c r="I157" i="3" l="1"/>
  <c r="I160" i="1"/>
  <c r="G157" i="3" l="1"/>
  <c r="H157" i="3" s="1"/>
  <c r="E157" i="3"/>
  <c r="E160" i="1"/>
  <c r="G160" i="1"/>
  <c r="H160" i="1" s="1"/>
  <c r="I158" i="3" l="1"/>
  <c r="I161" i="1"/>
  <c r="G158" i="3" l="1"/>
  <c r="H158" i="3" s="1"/>
  <c r="E158" i="3"/>
  <c r="E161" i="1"/>
  <c r="G161" i="1"/>
  <c r="H161" i="1" s="1"/>
  <c r="I162" i="1" l="1"/>
  <c r="E162" i="1" l="1"/>
  <c r="G162" i="1"/>
  <c r="H162" i="1" s="1"/>
  <c r="I163" i="1" l="1"/>
  <c r="E163" i="1" l="1"/>
  <c r="G163" i="1"/>
  <c r="H163" i="1" s="1"/>
  <c r="I164" i="1" l="1"/>
  <c r="G164" i="1" l="1"/>
  <c r="H164" i="1" s="1"/>
  <c r="E164" i="1"/>
  <c r="I165" i="1" l="1"/>
  <c r="E165" i="1" l="1"/>
  <c r="G165" i="1"/>
  <c r="H165" i="1" s="1"/>
  <c r="I166" i="1" l="1"/>
  <c r="E166" i="1" l="1"/>
  <c r="G166" i="1"/>
  <c r="H166" i="1" s="1"/>
  <c r="L167" i="1" s="1"/>
  <c r="M167" i="1" s="1"/>
  <c r="I167" i="1" l="1"/>
  <c r="G167" i="1" l="1"/>
  <c r="H167" i="1" s="1"/>
  <c r="L168" i="1" s="1"/>
  <c r="M168" i="1" s="1"/>
  <c r="E167" i="1"/>
  <c r="I168" i="1" l="1"/>
  <c r="G168" i="1" l="1"/>
  <c r="H168" i="1" s="1"/>
  <c r="J169" i="1" s="1"/>
  <c r="E168" i="1"/>
  <c r="I169" i="1" l="1"/>
  <c r="L169" i="1" l="1"/>
  <c r="M169" i="1" s="1"/>
  <c r="E169" i="1"/>
  <c r="G169" i="1"/>
  <c r="H169" i="1" s="1"/>
  <c r="J170" i="1" s="1"/>
  <c r="I170" i="1" l="1"/>
  <c r="E170" i="1" l="1"/>
  <c r="L170" i="1"/>
  <c r="M170" i="1" s="1"/>
  <c r="G170" i="1"/>
  <c r="H170" i="1" s="1"/>
  <c r="J171" i="1" s="1"/>
  <c r="I171" i="1" l="1"/>
  <c r="G171" i="1" s="1"/>
  <c r="H171" i="1" s="1"/>
  <c r="J172" i="1" s="1"/>
  <c r="I172" i="1" l="1"/>
  <c r="L171" i="1"/>
  <c r="M171" i="1" s="1"/>
  <c r="E171" i="1"/>
  <c r="G172" i="1" l="1"/>
  <c r="H172" i="1" s="1"/>
  <c r="J173" i="1" s="1"/>
  <c r="L172" i="1"/>
  <c r="M172" i="1" s="1"/>
  <c r="E172" i="1"/>
  <c r="I173" i="1" l="1"/>
  <c r="G173" i="1" s="1"/>
  <c r="H173" i="1" s="1"/>
  <c r="J174" i="1" s="1"/>
  <c r="L173" i="1"/>
  <c r="M173" i="1" s="1"/>
  <c r="E173" i="1" l="1"/>
  <c r="I174" i="1"/>
  <c r="G174" i="1" s="1"/>
  <c r="H174" i="1" s="1"/>
  <c r="J175" i="1" s="1"/>
  <c r="L174" i="1"/>
  <c r="M174" i="1" s="1"/>
  <c r="E174" i="1" l="1"/>
  <c r="I175" i="1"/>
  <c r="G175" i="1" s="1"/>
  <c r="H175" i="1" s="1"/>
  <c r="J176" i="1" s="1"/>
  <c r="L175" i="1"/>
  <c r="M175" i="1" s="1"/>
  <c r="E175" i="1" l="1"/>
  <c r="I176" i="1"/>
  <c r="L176" i="1"/>
  <c r="M176" i="1" s="1"/>
  <c r="G176" i="1"/>
  <c r="H176" i="1" s="1"/>
  <c r="J177" i="1" s="1"/>
  <c r="E176" i="1" l="1"/>
  <c r="I177" i="1"/>
  <c r="L177" i="1" l="1"/>
  <c r="M177" i="1" s="1"/>
  <c r="E177" i="1"/>
  <c r="G177" i="1"/>
  <c r="H177" i="1" s="1"/>
  <c r="J178" i="1" s="1"/>
  <c r="I178" i="1" l="1"/>
  <c r="G178" i="1" s="1"/>
  <c r="H178" i="1" s="1"/>
  <c r="J179" i="1" s="1"/>
  <c r="I179" i="1" l="1"/>
  <c r="E178" i="1"/>
  <c r="L178" i="1"/>
  <c r="M178" i="1" s="1"/>
  <c r="E179" i="1" l="1"/>
  <c r="L179" i="1"/>
  <c r="M179" i="1" s="1"/>
  <c r="G179" i="1"/>
  <c r="H179" i="1" s="1"/>
  <c r="J180" i="1" l="1"/>
  <c r="I180" i="1"/>
  <c r="G180" i="1" l="1"/>
  <c r="H180" i="1" s="1"/>
  <c r="J181" i="1" s="1"/>
  <c r="L180" i="1"/>
  <c r="M180" i="1" s="1"/>
  <c r="E180" i="1"/>
  <c r="I181" i="1" l="1"/>
  <c r="E181" i="1" s="1"/>
  <c r="L181" i="1"/>
  <c r="M181" i="1" s="1"/>
  <c r="G181" i="1"/>
  <c r="H181" i="1" s="1"/>
  <c r="J182" i="1" s="1"/>
  <c r="I182" i="1" l="1"/>
  <c r="G182" i="1" s="1"/>
  <c r="H182" i="1" s="1"/>
  <c r="J183" i="1" s="1"/>
  <c r="I183" i="1" l="1"/>
  <c r="G183" i="1" s="1"/>
  <c r="H183" i="1" s="1"/>
  <c r="J184" i="1" s="1"/>
  <c r="L182" i="1"/>
  <c r="M182" i="1" s="1"/>
  <c r="E182" i="1"/>
  <c r="I184" i="1" l="1"/>
  <c r="L183" i="1"/>
  <c r="M183" i="1" s="1"/>
  <c r="E183" i="1"/>
  <c r="E184" i="1" l="1"/>
  <c r="L184" i="1"/>
  <c r="M184" i="1" s="1"/>
  <c r="G184" i="1"/>
  <c r="H184" i="1" s="1"/>
  <c r="J185" i="1" s="1"/>
  <c r="I185" i="1" l="1"/>
  <c r="G185" i="1" s="1"/>
  <c r="H185" i="1" s="1"/>
  <c r="J186" i="1" s="1"/>
  <c r="I186" i="1" l="1"/>
  <c r="E185" i="1"/>
  <c r="L185" i="1"/>
  <c r="M185" i="1" s="1"/>
  <c r="L186" i="1" l="1"/>
  <c r="M186" i="1" s="1"/>
  <c r="E186" i="1"/>
  <c r="G186" i="1"/>
  <c r="H186" i="1" s="1"/>
  <c r="J187" i="1" s="1"/>
  <c r="I187" i="1" l="1"/>
  <c r="G187" i="1" l="1"/>
  <c r="H187" i="1" s="1"/>
  <c r="J188" i="1" s="1"/>
  <c r="E187" i="1"/>
  <c r="L187" i="1"/>
  <c r="M187" i="1" s="1"/>
  <c r="I188" i="1" l="1"/>
  <c r="G188" i="1" s="1"/>
  <c r="H188" i="1" s="1"/>
  <c r="J189" i="1" s="1"/>
  <c r="L188" i="1"/>
  <c r="M188" i="1" s="1"/>
  <c r="E188" i="1" l="1"/>
  <c r="K189" i="1"/>
  <c r="I189" i="1"/>
  <c r="G189" i="1" s="1"/>
  <c r="H189" i="1" s="1"/>
  <c r="J190" i="1" s="1"/>
  <c r="K6" i="1" l="1"/>
  <c r="N6" i="1" s="1"/>
  <c r="H6" i="2"/>
  <c r="L189" i="1"/>
  <c r="M189" i="1" s="1"/>
  <c r="E189" i="1"/>
  <c r="I190" i="1"/>
  <c r="E190" i="1" s="1"/>
  <c r="G190" i="1" l="1"/>
  <c r="H190" i="1" s="1"/>
  <c r="J191" i="1" s="1"/>
  <c r="I191" i="1" l="1"/>
  <c r="E191" i="1" s="1"/>
  <c r="G191" i="1" l="1"/>
  <c r="H191" i="1" s="1"/>
  <c r="J192" i="1" s="1"/>
  <c r="I192" i="1" l="1"/>
  <c r="G192" i="1" s="1"/>
  <c r="H192" i="1" s="1"/>
  <c r="J193" i="1" s="1"/>
  <c r="I193" i="1" l="1"/>
  <c r="E193" i="1" s="1"/>
  <c r="E192" i="1"/>
  <c r="G193" i="1" l="1"/>
  <c r="H193" i="1" s="1"/>
  <c r="J194" i="1" s="1"/>
  <c r="I194" i="1" l="1"/>
  <c r="E194" i="1" s="1"/>
  <c r="G194" i="1" l="1"/>
  <c r="H194" i="1" s="1"/>
  <c r="J195" i="1" s="1"/>
  <c r="I195" i="1" l="1"/>
  <c r="E195" i="1" s="1"/>
  <c r="G195" i="1" l="1"/>
  <c r="H195" i="1" s="1"/>
  <c r="J196" i="1" s="1"/>
  <c r="I196" i="1" l="1"/>
  <c r="E196" i="1" l="1"/>
  <c r="G6" i="2"/>
  <c r="J6" i="1"/>
  <c r="M6" i="1" s="1"/>
  <c r="G196" i="1"/>
  <c r="H196" i="1" s="1"/>
  <c r="I197" i="1" l="1"/>
  <c r="E197" i="1" l="1"/>
  <c r="G197" i="1"/>
  <c r="H197" i="1" s="1"/>
  <c r="I198" i="1" l="1"/>
  <c r="E198" i="1" l="1"/>
  <c r="G198" i="1"/>
  <c r="H198" i="1" s="1"/>
  <c r="I199" i="1" l="1"/>
  <c r="E199" i="1" l="1"/>
  <c r="G199" i="1"/>
  <c r="H199" i="1" s="1"/>
  <c r="I200" i="1" l="1"/>
  <c r="E200" i="1" l="1"/>
  <c r="G200" i="1"/>
  <c r="H200" i="1" s="1"/>
  <c r="I201" i="1" l="1"/>
  <c r="H6" i="1"/>
  <c r="L6" i="1" s="1"/>
  <c r="O6" i="1" s="1"/>
  <c r="E6" i="2"/>
  <c r="I6" i="2" s="1"/>
  <c r="E201" i="1" l="1"/>
  <c r="G201" i="1"/>
  <c r="H201" i="1" s="1"/>
  <c r="I202" i="1" l="1"/>
  <c r="E202" i="1" l="1"/>
  <c r="G202" i="1"/>
  <c r="H202" i="1" s="1"/>
  <c r="I203" i="1" l="1"/>
  <c r="E203" i="1" l="1"/>
  <c r="G203" i="1"/>
  <c r="H203" i="1" s="1"/>
  <c r="I204" i="1" l="1"/>
  <c r="E204" i="1" l="1"/>
  <c r="G204" i="1"/>
  <c r="H204" i="1" s="1"/>
  <c r="I205" i="1" l="1"/>
  <c r="G205" i="1" l="1"/>
  <c r="H205" i="1" s="1"/>
  <c r="E205" i="1"/>
  <c r="I206" i="1" l="1"/>
  <c r="G206" i="1" l="1"/>
  <c r="H206" i="1" s="1"/>
  <c r="E206" i="1"/>
  <c r="I208" i="1" l="1"/>
  <c r="E208" i="1" l="1"/>
  <c r="G208" i="1"/>
  <c r="H208" i="1" s="1"/>
  <c r="I209" i="1" l="1"/>
  <c r="G209" i="1" l="1"/>
  <c r="H209" i="1" s="1"/>
  <c r="E209" i="1"/>
  <c r="I210" i="1" l="1"/>
  <c r="E210" i="1" l="1"/>
  <c r="G210" i="1"/>
  <c r="H210" i="1" s="1"/>
  <c r="I211" i="1" l="1"/>
  <c r="G211" i="1" l="1"/>
  <c r="H211" i="1" s="1"/>
  <c r="E211" i="1"/>
  <c r="I212" i="1" l="1"/>
  <c r="G212" i="1" l="1"/>
  <c r="H212" i="1" s="1"/>
  <c r="E212" i="1"/>
  <c r="I213" i="1" l="1"/>
  <c r="G213" i="1" l="1"/>
  <c r="H213" i="1" s="1"/>
  <c r="E213" i="1"/>
  <c r="I214" i="1" l="1"/>
  <c r="G214" i="1" l="1"/>
  <c r="H214" i="1" s="1"/>
  <c r="E214" i="1"/>
  <c r="I215" i="1" l="1"/>
  <c r="G215" i="1" l="1"/>
  <c r="H215" i="1" s="1"/>
  <c r="E215" i="1"/>
  <c r="I216" i="1" l="1"/>
  <c r="G216" i="1" l="1"/>
  <c r="H216" i="1" s="1"/>
  <c r="E216" i="1"/>
  <c r="L217" i="1" l="1"/>
  <c r="M217" i="1" s="1"/>
  <c r="I217" i="1"/>
  <c r="G217" i="1" l="1"/>
  <c r="H217" i="1" s="1"/>
  <c r="L218" i="1" s="1"/>
  <c r="M218" i="1" s="1"/>
  <c r="E217" i="1"/>
  <c r="I218" i="1" l="1"/>
  <c r="G218" i="1" l="1"/>
  <c r="H218" i="1" s="1"/>
  <c r="J219" i="1" s="1"/>
  <c r="E218" i="1"/>
  <c r="I219" i="1" l="1"/>
  <c r="E219" i="1" l="1"/>
  <c r="L219" i="1"/>
  <c r="M219" i="1" s="1"/>
  <c r="G219" i="1"/>
  <c r="H219" i="1" s="1"/>
  <c r="J220" i="1" s="1"/>
  <c r="I220" i="1" l="1"/>
  <c r="G220" i="1" l="1"/>
  <c r="H220" i="1" s="1"/>
  <c r="J221" i="1" s="1"/>
  <c r="E220" i="1"/>
  <c r="L220" i="1"/>
  <c r="M220" i="1" s="1"/>
  <c r="I221" i="1" l="1"/>
  <c r="E221" i="1" s="1"/>
  <c r="L221" i="1"/>
  <c r="M221" i="1" s="1"/>
  <c r="G221" i="1" l="1"/>
  <c r="H221" i="1" s="1"/>
  <c r="J222" i="1" s="1"/>
  <c r="I222" i="1" l="1"/>
  <c r="G222" i="1" s="1"/>
  <c r="H222" i="1" s="1"/>
  <c r="J223" i="1" s="1"/>
  <c r="L222" i="1"/>
  <c r="M222" i="1" s="1"/>
  <c r="E222" i="1" l="1"/>
  <c r="I223" i="1"/>
  <c r="G223" i="1" l="1"/>
  <c r="H223" i="1" s="1"/>
  <c r="J224" i="1" s="1"/>
  <c r="L223" i="1"/>
  <c r="M223" i="1" s="1"/>
  <c r="E223" i="1"/>
  <c r="I224" i="1" l="1"/>
  <c r="G224" i="1" s="1"/>
  <c r="H224" i="1" s="1"/>
  <c r="J225" i="1" s="1"/>
  <c r="L224" i="1"/>
  <c r="M224" i="1" s="1"/>
  <c r="E224" i="1" l="1"/>
  <c r="I225" i="1"/>
  <c r="G225" i="1" s="1"/>
  <c r="H225" i="1" s="1"/>
  <c r="J226" i="1" s="1"/>
  <c r="L225" i="1"/>
  <c r="M225" i="1" s="1"/>
  <c r="E225" i="1" l="1"/>
  <c r="I226" i="1"/>
  <c r="L226" i="1"/>
  <c r="M226" i="1" s="1"/>
  <c r="E226" i="1" l="1"/>
  <c r="G226" i="1"/>
  <c r="H226" i="1" s="1"/>
  <c r="J227" i="1" s="1"/>
  <c r="I227" i="1" l="1"/>
  <c r="G227" i="1" s="1"/>
  <c r="H227" i="1" s="1"/>
  <c r="J228" i="1" s="1"/>
  <c r="L227" i="1"/>
  <c r="M227" i="1" s="1"/>
  <c r="E227" i="1" l="1"/>
  <c r="I228" i="1"/>
  <c r="G228" i="1" l="1"/>
  <c r="H228" i="1" s="1"/>
  <c r="J229" i="1" s="1"/>
  <c r="L228" i="1"/>
  <c r="M228" i="1" s="1"/>
  <c r="E228" i="1"/>
  <c r="I229" i="1" l="1"/>
  <c r="G229" i="1" s="1"/>
  <c r="H229" i="1" s="1"/>
  <c r="J230" i="1" s="1"/>
  <c r="L229" i="1"/>
  <c r="M229" i="1" s="1"/>
  <c r="E229" i="1" l="1"/>
  <c r="I230" i="1"/>
  <c r="G230" i="1" s="1"/>
  <c r="H230" i="1" s="1"/>
  <c r="J231" i="1" s="1"/>
  <c r="L230" i="1"/>
  <c r="M230" i="1" s="1"/>
  <c r="E230" i="1" l="1"/>
  <c r="I231" i="1"/>
  <c r="G231" i="1" s="1"/>
  <c r="H231" i="1" s="1"/>
  <c r="J232" i="1" s="1"/>
  <c r="L231" i="1"/>
  <c r="M231" i="1" s="1"/>
  <c r="I232" i="1" l="1"/>
  <c r="G232" i="1" s="1"/>
  <c r="H232" i="1" s="1"/>
  <c r="J233" i="1" s="1"/>
  <c r="E231" i="1"/>
  <c r="E232" i="1" l="1"/>
  <c r="L232" i="1"/>
  <c r="M232" i="1" s="1"/>
  <c r="I233" i="1"/>
  <c r="G233" i="1" l="1"/>
  <c r="H233" i="1" s="1"/>
  <c r="J234" i="1" s="1"/>
  <c r="L233" i="1"/>
  <c r="M233" i="1" s="1"/>
  <c r="E233" i="1"/>
  <c r="I234" i="1" l="1"/>
  <c r="G234" i="1" s="1"/>
  <c r="H234" i="1" s="1"/>
  <c r="J235" i="1" s="1"/>
  <c r="E234" i="1" l="1"/>
  <c r="L234" i="1"/>
  <c r="M234" i="1" s="1"/>
  <c r="I235" i="1"/>
  <c r="E235" i="1" l="1"/>
  <c r="L235" i="1"/>
  <c r="M235" i="1" s="1"/>
  <c r="G235" i="1"/>
  <c r="H235" i="1" s="1"/>
  <c r="J236" i="1" s="1"/>
  <c r="I236" i="1" l="1"/>
  <c r="G236" i="1" l="1"/>
  <c r="H236" i="1" s="1"/>
  <c r="J237" i="1" s="1"/>
  <c r="E236" i="1"/>
  <c r="L236" i="1"/>
  <c r="M236" i="1" s="1"/>
  <c r="K237" i="1" l="1"/>
  <c r="I237" i="1"/>
  <c r="E237" i="1" s="1"/>
  <c r="L237" i="1"/>
  <c r="M237" i="1" s="1"/>
  <c r="K7" i="1" l="1"/>
  <c r="N7" i="1" s="1"/>
  <c r="H7" i="2"/>
  <c r="G237" i="1"/>
  <c r="H237" i="1" s="1"/>
  <c r="J238" i="1" s="1"/>
  <c r="I238" i="1" l="1"/>
  <c r="E238" i="1" s="1"/>
  <c r="G238" i="1" l="1"/>
  <c r="H238" i="1" s="1"/>
  <c r="J239" i="1" s="1"/>
  <c r="I239" i="1" l="1"/>
  <c r="G239" i="1" s="1"/>
  <c r="H239" i="1" s="1"/>
  <c r="J240" i="1" s="1"/>
  <c r="E239" i="1" l="1"/>
  <c r="I240" i="1"/>
  <c r="G240" i="1" s="1"/>
  <c r="H240" i="1" s="1"/>
  <c r="J241" i="1" s="1"/>
  <c r="I241" i="1" l="1"/>
  <c r="E241" i="1" s="1"/>
  <c r="E240" i="1"/>
  <c r="G241" i="1" l="1"/>
  <c r="H241" i="1" s="1"/>
  <c r="J242" i="1" s="1"/>
  <c r="I242" i="1" l="1"/>
  <c r="E242" i="1" s="1"/>
  <c r="G7" i="2"/>
  <c r="G242" i="1" l="1"/>
  <c r="H242" i="1" s="1"/>
  <c r="I243" i="1" s="1"/>
  <c r="J7" i="1"/>
  <c r="M7" i="1" s="1"/>
  <c r="G243" i="1" l="1"/>
  <c r="H243" i="1" s="1"/>
  <c r="E243" i="1"/>
  <c r="I244" i="1" l="1"/>
  <c r="E244" i="1" l="1"/>
  <c r="G244" i="1"/>
  <c r="H244" i="1" s="1"/>
  <c r="I245" i="1" l="1"/>
  <c r="G245" i="1" l="1"/>
  <c r="H245" i="1" s="1"/>
  <c r="E245" i="1"/>
  <c r="I246" i="1" l="1"/>
  <c r="E246" i="1" l="1"/>
  <c r="G246" i="1"/>
  <c r="H246" i="1" s="1"/>
  <c r="I247" i="1" l="1"/>
  <c r="E247" i="1" l="1"/>
  <c r="G247" i="1"/>
  <c r="H247" i="1" s="1"/>
  <c r="I248" i="1" l="1"/>
  <c r="E248" i="1" l="1"/>
  <c r="G248" i="1"/>
  <c r="H248" i="1" s="1"/>
  <c r="I249" i="1" l="1"/>
  <c r="E7" i="2"/>
  <c r="I7" i="2" s="1"/>
  <c r="H7" i="1"/>
  <c r="L7" i="1" s="1"/>
  <c r="O7" i="1" s="1"/>
  <c r="E249" i="1" l="1"/>
  <c r="G249" i="1"/>
  <c r="H249" i="1" s="1"/>
  <c r="I250" i="1" l="1"/>
  <c r="G250" i="1" l="1"/>
  <c r="H250" i="1" s="1"/>
  <c r="E250" i="1"/>
  <c r="I251" i="1" l="1"/>
  <c r="E251" i="1" l="1"/>
  <c r="G251" i="1"/>
  <c r="H251" i="1" s="1"/>
  <c r="I252" i="1" l="1"/>
  <c r="E252" i="1" l="1"/>
  <c r="G252" i="1"/>
  <c r="H252" i="1" s="1"/>
  <c r="I253" i="1" l="1"/>
  <c r="E253" i="1" l="1"/>
  <c r="G253" i="1"/>
  <c r="H253" i="1" s="1"/>
  <c r="I254" i="1" l="1"/>
  <c r="G254" i="1" l="1"/>
  <c r="H254" i="1" s="1"/>
  <c r="E254" i="1"/>
  <c r="I256" i="1" l="1"/>
  <c r="E256" i="1" l="1"/>
  <c r="G256" i="1"/>
  <c r="H256" i="1" s="1"/>
  <c r="I257" i="1" l="1"/>
  <c r="G257" i="1" l="1"/>
  <c r="H257" i="1" s="1"/>
  <c r="E257" i="1"/>
  <c r="I258" i="1" l="1"/>
  <c r="E258" i="1" l="1"/>
  <c r="G258" i="1"/>
  <c r="H258" i="1" s="1"/>
  <c r="I259" i="1" l="1"/>
  <c r="E259" i="1" l="1"/>
  <c r="G259" i="1"/>
  <c r="H259" i="1" s="1"/>
  <c r="I260" i="1" l="1"/>
  <c r="G260" i="1" l="1"/>
  <c r="H260" i="1" s="1"/>
  <c r="E260" i="1"/>
  <c r="I261" i="1" l="1"/>
  <c r="G261" i="1" l="1"/>
  <c r="H261" i="1" s="1"/>
  <c r="E261" i="1"/>
  <c r="I262" i="1" l="1"/>
  <c r="E262" i="1" l="1"/>
  <c r="G262" i="1"/>
  <c r="H262" i="1" s="1"/>
  <c r="I263" i="1" l="1"/>
  <c r="E263" i="1" l="1"/>
  <c r="G263" i="1"/>
  <c r="H263" i="1" s="1"/>
  <c r="I264" i="1" l="1"/>
  <c r="G264" i="1" l="1"/>
  <c r="H264" i="1" s="1"/>
  <c r="J265" i="1" s="1"/>
  <c r="E264" i="1"/>
  <c r="I265" i="1" l="1"/>
  <c r="L265" i="1" l="1"/>
  <c r="M265" i="1" s="1"/>
  <c r="E265" i="1"/>
  <c r="G265" i="1"/>
  <c r="H265" i="1" s="1"/>
  <c r="J266" i="1" s="1"/>
  <c r="I266" i="1" l="1"/>
  <c r="E266" i="1" l="1"/>
  <c r="L266" i="1"/>
  <c r="M266" i="1" s="1"/>
  <c r="G266" i="1"/>
  <c r="H266" i="1" s="1"/>
  <c r="J267" i="1" s="1"/>
  <c r="I267" i="1" l="1"/>
  <c r="G267" i="1" s="1"/>
  <c r="H267" i="1" s="1"/>
  <c r="J268" i="1" s="1"/>
  <c r="I268" i="1" l="1"/>
  <c r="G268" i="1" s="1"/>
  <c r="H268" i="1" s="1"/>
  <c r="J269" i="1" s="1"/>
  <c r="L267" i="1"/>
  <c r="M267" i="1" s="1"/>
  <c r="E267" i="1"/>
  <c r="I269" i="1" l="1"/>
  <c r="L268" i="1"/>
  <c r="M268" i="1" s="1"/>
  <c r="E268" i="1"/>
  <c r="L269" i="1" l="1"/>
  <c r="M269" i="1" s="1"/>
  <c r="E269" i="1"/>
  <c r="G269" i="1"/>
  <c r="H269" i="1" s="1"/>
  <c r="J270" i="1" s="1"/>
  <c r="I270" i="1" l="1"/>
  <c r="E270" i="1" l="1"/>
  <c r="L270" i="1"/>
  <c r="M270" i="1" s="1"/>
  <c r="G270" i="1"/>
  <c r="H270" i="1" s="1"/>
  <c r="J271" i="1" s="1"/>
  <c r="I271" i="1" l="1"/>
  <c r="L271" i="1" l="1"/>
  <c r="M271" i="1" s="1"/>
  <c r="E271" i="1"/>
  <c r="G271" i="1"/>
  <c r="H271" i="1" s="1"/>
  <c r="J272" i="1" s="1"/>
  <c r="I272" i="1" l="1"/>
  <c r="G272" i="1" s="1"/>
  <c r="H272" i="1" s="1"/>
  <c r="J273" i="1" s="1"/>
  <c r="I273" i="1" l="1"/>
  <c r="L272" i="1"/>
  <c r="M272" i="1" s="1"/>
  <c r="E272" i="1"/>
  <c r="E273" i="1" l="1"/>
  <c r="L273" i="1"/>
  <c r="M273" i="1" s="1"/>
  <c r="G273" i="1"/>
  <c r="H273" i="1" s="1"/>
  <c r="J274" i="1" s="1"/>
  <c r="I274" i="1" l="1"/>
  <c r="G274" i="1" s="1"/>
  <c r="H274" i="1" s="1"/>
  <c r="J275" i="1" s="1"/>
  <c r="I275" i="1" l="1"/>
  <c r="L274" i="1"/>
  <c r="M274" i="1" s="1"/>
  <c r="E274" i="1"/>
  <c r="E275" i="1" l="1"/>
  <c r="L275" i="1"/>
  <c r="M275" i="1" s="1"/>
  <c r="G275" i="1"/>
  <c r="H275" i="1" s="1"/>
  <c r="J276" i="1" s="1"/>
  <c r="I276" i="1" l="1"/>
  <c r="G276" i="1" s="1"/>
  <c r="H276" i="1" s="1"/>
  <c r="J277" i="1" s="1"/>
  <c r="I277" i="1" l="1"/>
  <c r="L276" i="1"/>
  <c r="M276" i="1" s="1"/>
  <c r="E276" i="1"/>
  <c r="E277" i="1" l="1"/>
  <c r="L277" i="1"/>
  <c r="M277" i="1" s="1"/>
  <c r="G277" i="1"/>
  <c r="H277" i="1" s="1"/>
  <c r="J278" i="1" s="1"/>
  <c r="I278" i="1" l="1"/>
  <c r="G278" i="1" s="1"/>
  <c r="H278" i="1" s="1"/>
  <c r="J279" i="1" s="1"/>
  <c r="I279" i="1" l="1"/>
  <c r="G279" i="1" s="1"/>
  <c r="H279" i="1" s="1"/>
  <c r="J280" i="1" s="1"/>
  <c r="L278" i="1"/>
  <c r="M278" i="1" s="1"/>
  <c r="E278" i="1"/>
  <c r="I280" i="1" l="1"/>
  <c r="E279" i="1"/>
  <c r="L279" i="1"/>
  <c r="M279" i="1" s="1"/>
  <c r="L280" i="1" l="1"/>
  <c r="M280" i="1" s="1"/>
  <c r="E280" i="1"/>
  <c r="G280" i="1"/>
  <c r="H280" i="1" s="1"/>
  <c r="J281" i="1" s="1"/>
  <c r="I281" i="1" l="1"/>
  <c r="G281" i="1" s="1"/>
  <c r="H281" i="1" s="1"/>
  <c r="J282" i="1" s="1"/>
  <c r="I282" i="1" l="1"/>
  <c r="L281" i="1"/>
  <c r="M281" i="1" s="1"/>
  <c r="E281" i="1"/>
  <c r="E282" i="1" l="1"/>
  <c r="L282" i="1"/>
  <c r="M282" i="1" s="1"/>
  <c r="G282" i="1"/>
  <c r="H282" i="1" s="1"/>
  <c r="J283" i="1" s="1"/>
  <c r="I283" i="1" l="1"/>
  <c r="E283" i="1" l="1"/>
  <c r="L283" i="1"/>
  <c r="M283" i="1" s="1"/>
  <c r="G283" i="1"/>
  <c r="H283" i="1" s="1"/>
  <c r="J284" i="1" s="1"/>
  <c r="I284" i="1" l="1"/>
  <c r="L284" i="1" l="1"/>
  <c r="M284" i="1" s="1"/>
  <c r="E284" i="1"/>
  <c r="G284" i="1"/>
  <c r="H284" i="1" s="1"/>
  <c r="J285" i="1" s="1"/>
  <c r="I285" i="1" l="1"/>
  <c r="E285" i="1" l="1"/>
  <c r="L285" i="1"/>
  <c r="M285" i="1" s="1"/>
  <c r="K285" i="1"/>
  <c r="G285" i="1" s="1"/>
  <c r="H285" i="1" s="1"/>
  <c r="J286" i="1" s="1"/>
  <c r="H8" i="2" l="1"/>
  <c r="K8" i="1"/>
  <c r="N8" i="1" s="1"/>
  <c r="I286" i="1"/>
  <c r="G286" i="1" l="1"/>
  <c r="H286" i="1" s="1"/>
  <c r="J287" i="1" s="1"/>
  <c r="E286" i="1"/>
  <c r="I287" i="1" l="1"/>
  <c r="E287" i="1" s="1"/>
  <c r="G287" i="1" l="1"/>
  <c r="H287" i="1" s="1"/>
  <c r="J288" i="1" s="1"/>
  <c r="I288" i="1" l="1"/>
  <c r="E288" i="1" s="1"/>
  <c r="G288" i="1" l="1"/>
  <c r="H288" i="1" s="1"/>
  <c r="J289" i="1" s="1"/>
  <c r="I289" i="1" l="1"/>
  <c r="E289" i="1" s="1"/>
  <c r="G289" i="1" l="1"/>
  <c r="H289" i="1" s="1"/>
  <c r="J290" i="1" s="1"/>
  <c r="I290" i="1" l="1"/>
  <c r="E290" i="1" s="1"/>
  <c r="J8" i="1"/>
  <c r="M8" i="1" s="1"/>
  <c r="G8" i="2"/>
  <c r="G290" i="1" l="1"/>
  <c r="H290" i="1" s="1"/>
  <c r="I291" i="1" s="1"/>
  <c r="G291" i="1" l="1"/>
  <c r="H291" i="1" s="1"/>
  <c r="E291" i="1"/>
  <c r="I292" i="1" l="1"/>
  <c r="E292" i="1" l="1"/>
  <c r="G292" i="1"/>
  <c r="H292" i="1" s="1"/>
  <c r="I293" i="1" l="1"/>
  <c r="E293" i="1" l="1"/>
  <c r="G293" i="1"/>
  <c r="H293" i="1" s="1"/>
  <c r="I294" i="1" l="1"/>
  <c r="E294" i="1" l="1"/>
  <c r="G294" i="1"/>
  <c r="H294" i="1" s="1"/>
  <c r="I295" i="1" l="1"/>
  <c r="E295" i="1" l="1"/>
  <c r="G295" i="1"/>
  <c r="H295" i="1" s="1"/>
  <c r="I296" i="1" l="1"/>
  <c r="G296" i="1" l="1"/>
  <c r="H296" i="1" s="1"/>
  <c r="E296" i="1"/>
  <c r="H8" i="1" l="1"/>
  <c r="L8" i="1" s="1"/>
  <c r="O8" i="1" s="1"/>
  <c r="E8" i="2"/>
  <c r="I8" i="2" s="1"/>
  <c r="I297" i="1"/>
  <c r="G297" i="1" l="1"/>
  <c r="H297" i="1" s="1"/>
  <c r="E297" i="1"/>
  <c r="I298" i="1" l="1"/>
  <c r="G298" i="1" l="1"/>
  <c r="H298" i="1" s="1"/>
  <c r="E298" i="1"/>
  <c r="I299" i="1" l="1"/>
  <c r="G299" i="1" l="1"/>
  <c r="H299" i="1" s="1"/>
  <c r="E299" i="1"/>
  <c r="I300" i="1" l="1"/>
  <c r="E300" i="1" l="1"/>
  <c r="G300" i="1"/>
  <c r="H300" i="1" s="1"/>
  <c r="I301" i="1" l="1"/>
  <c r="E301" i="1" l="1"/>
  <c r="G301" i="1"/>
  <c r="H301" i="1" s="1"/>
  <c r="I302" i="1" l="1"/>
  <c r="E302" i="1" l="1"/>
  <c r="G302" i="1"/>
  <c r="H302" i="1" s="1"/>
  <c r="I304" i="1" l="1"/>
  <c r="G304" i="1" l="1"/>
  <c r="H304" i="1" s="1"/>
  <c r="E304" i="1"/>
  <c r="I305" i="1" l="1"/>
  <c r="E305" i="1" l="1"/>
  <c r="G305" i="1"/>
  <c r="H305" i="1" s="1"/>
  <c r="I306" i="1" l="1"/>
  <c r="G306" i="1" l="1"/>
  <c r="H306" i="1" s="1"/>
  <c r="E306" i="1"/>
  <c r="I307" i="1" l="1"/>
  <c r="G307" i="1" l="1"/>
  <c r="H307" i="1" s="1"/>
  <c r="E307" i="1"/>
  <c r="I308" i="1" l="1"/>
  <c r="E308" i="1" l="1"/>
  <c r="G308" i="1"/>
  <c r="H308" i="1" s="1"/>
  <c r="I309" i="1" l="1"/>
  <c r="E309" i="1" l="1"/>
  <c r="G309" i="1"/>
  <c r="H309" i="1" s="1"/>
  <c r="I310" i="1" l="1"/>
  <c r="G310" i="1" l="1"/>
  <c r="H310" i="1" s="1"/>
  <c r="E310" i="1"/>
  <c r="I311" i="1" l="1"/>
  <c r="E311" i="1" l="1"/>
  <c r="G311" i="1"/>
  <c r="H311" i="1" s="1"/>
  <c r="I312" i="1" l="1"/>
  <c r="E312" i="1" l="1"/>
  <c r="G312" i="1"/>
  <c r="H312" i="1" s="1"/>
  <c r="L313" i="1" l="1"/>
  <c r="M313" i="1" s="1"/>
  <c r="I313" i="1"/>
  <c r="G313" i="1" l="1"/>
  <c r="H313" i="1" s="1"/>
  <c r="L314" i="1" s="1"/>
  <c r="M314" i="1" s="1"/>
  <c r="E313" i="1"/>
  <c r="I314" i="1" l="1"/>
  <c r="E314" i="1" l="1"/>
  <c r="G314" i="1"/>
  <c r="H314" i="1" s="1"/>
  <c r="L315" i="1" s="1"/>
  <c r="M315" i="1" s="1"/>
  <c r="I315" i="1" l="1"/>
  <c r="E315" i="1" l="1"/>
  <c r="G315" i="1"/>
  <c r="H315" i="1" s="1"/>
  <c r="L316" i="1" s="1"/>
  <c r="M316" i="1" s="1"/>
  <c r="I316" i="1" l="1"/>
  <c r="E316" i="1" l="1"/>
  <c r="G316" i="1"/>
  <c r="H316" i="1" s="1"/>
  <c r="J317" i="1" s="1"/>
  <c r="I317" i="1" l="1"/>
  <c r="E317" i="1" l="1"/>
  <c r="L317" i="1"/>
  <c r="M317" i="1" s="1"/>
  <c r="G317" i="1"/>
  <c r="H317" i="1" s="1"/>
  <c r="J318" i="1" s="1"/>
  <c r="I318" i="1" l="1"/>
  <c r="G318" i="1" l="1"/>
  <c r="H318" i="1" s="1"/>
  <c r="J319" i="1" s="1"/>
  <c r="E318" i="1"/>
  <c r="L318" i="1"/>
  <c r="M318" i="1" s="1"/>
  <c r="I319" i="1" l="1"/>
  <c r="L319" i="1"/>
  <c r="M319" i="1" s="1"/>
  <c r="G319" i="1" l="1"/>
  <c r="H319" i="1" s="1"/>
  <c r="J320" i="1" s="1"/>
  <c r="E319" i="1"/>
  <c r="I320" i="1" l="1"/>
  <c r="E320" i="1" s="1"/>
  <c r="L320" i="1"/>
  <c r="M320" i="1" s="1"/>
  <c r="G320" i="1" l="1"/>
  <c r="H320" i="1" s="1"/>
  <c r="J321" i="1" s="1"/>
  <c r="I321" i="1" l="1"/>
  <c r="G321" i="1" s="1"/>
  <c r="H321" i="1" s="1"/>
  <c r="J322" i="1" s="1"/>
  <c r="L321" i="1"/>
  <c r="M321" i="1" s="1"/>
  <c r="E321" i="1" l="1"/>
  <c r="I322" i="1"/>
  <c r="E322" i="1" s="1"/>
  <c r="L322" i="1"/>
  <c r="M322" i="1" s="1"/>
  <c r="G322" i="1" l="1"/>
  <c r="H322" i="1" s="1"/>
  <c r="J323" i="1" s="1"/>
  <c r="I323" i="1" l="1"/>
  <c r="G323" i="1"/>
  <c r="H323" i="1" s="1"/>
  <c r="J324" i="1" s="1"/>
  <c r="L323" i="1"/>
  <c r="M323" i="1" s="1"/>
  <c r="E323" i="1"/>
  <c r="I324" i="1" l="1"/>
  <c r="E324" i="1" s="1"/>
  <c r="L324" i="1"/>
  <c r="M324" i="1" s="1"/>
  <c r="G324" i="1"/>
  <c r="H324" i="1" s="1"/>
  <c r="J325" i="1" s="1"/>
  <c r="I325" i="1" l="1"/>
  <c r="G325" i="1" s="1"/>
  <c r="H325" i="1" s="1"/>
  <c r="J326" i="1" s="1"/>
  <c r="I326" i="1" l="1"/>
  <c r="L325" i="1"/>
  <c r="M325" i="1" s="1"/>
  <c r="E325" i="1"/>
  <c r="L326" i="1" l="1"/>
  <c r="M326" i="1" s="1"/>
  <c r="E326" i="1"/>
  <c r="G326" i="1"/>
  <c r="H326" i="1" s="1"/>
  <c r="J327" i="1" s="1"/>
  <c r="I327" i="1" l="1"/>
  <c r="E327" i="1" l="1"/>
  <c r="L327" i="1"/>
  <c r="M327" i="1" s="1"/>
  <c r="G327" i="1"/>
  <c r="H327" i="1" s="1"/>
  <c r="J328" i="1" s="1"/>
  <c r="I328" i="1" l="1"/>
  <c r="G328" i="1" s="1"/>
  <c r="H328" i="1" s="1"/>
  <c r="J329" i="1" s="1"/>
  <c r="I329" i="1" l="1"/>
  <c r="L328" i="1"/>
  <c r="M328" i="1" s="1"/>
  <c r="E328" i="1"/>
  <c r="E329" i="1" l="1"/>
  <c r="L329" i="1"/>
  <c r="M329" i="1" s="1"/>
  <c r="G329" i="1"/>
  <c r="H329" i="1" s="1"/>
  <c r="J330" i="1" s="1"/>
  <c r="I330" i="1" l="1"/>
  <c r="G330" i="1" l="1"/>
  <c r="H330" i="1" s="1"/>
  <c r="J331" i="1" s="1"/>
  <c r="L330" i="1"/>
  <c r="M330" i="1" s="1"/>
  <c r="E330" i="1"/>
  <c r="I331" i="1" l="1"/>
  <c r="E331" i="1" s="1"/>
  <c r="G331" i="1" l="1"/>
  <c r="H331" i="1" s="1"/>
  <c r="J332" i="1" s="1"/>
  <c r="L331" i="1"/>
  <c r="M331" i="1" s="1"/>
  <c r="I332" i="1" l="1"/>
  <c r="E332" i="1" s="1"/>
  <c r="L332" i="1"/>
  <c r="M332" i="1" s="1"/>
  <c r="G332" i="1" l="1"/>
  <c r="H332" i="1" s="1"/>
  <c r="J333" i="1" s="1"/>
  <c r="I333" i="1" l="1"/>
  <c r="E333" i="1" s="1"/>
  <c r="L333" i="1"/>
  <c r="M333" i="1" s="1"/>
  <c r="K333" i="1"/>
  <c r="G333" i="1" l="1"/>
  <c r="H333" i="1" s="1"/>
  <c r="J334" i="1" s="1"/>
  <c r="K9" i="1"/>
  <c r="N9" i="1" s="1"/>
  <c r="H9" i="2"/>
  <c r="I334" i="1" l="1"/>
  <c r="E334" i="1" s="1"/>
  <c r="G334" i="1" l="1"/>
  <c r="H334" i="1" s="1"/>
  <c r="J335" i="1" s="1"/>
  <c r="I335" i="1" l="1"/>
  <c r="E335" i="1" s="1"/>
  <c r="G335" i="1" l="1"/>
  <c r="H335" i="1" s="1"/>
  <c r="J336" i="1" s="1"/>
  <c r="I336" i="1" l="1"/>
  <c r="E336" i="1" s="1"/>
  <c r="G336" i="1" l="1"/>
  <c r="H336" i="1" s="1"/>
  <c r="J337" i="1" s="1"/>
  <c r="I337" i="1" l="1"/>
  <c r="E337" i="1" s="1"/>
  <c r="G337" i="1" l="1"/>
  <c r="H337" i="1" s="1"/>
  <c r="J338" i="1" s="1"/>
  <c r="I338" i="1" l="1"/>
  <c r="G338" i="1" s="1"/>
  <c r="H338" i="1" s="1"/>
  <c r="J339" i="1" s="1"/>
  <c r="E338" i="1" l="1"/>
  <c r="I339" i="1"/>
  <c r="E339" i="1" s="1"/>
  <c r="G339" i="1" l="1"/>
  <c r="H339" i="1" s="1"/>
  <c r="J340" i="1" s="1"/>
  <c r="I340" i="1" l="1"/>
  <c r="G340" i="1" s="1"/>
  <c r="H340" i="1" s="1"/>
  <c r="I341" i="1" s="1"/>
  <c r="G9" i="2"/>
  <c r="J9" i="1"/>
  <c r="M9" i="1" s="1"/>
  <c r="E340" i="1" l="1"/>
  <c r="G341" i="1"/>
  <c r="H341" i="1" s="1"/>
  <c r="E341" i="1"/>
  <c r="I342" i="1" l="1"/>
  <c r="E342" i="1" l="1"/>
  <c r="G342" i="1"/>
  <c r="H342" i="1" s="1"/>
  <c r="I343" i="1" l="1"/>
  <c r="E343" i="1" l="1"/>
  <c r="G343" i="1"/>
  <c r="H343" i="1" s="1"/>
  <c r="I344" i="1" l="1"/>
  <c r="E344" i="1" l="1"/>
  <c r="G344" i="1"/>
  <c r="H344" i="1" s="1"/>
  <c r="I345" i="1" l="1"/>
  <c r="E9" i="2"/>
  <c r="I9" i="2" s="1"/>
  <c r="H9" i="1"/>
  <c r="L9" i="1" s="1"/>
  <c r="O9" i="1" s="1"/>
  <c r="O10" i="1" s="1"/>
  <c r="E345" i="1" l="1"/>
  <c r="G345" i="1"/>
  <c r="H345" i="1" s="1"/>
  <c r="I346" i="1" l="1"/>
  <c r="G346" i="1" l="1"/>
  <c r="H346" i="1" s="1"/>
  <c r="E346" i="1"/>
  <c r="I347" i="1" l="1"/>
  <c r="E347" i="1" l="1"/>
  <c r="G347" i="1"/>
  <c r="H347" i="1" s="1"/>
  <c r="I348" i="1" l="1"/>
  <c r="E348" i="1" l="1"/>
  <c r="G348" i="1"/>
  <c r="H348" i="1" s="1"/>
  <c r="I349" i="1" l="1"/>
  <c r="E349" i="1" l="1"/>
  <c r="G349" i="1"/>
  <c r="H349" i="1" s="1"/>
  <c r="I350" i="1" l="1"/>
  <c r="G350" i="1" l="1"/>
  <c r="H350" i="1" s="1"/>
  <c r="E350" i="1"/>
</calcChain>
</file>

<file path=xl/sharedStrings.xml><?xml version="1.0" encoding="utf-8"?>
<sst xmlns="http://schemas.openxmlformats.org/spreadsheetml/2006/main" count="99" uniqueCount="45">
  <si>
    <t>dateTimeUTC</t>
  </si>
  <si>
    <t>task0ForecastDemandMW</t>
  </si>
  <si>
    <t>SoC (MWh)</t>
  </si>
  <si>
    <t>ChargeMW</t>
  </si>
  <si>
    <t>DischargeMW</t>
  </si>
  <si>
    <t>Charge from PV</t>
  </si>
  <si>
    <t>Charge from Grid</t>
  </si>
  <si>
    <t>k</t>
  </si>
  <si>
    <t>impLimBat</t>
  </si>
  <si>
    <t>exlimBat</t>
  </si>
  <si>
    <t>netDemandMW</t>
  </si>
  <si>
    <t>d</t>
  </si>
  <si>
    <t>PeakSmooth</t>
  </si>
  <si>
    <t>Method</t>
  </si>
  <si>
    <t>startPeakMW</t>
  </si>
  <si>
    <t>targetPeakMW</t>
  </si>
  <si>
    <t xml:space="preserve">2. Max Peak Reduction possible is based on average demand for peak minus 6MWh in battery </t>
  </si>
  <si>
    <t>3. In charging period, aim to smooth the new peak to minimise (not required for challenge?)</t>
  </si>
  <si>
    <t>peakNewMW</t>
  </si>
  <si>
    <t>Available Solar</t>
  </si>
  <si>
    <t>Peak Reduction Rd (%)</t>
  </si>
  <si>
    <t>Grid Top Up</t>
  </si>
  <si>
    <t>1. Limit solar used from any period to reflect forecast uncertainty, make this dynamic based on amount of PV (if we have lots we can be more defensive on our charging)</t>
  </si>
  <si>
    <t>Power From Grid MW</t>
  </si>
  <si>
    <t>pd1</t>
  </si>
  <si>
    <t>pd2</t>
  </si>
  <si>
    <t>Solar</t>
  </si>
  <si>
    <t>Grid</t>
  </si>
  <si>
    <t>Power From Solar (MW)</t>
  </si>
  <si>
    <t>4. If we are not at full SoC going into Peak take some extra from Grid in the last possible HH (k=31)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</si>
  <si>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</si>
  <si>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</si>
  <si>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</si>
  <si>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</si>
  <si>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</si>
  <si>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</si>
  <si>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</si>
  <si>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</si>
  <si>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task0ForecsatPVMW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</si>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</sst>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5">
    <xf numFmtId="0" fontId="0" fillId="0" borderId="0" xfId="0"/>
    <xf numFmtId="0" fontId="0" fillId="33" borderId="0" xfId="0" applyFill="1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164" fontId="0" fillId="33" borderId="10" xfId="0" applyNumberFormat="1" applyFill="1" applyBorder="1"/>
    <xf numFmtId="0" fontId="0" fillId="33" borderId="10" xfId="0" applyFill="1" applyBorder="1" applyAlignment="1">
      <alignment horizontal="center"/>
    </xf>
    <xf numFmtId="22" fontId="0" fillId="0" borderId="11" xfId="0" applyNumberFormat="1" applyBorder="1"/>
    <xf numFmtId="22" fontId="0" fillId="33" borderId="11" xfId="0" applyNumberFormat="1" applyFill="1" applyBorder="1"/>
    <xf numFmtId="0" fontId="0" fillId="34" borderId="12" xfId="0" applyFill="1" applyBorder="1"/>
    <xf numFmtId="0" fontId="0" fillId="33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22" fontId="0" fillId="0" borderId="18" xfId="0" applyNumberFormat="1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34" borderId="21" xfId="0" applyFill="1" applyBorder="1"/>
    <xf numFmtId="164" fontId="0" fillId="0" borderId="17" xfId="0" applyNumberFormat="1" applyBorder="1"/>
    <xf numFmtId="164" fontId="0" fillId="33" borderId="17" xfId="0" applyNumberFormat="1" applyFill="1" applyBorder="1"/>
    <xf numFmtId="0" fontId="0" fillId="0" borderId="22" xfId="0" applyBorder="1" applyAlignment="1">
      <alignment horizontal="center"/>
    </xf>
    <xf numFmtId="22" fontId="0" fillId="0" borderId="23" xfId="0" applyNumberFormat="1" applyBorder="1"/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2" xfId="0" applyNumberFormat="1" applyBorder="1"/>
    <xf numFmtId="0" fontId="16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34" borderId="26" xfId="0" applyFill="1" applyBorder="1"/>
    <xf numFmtId="164" fontId="0" fillId="0" borderId="22" xfId="0" applyNumberFormat="1" applyBorder="1" applyAlignment="1">
      <alignment horizontal="center"/>
    </xf>
    <xf numFmtId="164" fontId="0" fillId="33" borderId="22" xfId="0" applyNumberFormat="1" applyFill="1" applyBorder="1"/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33" borderId="22" xfId="0" applyFont="1" applyFill="1" applyBorder="1" applyAlignment="1">
      <alignment horizontal="center"/>
    </xf>
    <xf numFmtId="22" fontId="0" fillId="33" borderId="23" xfId="0" applyNumberFormat="1" applyFill="1" applyBorder="1"/>
    <xf numFmtId="0" fontId="0" fillId="33" borderId="24" xfId="0" applyFill="1" applyBorder="1" applyAlignment="1">
      <alignment horizontal="center"/>
    </xf>
    <xf numFmtId="0" fontId="0" fillId="33" borderId="26" xfId="0" applyFill="1" applyBorder="1"/>
    <xf numFmtId="0" fontId="0" fillId="33" borderId="22" xfId="0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22" fontId="0" fillId="33" borderId="18" xfId="0" applyNumberFormat="1" applyFill="1" applyBorder="1"/>
    <xf numFmtId="0" fontId="0" fillId="33" borderId="19" xfId="0" applyFill="1" applyBorder="1" applyAlignment="1">
      <alignment horizontal="center"/>
    </xf>
    <xf numFmtId="0" fontId="0" fillId="33" borderId="21" xfId="0" applyFill="1" applyBorder="1"/>
    <xf numFmtId="0" fontId="0" fillId="33" borderId="17" xfId="0" applyFill="1" applyBorder="1" applyAlignment="1">
      <alignment horizontal="center"/>
    </xf>
    <xf numFmtId="0" fontId="16" fillId="0" borderId="27" xfId="0" applyFont="1" applyBorder="1" applyAlignment="1">
      <alignment horizontal="center"/>
    </xf>
    <xf numFmtId="22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34" borderId="31" xfId="0" applyFill="1" applyBorder="1"/>
    <xf numFmtId="164" fontId="0" fillId="33" borderId="27" xfId="0" applyNumberFormat="1" applyFill="1" applyBorder="1"/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32" xfId="0" applyFont="1" applyBorder="1"/>
    <xf numFmtId="0" fontId="0" fillId="0" borderId="32" xfId="0" applyBorder="1"/>
    <xf numFmtId="0" fontId="0" fillId="0" borderId="33" xfId="0" applyBorder="1"/>
    <xf numFmtId="0" fontId="16" fillId="33" borderId="27" xfId="0" applyFont="1" applyFill="1" applyBorder="1" applyAlignment="1">
      <alignment horizontal="center"/>
    </xf>
    <xf numFmtId="22" fontId="0" fillId="33" borderId="28" xfId="0" applyNumberFormat="1" applyFill="1" applyBorder="1"/>
    <xf numFmtId="0" fontId="0" fillId="33" borderId="29" xfId="0" applyFill="1" applyBorder="1" applyAlignment="1">
      <alignment horizontal="center"/>
    </xf>
    <xf numFmtId="0" fontId="0" fillId="33" borderId="31" xfId="0" applyFill="1" applyBorder="1"/>
    <xf numFmtId="0" fontId="0" fillId="33" borderId="27" xfId="0" applyFill="1" applyBorder="1" applyAlignment="1">
      <alignment horizontal="center"/>
    </xf>
    <xf numFmtId="0" fontId="0" fillId="33" borderId="32" xfId="0" applyFill="1" applyBorder="1"/>
    <xf numFmtId="0" fontId="0" fillId="33" borderId="33" xfId="0" applyFill="1" applyBorder="1"/>
    <xf numFmtId="164" fontId="0" fillId="33" borderId="2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7" xfId="0" applyNumberFormat="1" applyFill="1" applyBorder="1" applyAlignment="1">
      <alignment horizontal="center"/>
    </xf>
    <xf numFmtId="0" fontId="0" fillId="0" borderId="34" xfId="0" applyBorder="1"/>
    <xf numFmtId="0" fontId="13" fillId="36" borderId="0" xfId="0" applyFont="1" applyFill="1" applyAlignment="1">
      <alignment horizontal="center"/>
    </xf>
    <xf numFmtId="0" fontId="0" fillId="0" borderId="34" xfId="0" applyBorder="1" applyAlignment="1">
      <alignment horizontal="center"/>
    </xf>
    <xf numFmtId="10" fontId="0" fillId="0" borderId="0" xfId="0" applyNumberFormat="1" applyAlignment="1"/>
    <xf numFmtId="0" fontId="13" fillId="37" borderId="35" xfId="0" applyFont="1" applyFill="1" applyBorder="1" applyAlignment="1">
      <alignment horizontal="center"/>
    </xf>
    <xf numFmtId="0" fontId="16" fillId="0" borderId="3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0" fontId="16" fillId="0" borderId="37" xfId="0" applyFont="1" applyBorder="1" applyAlignment="1">
      <alignment horizontal="center"/>
    </xf>
    <xf numFmtId="22" fontId="0" fillId="0" borderId="38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0" borderId="37" xfId="0" applyNumberFormat="1" applyBorder="1"/>
    <xf numFmtId="0" fontId="0" fillId="0" borderId="37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164" fontId="0" fillId="0" borderId="37" xfId="0" applyNumberFormat="1" applyBorder="1" applyAlignment="1">
      <alignment horizontal="center"/>
    </xf>
    <xf numFmtId="164" fontId="0" fillId="33" borderId="17" xfId="0" applyNumberFormat="1" applyFill="1" applyBorder="1" applyAlignment="1">
      <alignment horizontal="center"/>
    </xf>
    <xf numFmtId="164" fontId="0" fillId="33" borderId="37" xfId="0" applyNumberFormat="1" applyFill="1" applyBorder="1" applyAlignment="1">
      <alignment horizontal="center"/>
    </xf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22" xfId="0" applyNumberFormat="1" applyFill="1" applyBorder="1"/>
    <xf numFmtId="164" fontId="0" fillId="34" borderId="17" xfId="0" applyNumberFormat="1" applyFill="1" applyBorder="1"/>
    <xf numFmtId="0" fontId="16" fillId="0" borderId="44" xfId="0" applyFont="1" applyBorder="1" applyAlignment="1">
      <alignment horizontal="center"/>
    </xf>
    <xf numFmtId="22" fontId="0" fillId="0" borderId="43" xfId="0" applyNumberFormat="1" applyBorder="1"/>
    <xf numFmtId="0" fontId="0" fillId="0" borderId="45" xfId="0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0" fillId="34" borderId="47" xfId="0" applyFill="1" applyBorder="1"/>
    <xf numFmtId="164" fontId="0" fillId="34" borderId="44" xfId="0" applyNumberFormat="1" applyFill="1" applyBorder="1"/>
    <xf numFmtId="164" fontId="0" fillId="33" borderId="44" xfId="0" applyNumberFormat="1" applyFill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164" fontId="0" fillId="0" borderId="44" xfId="0" applyNumberFormat="1" applyBorder="1"/>
    <xf numFmtId="0" fontId="0" fillId="0" borderId="44" xfId="0" applyBorder="1" applyAlignment="1">
      <alignment horizontal="center"/>
    </xf>
    <xf numFmtId="0" fontId="16" fillId="0" borderId="48" xfId="0" applyFont="1" applyBorder="1"/>
    <xf numFmtId="0" fontId="0" fillId="0" borderId="48" xfId="0" applyBorder="1"/>
    <xf numFmtId="164" fontId="0" fillId="34" borderId="27" xfId="0" applyNumberFormat="1" applyFill="1" applyBorder="1"/>
    <xf numFmtId="0" fontId="16" fillId="0" borderId="33" xfId="0" applyFont="1" applyBorder="1"/>
    <xf numFmtId="0" fontId="16" fillId="38" borderId="22" xfId="0" applyFont="1" applyFill="1" applyBorder="1" applyAlignment="1">
      <alignment horizontal="center"/>
    </xf>
    <xf numFmtId="22" fontId="0" fillId="38" borderId="23" xfId="0" applyNumberFormat="1" applyFill="1" applyBorder="1"/>
    <xf numFmtId="0" fontId="0" fillId="38" borderId="24" xfId="0" applyFill="1" applyBorder="1" applyAlignment="1">
      <alignment horizontal="center"/>
    </xf>
    <xf numFmtId="164" fontId="0" fillId="38" borderId="25" xfId="0" applyNumberFormat="1" applyFill="1" applyBorder="1" applyAlignment="1">
      <alignment horizontal="center"/>
    </xf>
    <xf numFmtId="0" fontId="0" fillId="38" borderId="26" xfId="0" applyFill="1" applyBorder="1"/>
    <xf numFmtId="164" fontId="0" fillId="38" borderId="22" xfId="0" applyNumberFormat="1" applyFill="1" applyBorder="1"/>
    <xf numFmtId="164" fontId="0" fillId="38" borderId="22" xfId="0" applyNumberFormat="1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16" fillId="38" borderId="0" xfId="0" applyFont="1" applyFill="1"/>
    <xf numFmtId="0" fontId="0" fillId="38" borderId="0" xfId="0" applyFill="1"/>
    <xf numFmtId="0" fontId="16" fillId="39" borderId="44" xfId="0" applyFont="1" applyFill="1" applyBorder="1" applyAlignment="1">
      <alignment horizontal="center"/>
    </xf>
    <xf numFmtId="22" fontId="0" fillId="39" borderId="43" xfId="0" applyNumberFormat="1" applyFill="1" applyBorder="1"/>
    <xf numFmtId="0" fontId="0" fillId="39" borderId="45" xfId="0" applyFill="1" applyBorder="1" applyAlignment="1">
      <alignment horizontal="center"/>
    </xf>
    <xf numFmtId="164" fontId="0" fillId="39" borderId="46" xfId="0" applyNumberFormat="1" applyFill="1" applyBorder="1" applyAlignment="1">
      <alignment horizontal="center"/>
    </xf>
    <xf numFmtId="0" fontId="0" fillId="39" borderId="47" xfId="0" applyFill="1" applyBorder="1"/>
    <xf numFmtId="164" fontId="0" fillId="39" borderId="44" xfId="0" applyNumberFormat="1" applyFill="1" applyBorder="1"/>
    <xf numFmtId="164" fontId="0" fillId="39" borderId="44" xfId="0" applyNumberFormat="1" applyFill="1" applyBorder="1" applyAlignment="1">
      <alignment horizontal="center"/>
    </xf>
    <xf numFmtId="0" fontId="0" fillId="39" borderId="44" xfId="0" applyFill="1" applyBorder="1" applyAlignment="1">
      <alignment horizontal="center"/>
    </xf>
    <xf numFmtId="0" fontId="16" fillId="39" borderId="48" xfId="0" applyFont="1" applyFill="1" applyBorder="1"/>
    <xf numFmtId="0" fontId="0" fillId="39" borderId="48" xfId="0" applyFill="1" applyBorder="1"/>
    <xf numFmtId="164" fontId="0" fillId="34" borderId="37" xfId="0" applyNumberFormat="1" applyFill="1" applyBorder="1"/>
    <xf numFmtId="10" fontId="0" fillId="0" borderId="34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49" xfId="0" applyFont="1" applyFill="1" applyBorder="1" applyAlignment="1">
      <alignment wrapText="1"/>
    </xf>
    <xf numFmtId="0" fontId="13" fillId="35" borderId="0" xfId="0" applyFont="1" applyFill="1" applyAlignment="1">
      <alignment horizontal="center"/>
    </xf>
    <xf numFmtId="9" fontId="0" fillId="0" borderId="34" xfId="0" applyNumberFormat="1" applyBorder="1" applyAlignment="1">
      <alignment horizontal="center"/>
    </xf>
    <xf numFmtId="0" fontId="16" fillId="0" borderId="50" xfId="0" applyFont="1" applyBorder="1"/>
    <xf numFmtId="0" fontId="0" fillId="0" borderId="50" xfId="0" applyBorder="1"/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 1:</a:t>
            </a:r>
            <a:r>
              <a:rPr lang="en-GB" baseline="0"/>
              <a:t> Optimise by Hand (v0.1)</a:t>
            </a:r>
            <a:endParaRPr lang="en-GB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2453042328042328"/>
          <c:w val="0.94010645936147985"/>
          <c:h val="0.68194444444444446"/>
        </c:manualLayout>
      </c:layout>
      <c:areaChart>
        <c:grouping val="stacked"/>
        <c:varyColors val="0"/>
        <c:ser>
          <c:idx val="4"/>
          <c:order val="4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-0.76416044890909118</c:v>
                </c:pt>
                <c:pt idx="128">
                  <c:v>-1.1250444519090914</c:v>
                </c:pt>
                <c:pt idx="129">
                  <c:v>-1.1727612259090914</c:v>
                </c:pt>
                <c:pt idx="130">
                  <c:v>-1.2548847919090913</c:v>
                </c:pt>
                <c:pt idx="131">
                  <c:v>-1.2299839679090914</c:v>
                </c:pt>
                <c:pt idx="132">
                  <c:v>-1.1869031679090911</c:v>
                </c:pt>
                <c:pt idx="133">
                  <c:v>-1.1519466669090912</c:v>
                </c:pt>
                <c:pt idx="134">
                  <c:v>-1.0482009739090912</c:v>
                </c:pt>
                <c:pt idx="135">
                  <c:v>-1.0064335949090912</c:v>
                </c:pt>
                <c:pt idx="136">
                  <c:v>-1.0043154709090913</c:v>
                </c:pt>
                <c:pt idx="137">
                  <c:v>-0.88774958490909128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0.59652839800728841</c:v>
                </c:pt>
                <c:pt idx="159">
                  <c:v>0.6263110241000005</c:v>
                </c:pt>
                <c:pt idx="160">
                  <c:v>0.78474936910000048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1.1739272331000006</c:v>
                </c:pt>
                <c:pt idx="169">
                  <c:v>1.1939850721000007</c:v>
                </c:pt>
                <c:pt idx="170">
                  <c:v>0.83477689289270529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-0.86748965990909133</c:v>
                </c:pt>
                <c:pt idx="176">
                  <c:v>-1.1337049999090913</c:v>
                </c:pt>
                <c:pt idx="177">
                  <c:v>-1.1707458489090912</c:v>
                </c:pt>
                <c:pt idx="178">
                  <c:v>-1.2169075949090913</c:v>
                </c:pt>
                <c:pt idx="179">
                  <c:v>-1.2024406089090913</c:v>
                </c:pt>
                <c:pt idx="180">
                  <c:v>-1.1730091499090913</c:v>
                </c:pt>
                <c:pt idx="181">
                  <c:v>-1.119495991909091</c:v>
                </c:pt>
                <c:pt idx="182">
                  <c:v>-1.0130425669090912</c:v>
                </c:pt>
                <c:pt idx="183">
                  <c:v>-0.96946849790909129</c:v>
                </c:pt>
                <c:pt idx="184">
                  <c:v>-0.86164166790909125</c:v>
                </c:pt>
                <c:pt idx="185">
                  <c:v>-0.70752616290909121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0.74023131897537964</c:v>
                </c:pt>
                <c:pt idx="208">
                  <c:v>0.86000279240184119</c:v>
                </c:pt>
                <c:pt idx="209">
                  <c:v>1.0149875091937206</c:v>
                </c:pt>
                <c:pt idx="210">
                  <c:v>1.2510385697499999</c:v>
                </c:pt>
                <c:pt idx="211">
                  <c:v>1.2924636337499997</c:v>
                </c:pt>
                <c:pt idx="212">
                  <c:v>1.20404876475</c:v>
                </c:pt>
                <c:pt idx="213">
                  <c:v>1.2375788537500001</c:v>
                </c:pt>
                <c:pt idx="214">
                  <c:v>1.1785615245427501</c:v>
                </c:pt>
                <c:pt idx="215">
                  <c:v>1.1978220119986047</c:v>
                </c:pt>
                <c:pt idx="216">
                  <c:v>0.94740927833295008</c:v>
                </c:pt>
                <c:pt idx="217">
                  <c:v>0.94740927833295008</c:v>
                </c:pt>
                <c:pt idx="218">
                  <c:v>0.12844646422180261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-0.94066794890909122</c:v>
                </c:pt>
                <c:pt idx="224">
                  <c:v>-1.121636799909091</c:v>
                </c:pt>
                <c:pt idx="225">
                  <c:v>-1.1672341629090912</c:v>
                </c:pt>
                <c:pt idx="226">
                  <c:v>-1.1550598029090913</c:v>
                </c:pt>
                <c:pt idx="227">
                  <c:v>-1.0774005139090912</c:v>
                </c:pt>
                <c:pt idx="228">
                  <c:v>-1.049842811909091</c:v>
                </c:pt>
                <c:pt idx="229">
                  <c:v>-1.041262009909091</c:v>
                </c:pt>
                <c:pt idx="230">
                  <c:v>-0.89404852190909123</c:v>
                </c:pt>
                <c:pt idx="231">
                  <c:v>-0.85943674590909103</c:v>
                </c:pt>
                <c:pt idx="232">
                  <c:v>-0.84198390090909125</c:v>
                </c:pt>
                <c:pt idx="233">
                  <c:v>-0.71484707990909113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0.81222586448781253</c:v>
                </c:pt>
                <c:pt idx="257">
                  <c:v>0.90525510738963955</c:v>
                </c:pt>
                <c:pt idx="258">
                  <c:v>0.8885314556470324</c:v>
                </c:pt>
                <c:pt idx="259">
                  <c:v>0.97702649324604363</c:v>
                </c:pt>
                <c:pt idx="260">
                  <c:v>1.0111089807026787</c:v>
                </c:pt>
                <c:pt idx="261">
                  <c:v>1.0337476007872279</c:v>
                </c:pt>
                <c:pt idx="262">
                  <c:v>1.3918063665</c:v>
                </c:pt>
                <c:pt idx="263">
                  <c:v>1.4281855774999999</c:v>
                </c:pt>
                <c:pt idx="264">
                  <c:v>1.5103918914999999</c:v>
                </c:pt>
                <c:pt idx="265">
                  <c:v>1.5207591804999998</c:v>
                </c:pt>
                <c:pt idx="266">
                  <c:v>0.52096148173956536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-1.0154638839090913</c:v>
                </c:pt>
                <c:pt idx="272">
                  <c:v>-1.1490802989090914</c:v>
                </c:pt>
                <c:pt idx="273">
                  <c:v>-1.1758039899090913</c:v>
                </c:pt>
                <c:pt idx="274">
                  <c:v>-1.2567988099090912</c:v>
                </c:pt>
                <c:pt idx="275">
                  <c:v>-1.1497922979090913</c:v>
                </c:pt>
                <c:pt idx="276">
                  <c:v>-1.0701166179090911</c:v>
                </c:pt>
                <c:pt idx="277">
                  <c:v>-1.0618179459090911</c:v>
                </c:pt>
                <c:pt idx="278">
                  <c:v>-0.94543543990909118</c:v>
                </c:pt>
                <c:pt idx="279">
                  <c:v>-0.88436632290909101</c:v>
                </c:pt>
                <c:pt idx="280">
                  <c:v>-0.81426878090909138</c:v>
                </c:pt>
                <c:pt idx="281">
                  <c:v>-0.69957985190909122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0.71290804827303189</c:v>
                </c:pt>
                <c:pt idx="308">
                  <c:v>1.1872326317499997</c:v>
                </c:pt>
                <c:pt idx="309">
                  <c:v>1.2082977437499998</c:v>
                </c:pt>
                <c:pt idx="310">
                  <c:v>1.3281229407499997</c:v>
                </c:pt>
                <c:pt idx="311">
                  <c:v>1.33763148775</c:v>
                </c:pt>
                <c:pt idx="312">
                  <c:v>1.53331830075</c:v>
                </c:pt>
                <c:pt idx="313">
                  <c:v>1.5871560897499997</c:v>
                </c:pt>
                <c:pt idx="314">
                  <c:v>1.65211705775</c:v>
                </c:pt>
                <c:pt idx="315">
                  <c:v>1.4532156994769672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-1.1572737749090911</c:v>
                </c:pt>
                <c:pt idx="320">
                  <c:v>-1.2128874419090914</c:v>
                </c:pt>
                <c:pt idx="321">
                  <c:v>-1.288697934909091</c:v>
                </c:pt>
                <c:pt idx="322">
                  <c:v>-1.2086869429090914</c:v>
                </c:pt>
                <c:pt idx="323">
                  <c:v>-1.1400776759090911</c:v>
                </c:pt>
                <c:pt idx="324">
                  <c:v>-1.0596056419090911</c:v>
                </c:pt>
                <c:pt idx="325">
                  <c:v>-1.012006376909091</c:v>
                </c:pt>
                <c:pt idx="326">
                  <c:v>-0.93894992090909124</c:v>
                </c:pt>
                <c:pt idx="327">
                  <c:v>-0.86806323790909135</c:v>
                </c:pt>
                <c:pt idx="328">
                  <c:v>-0.79919204390909115</c:v>
                </c:pt>
                <c:pt idx="329">
                  <c:v>-0.68494100490909116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D-404A-ABCB-B7576169D5B6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F-4142-B81F-C8619CC3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90E-998A-5F7B9A6BFB0C}"/>
            </c:ext>
          </c:extLst>
        </c:ser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90E-998A-5F7B9A6BFB0C}"/>
            </c:ext>
          </c:extLst>
        </c:ser>
        <c:ser>
          <c:idx val="2"/>
          <c:order val="2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1.9066965960909088</c:v>
                </c:pt>
                <c:pt idx="128">
                  <c:v>1.9066965960909088</c:v>
                </c:pt>
                <c:pt idx="129">
                  <c:v>1.9066965960909088</c:v>
                </c:pt>
                <c:pt idx="130">
                  <c:v>1.9066965960909088</c:v>
                </c:pt>
                <c:pt idx="131">
                  <c:v>1.9066965960909088</c:v>
                </c:pt>
                <c:pt idx="132">
                  <c:v>1.9066965960909088</c:v>
                </c:pt>
                <c:pt idx="133">
                  <c:v>1.9066965960909088</c:v>
                </c:pt>
                <c:pt idx="134">
                  <c:v>1.9066965960909088</c:v>
                </c:pt>
                <c:pt idx="135">
                  <c:v>1.9066965960909088</c:v>
                </c:pt>
                <c:pt idx="136">
                  <c:v>1.9066965960909088</c:v>
                </c:pt>
                <c:pt idx="137">
                  <c:v>1.9066965960909088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3.4307331540072887</c:v>
                </c:pt>
                <c:pt idx="159">
                  <c:v>3.4359646101000005</c:v>
                </c:pt>
                <c:pt idx="160">
                  <c:v>3.4359646101000005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3.4359646101000005</c:v>
                </c:pt>
                <c:pt idx="169">
                  <c:v>3.4359646101000005</c:v>
                </c:pt>
                <c:pt idx="170">
                  <c:v>3.0187278008927052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1.9066965960909088</c:v>
                </c:pt>
                <c:pt idx="176">
                  <c:v>1.9066965960909088</c:v>
                </c:pt>
                <c:pt idx="177">
                  <c:v>1.9066965960909088</c:v>
                </c:pt>
                <c:pt idx="178">
                  <c:v>1.9066965960909088</c:v>
                </c:pt>
                <c:pt idx="179">
                  <c:v>1.9066965960909088</c:v>
                </c:pt>
                <c:pt idx="180">
                  <c:v>1.9066965960909088</c:v>
                </c:pt>
                <c:pt idx="181">
                  <c:v>1.9066965960909088</c:v>
                </c:pt>
                <c:pt idx="182">
                  <c:v>1.9066965960909088</c:v>
                </c:pt>
                <c:pt idx="183">
                  <c:v>1.9066965960909088</c:v>
                </c:pt>
                <c:pt idx="184">
                  <c:v>1.9066965960909088</c:v>
                </c:pt>
                <c:pt idx="185">
                  <c:v>1.9066965960909088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3.4440231849753795</c:v>
                </c:pt>
                <c:pt idx="208">
                  <c:v>3.5431423564018414</c:v>
                </c:pt>
                <c:pt idx="209">
                  <c:v>3.6649039291937204</c:v>
                </c:pt>
                <c:pt idx="210">
                  <c:v>3.8424134487499999</c:v>
                </c:pt>
                <c:pt idx="211">
                  <c:v>3.8424134487499999</c:v>
                </c:pt>
                <c:pt idx="212">
                  <c:v>3.8424134487499999</c:v>
                </c:pt>
                <c:pt idx="213">
                  <c:v>3.8424134487499999</c:v>
                </c:pt>
                <c:pt idx="214">
                  <c:v>3.69557182654275</c:v>
                </c:pt>
                <c:pt idx="215">
                  <c:v>3.6709265199986048</c:v>
                </c:pt>
                <c:pt idx="216">
                  <c:v>3.5348030143329501</c:v>
                </c:pt>
                <c:pt idx="217">
                  <c:v>3.4728280373329499</c:v>
                </c:pt>
                <c:pt idx="218">
                  <c:v>2.5952445542218028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1.9066965960909088</c:v>
                </c:pt>
                <c:pt idx="224">
                  <c:v>1.9066965960909088</c:v>
                </c:pt>
                <c:pt idx="225">
                  <c:v>1.9066965960909088</c:v>
                </c:pt>
                <c:pt idx="226">
                  <c:v>1.9066965960909088</c:v>
                </c:pt>
                <c:pt idx="227">
                  <c:v>1.9066965960909088</c:v>
                </c:pt>
                <c:pt idx="228">
                  <c:v>1.9066965960909088</c:v>
                </c:pt>
                <c:pt idx="229">
                  <c:v>1.9066965960909088</c:v>
                </c:pt>
                <c:pt idx="230">
                  <c:v>1.9066965960909088</c:v>
                </c:pt>
                <c:pt idx="231">
                  <c:v>1.9066965960909088</c:v>
                </c:pt>
                <c:pt idx="232">
                  <c:v>1.9066965960909088</c:v>
                </c:pt>
                <c:pt idx="233">
                  <c:v>1.9066965960909088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3.6868263784878126</c:v>
                </c:pt>
                <c:pt idx="257">
                  <c:v>3.7541819803896397</c:v>
                </c:pt>
                <c:pt idx="258">
                  <c:v>3.7031610936470325</c:v>
                </c:pt>
                <c:pt idx="259">
                  <c:v>3.7108004522460436</c:v>
                </c:pt>
                <c:pt idx="260">
                  <c:v>3.7278041657026786</c:v>
                </c:pt>
                <c:pt idx="261">
                  <c:v>3.7054390167872278</c:v>
                </c:pt>
                <c:pt idx="262">
                  <c:v>3.9543692574999998</c:v>
                </c:pt>
                <c:pt idx="263">
                  <c:v>3.9543692574999998</c:v>
                </c:pt>
                <c:pt idx="264">
                  <c:v>3.9543692574999998</c:v>
                </c:pt>
                <c:pt idx="265">
                  <c:v>3.9543692574999998</c:v>
                </c:pt>
                <c:pt idx="266">
                  <c:v>2.9044259027395656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1.9066965960909088</c:v>
                </c:pt>
                <c:pt idx="272">
                  <c:v>1.9066965960909088</c:v>
                </c:pt>
                <c:pt idx="273">
                  <c:v>1.9066965960909088</c:v>
                </c:pt>
                <c:pt idx="274">
                  <c:v>1.9066965960909088</c:v>
                </c:pt>
                <c:pt idx="275">
                  <c:v>1.9066965960909088</c:v>
                </c:pt>
                <c:pt idx="276">
                  <c:v>1.9066965960909088</c:v>
                </c:pt>
                <c:pt idx="277">
                  <c:v>1.9066965960909088</c:v>
                </c:pt>
                <c:pt idx="278">
                  <c:v>1.9066965960909088</c:v>
                </c:pt>
                <c:pt idx="279">
                  <c:v>1.9066965960909088</c:v>
                </c:pt>
                <c:pt idx="280">
                  <c:v>1.9066965960909088</c:v>
                </c:pt>
                <c:pt idx="281">
                  <c:v>1.9066965960909088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3.5994869642730318</c:v>
                </c:pt>
                <c:pt idx="308">
                  <c:v>3.9942431637499998</c:v>
                </c:pt>
                <c:pt idx="309">
                  <c:v>3.9942431637499998</c:v>
                </c:pt>
                <c:pt idx="310">
                  <c:v>3.9942431637499998</c:v>
                </c:pt>
                <c:pt idx="311">
                  <c:v>3.9942431637499998</c:v>
                </c:pt>
                <c:pt idx="312">
                  <c:v>3.9942431637499998</c:v>
                </c:pt>
                <c:pt idx="313">
                  <c:v>3.9942431637499998</c:v>
                </c:pt>
                <c:pt idx="314">
                  <c:v>3.9942431637499998</c:v>
                </c:pt>
                <c:pt idx="315">
                  <c:v>3.800501719476967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1.9066965960909088</c:v>
                </c:pt>
                <c:pt idx="320">
                  <c:v>1.9066965960909088</c:v>
                </c:pt>
                <c:pt idx="321">
                  <c:v>1.9066965960909088</c:v>
                </c:pt>
                <c:pt idx="322">
                  <c:v>1.9066965960909088</c:v>
                </c:pt>
                <c:pt idx="323">
                  <c:v>1.9066965960909088</c:v>
                </c:pt>
                <c:pt idx="324">
                  <c:v>1.9066965960909088</c:v>
                </c:pt>
                <c:pt idx="325">
                  <c:v>1.9066965960909088</c:v>
                </c:pt>
                <c:pt idx="326">
                  <c:v>1.9066965960909088</c:v>
                </c:pt>
                <c:pt idx="327">
                  <c:v>1.9066965960909088</c:v>
                </c:pt>
                <c:pt idx="328">
                  <c:v>1.9066965960909088</c:v>
                </c:pt>
                <c:pt idx="329">
                  <c:v>1.9066965960909088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90E-998A-5F7B9A6BFB0C}"/>
            </c:ext>
          </c:extLst>
        </c:ser>
        <c:ser>
          <c:idx val="3"/>
          <c:order val="3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5.6179197755454542</c:v>
                </c:pt>
                <c:pt idx="128">
                  <c:v>5.0553975495909089</c:v>
                </c:pt>
                <c:pt idx="129">
                  <c:v>4.469016936636363</c:v>
                </c:pt>
                <c:pt idx="130">
                  <c:v>3.8415745406818171</c:v>
                </c:pt>
                <c:pt idx="131">
                  <c:v>3.2265825567272715</c:v>
                </c:pt>
                <c:pt idx="132">
                  <c:v>2.6331309727727259</c:v>
                </c:pt>
                <c:pt idx="133">
                  <c:v>2.0571576393181803</c:v>
                </c:pt>
                <c:pt idx="134">
                  <c:v>1.5330571523636347</c:v>
                </c:pt>
                <c:pt idx="135">
                  <c:v>1.0298403549090891</c:v>
                </c:pt>
                <c:pt idx="136">
                  <c:v>0.52768261945454342</c:v>
                </c:pt>
                <c:pt idx="137">
                  <c:v>8.3807826999997781E-2</c:v>
                </c:pt>
                <c:pt idx="138">
                  <c:v>8.3807826999997781E-2</c:v>
                </c:pt>
                <c:pt idx="139">
                  <c:v>8.3807826999997781E-2</c:v>
                </c:pt>
                <c:pt idx="140">
                  <c:v>8.3807826999997781E-2</c:v>
                </c:pt>
                <c:pt idx="141">
                  <c:v>8.3807826999997781E-2</c:v>
                </c:pt>
                <c:pt idx="142">
                  <c:v>8.3807826999997781E-2</c:v>
                </c:pt>
                <c:pt idx="143">
                  <c:v>8.3807826999997781E-2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0.2982641990036442</c:v>
                </c:pt>
                <c:pt idx="159">
                  <c:v>0.61141971105364445</c:v>
                </c:pt>
                <c:pt idx="160">
                  <c:v>1.0037943956036446</c:v>
                </c:pt>
                <c:pt idx="161">
                  <c:v>1.4112168896536448</c:v>
                </c:pt>
                <c:pt idx="162">
                  <c:v>1.837116552703645</c:v>
                </c:pt>
                <c:pt idx="163">
                  <c:v>2.2905706342536454</c:v>
                </c:pt>
                <c:pt idx="164">
                  <c:v>2.7879550488036458</c:v>
                </c:pt>
                <c:pt idx="165">
                  <c:v>3.2955363578536461</c:v>
                </c:pt>
                <c:pt idx="166">
                  <c:v>3.8374785674036462</c:v>
                </c:pt>
                <c:pt idx="167">
                  <c:v>4.3986554009536469</c:v>
                </c:pt>
                <c:pt idx="168">
                  <c:v>4.9856190175036472</c:v>
                </c:pt>
                <c:pt idx="169">
                  <c:v>5.5826115535536474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5.5662551700454541</c:v>
                </c:pt>
                <c:pt idx="176">
                  <c:v>4.9994026700909089</c:v>
                </c:pt>
                <c:pt idx="177">
                  <c:v>4.4140297456363635</c:v>
                </c:pt>
                <c:pt idx="178">
                  <c:v>3.8055759481818177</c:v>
                </c:pt>
                <c:pt idx="179">
                  <c:v>3.204355643727272</c:v>
                </c:pt>
                <c:pt idx="180">
                  <c:v>2.6178510687727261</c:v>
                </c:pt>
                <c:pt idx="181">
                  <c:v>2.0581030728181808</c:v>
                </c:pt>
                <c:pt idx="182">
                  <c:v>1.5515817893636352</c:v>
                </c:pt>
                <c:pt idx="183">
                  <c:v>1.0668475404090896</c:v>
                </c:pt>
                <c:pt idx="184">
                  <c:v>0.63602670645454396</c:v>
                </c:pt>
                <c:pt idx="185">
                  <c:v>0.28226362499999835</c:v>
                </c:pt>
                <c:pt idx="186">
                  <c:v>0.28226362499999835</c:v>
                </c:pt>
                <c:pt idx="187">
                  <c:v>0.28226362499999835</c:v>
                </c:pt>
                <c:pt idx="188">
                  <c:v>0.28226362499999835</c:v>
                </c:pt>
                <c:pt idx="189">
                  <c:v>0.28226362499999835</c:v>
                </c:pt>
                <c:pt idx="190">
                  <c:v>0.28226362499999835</c:v>
                </c:pt>
                <c:pt idx="191">
                  <c:v>0.28226362499999835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0.37011565948768982</c:v>
                </c:pt>
                <c:pt idx="208">
                  <c:v>0.80011705568861036</c:v>
                </c:pt>
                <c:pt idx="209">
                  <c:v>1.3076108102854707</c:v>
                </c:pt>
                <c:pt idx="210">
                  <c:v>1.9331300951604706</c:v>
                </c:pt>
                <c:pt idx="211">
                  <c:v>2.5793619120354707</c:v>
                </c:pt>
                <c:pt idx="212">
                  <c:v>3.1813862944104709</c:v>
                </c:pt>
                <c:pt idx="213">
                  <c:v>3.8001757212854708</c:v>
                </c:pt>
                <c:pt idx="214">
                  <c:v>4.3894564835568461</c:v>
                </c:pt>
                <c:pt idx="215">
                  <c:v>4.9883674895561487</c:v>
                </c:pt>
                <c:pt idx="216">
                  <c:v>5.4620721287226237</c:v>
                </c:pt>
                <c:pt idx="217">
                  <c:v>5.9357767678890987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5.5296660255454544</c:v>
                </c:pt>
                <c:pt idx="224">
                  <c:v>4.9688476255909091</c:v>
                </c:pt>
                <c:pt idx="225">
                  <c:v>4.3852305441363635</c:v>
                </c:pt>
                <c:pt idx="226">
                  <c:v>3.8077006426818176</c:v>
                </c:pt>
                <c:pt idx="227">
                  <c:v>3.269000385727272</c:v>
                </c:pt>
                <c:pt idx="228">
                  <c:v>2.7440789797727265</c:v>
                </c:pt>
                <c:pt idx="229">
                  <c:v>2.223447974818181</c:v>
                </c:pt>
                <c:pt idx="230">
                  <c:v>1.7764237138636354</c:v>
                </c:pt>
                <c:pt idx="231">
                  <c:v>1.3467053409090899</c:v>
                </c:pt>
                <c:pt idx="232">
                  <c:v>0.92571339045454426</c:v>
                </c:pt>
                <c:pt idx="233">
                  <c:v>0.56828985049999869</c:v>
                </c:pt>
                <c:pt idx="234">
                  <c:v>0.56828985049999869</c:v>
                </c:pt>
                <c:pt idx="235">
                  <c:v>0.56828985049999869</c:v>
                </c:pt>
                <c:pt idx="236">
                  <c:v>0.56828985049999869</c:v>
                </c:pt>
                <c:pt idx="237">
                  <c:v>0.56828985049999869</c:v>
                </c:pt>
                <c:pt idx="238">
                  <c:v>0.56828985049999869</c:v>
                </c:pt>
                <c:pt idx="239">
                  <c:v>0.56828985049999869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0.40611293224390627</c:v>
                </c:pt>
                <c:pt idx="257">
                  <c:v>0.85874048593872598</c:v>
                </c:pt>
                <c:pt idx="258">
                  <c:v>1.3030062137622422</c:v>
                </c:pt>
                <c:pt idx="259">
                  <c:v>1.791519460385264</c:v>
                </c:pt>
                <c:pt idx="260">
                  <c:v>2.2970739507366034</c:v>
                </c:pt>
                <c:pt idx="261">
                  <c:v>2.8139477511302173</c:v>
                </c:pt>
                <c:pt idx="262">
                  <c:v>3.5098509343802173</c:v>
                </c:pt>
                <c:pt idx="263">
                  <c:v>4.2239437231302173</c:v>
                </c:pt>
                <c:pt idx="264">
                  <c:v>4.979139668880217</c:v>
                </c:pt>
                <c:pt idx="265">
                  <c:v>5.7395192591302173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5.4922680580454539</c:v>
                </c:pt>
                <c:pt idx="272">
                  <c:v>4.9177279085909085</c:v>
                </c:pt>
                <c:pt idx="273">
                  <c:v>4.3298259136363626</c:v>
                </c:pt>
                <c:pt idx="274">
                  <c:v>3.7014265086818172</c:v>
                </c:pt>
                <c:pt idx="275">
                  <c:v>3.1265303597272718</c:v>
                </c:pt>
                <c:pt idx="276">
                  <c:v>2.591472050772726</c:v>
                </c:pt>
                <c:pt idx="277">
                  <c:v>2.0605630778181805</c:v>
                </c:pt>
                <c:pt idx="278">
                  <c:v>1.5878453578636349</c:v>
                </c:pt>
                <c:pt idx="279">
                  <c:v>1.1456621964090894</c:v>
                </c:pt>
                <c:pt idx="280">
                  <c:v>0.7385278059545437</c:v>
                </c:pt>
                <c:pt idx="281">
                  <c:v>0.38873787999999809</c:v>
                </c:pt>
                <c:pt idx="282">
                  <c:v>0.38873787999999809</c:v>
                </c:pt>
                <c:pt idx="283">
                  <c:v>0.38873787999999809</c:v>
                </c:pt>
                <c:pt idx="284">
                  <c:v>0.38873787999999809</c:v>
                </c:pt>
                <c:pt idx="285">
                  <c:v>0.38873787999999809</c:v>
                </c:pt>
                <c:pt idx="286">
                  <c:v>0.38873787999999809</c:v>
                </c:pt>
                <c:pt idx="287">
                  <c:v>0.38873787999999809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0.35645402413651595</c:v>
                </c:pt>
                <c:pt idx="308">
                  <c:v>0.9500703400115158</c:v>
                </c:pt>
                <c:pt idx="309">
                  <c:v>1.5542192118865157</c:v>
                </c:pt>
                <c:pt idx="310">
                  <c:v>2.2182806822615158</c:v>
                </c:pt>
                <c:pt idx="311">
                  <c:v>2.887096426136516</c:v>
                </c:pt>
                <c:pt idx="312">
                  <c:v>3.6537555765115162</c:v>
                </c:pt>
                <c:pt idx="313">
                  <c:v>4.447333621386516</c:v>
                </c:pt>
                <c:pt idx="314">
                  <c:v>5.2733921502615164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5.4213631125454542</c:v>
                </c:pt>
                <c:pt idx="320">
                  <c:v>4.8149193915909088</c:v>
                </c:pt>
                <c:pt idx="321">
                  <c:v>4.170570424136363</c:v>
                </c:pt>
                <c:pt idx="322">
                  <c:v>3.5662269526818173</c:v>
                </c:pt>
                <c:pt idx="323">
                  <c:v>2.9961881147272718</c:v>
                </c:pt>
                <c:pt idx="324">
                  <c:v>2.466385293772726</c:v>
                </c:pt>
                <c:pt idx="325">
                  <c:v>1.9603821053181805</c:v>
                </c:pt>
                <c:pt idx="326">
                  <c:v>1.4909071448636348</c:v>
                </c:pt>
                <c:pt idx="327">
                  <c:v>1.0568755259090892</c:v>
                </c:pt>
                <c:pt idx="328">
                  <c:v>0.6572795039545436</c:v>
                </c:pt>
                <c:pt idx="329">
                  <c:v>0.31480900149999802</c:v>
                </c:pt>
                <c:pt idx="330">
                  <c:v>0.31480900149999802</c:v>
                </c:pt>
                <c:pt idx="331">
                  <c:v>0.31480900149999802</c:v>
                </c:pt>
                <c:pt idx="332">
                  <c:v>0.31480900149999802</c:v>
                </c:pt>
                <c:pt idx="333">
                  <c:v>0.31480900149999802</c:v>
                </c:pt>
                <c:pt idx="334">
                  <c:v>0.31480900149999802</c:v>
                </c:pt>
                <c:pt idx="335">
                  <c:v>0.31480900149999802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A-490E-998A-5F7B9A6B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21608533437452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 1:</a:t>
            </a:r>
            <a:r>
              <a:rPr lang="en-GB" baseline="0"/>
              <a:t> Optimise by Hand (v0.1)</a:t>
            </a:r>
            <a:endParaRPr lang="en-GB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2453042328042328"/>
          <c:w val="0.94010645936147985"/>
          <c:h val="0.68194444444444446"/>
        </c:manualLayout>
      </c:layout>
      <c:areaChart>
        <c:grouping val="stacked"/>
        <c:varyColors val="0"/>
        <c:ser>
          <c:idx val="4"/>
          <c:order val="4"/>
          <c:tx>
            <c:strRef>
              <c:f>'task0ForecastsPVandDemand_R (2)'!$G$14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'task0ForecastsPVandDemand_R (2)'!$G$15:$G$350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-0.76416044890909118</c:v>
                </c:pt>
                <c:pt idx="128">
                  <c:v>-1.1250444519090914</c:v>
                </c:pt>
                <c:pt idx="129">
                  <c:v>-1.1727612259090914</c:v>
                </c:pt>
                <c:pt idx="130">
                  <c:v>-1.2548847919090913</c:v>
                </c:pt>
                <c:pt idx="131">
                  <c:v>-1.2299839679090914</c:v>
                </c:pt>
                <c:pt idx="132">
                  <c:v>-1.1869031679090911</c:v>
                </c:pt>
                <c:pt idx="133">
                  <c:v>-1.1519466669090912</c:v>
                </c:pt>
                <c:pt idx="134">
                  <c:v>-1.0482009739090912</c:v>
                </c:pt>
                <c:pt idx="135">
                  <c:v>-1.0064335949090912</c:v>
                </c:pt>
                <c:pt idx="136">
                  <c:v>-1.0043154709090913</c:v>
                </c:pt>
                <c:pt idx="137">
                  <c:v>-0.88774958490909128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0.59652839800728841</c:v>
                </c:pt>
                <c:pt idx="159">
                  <c:v>0.6263110241000005</c:v>
                </c:pt>
                <c:pt idx="160">
                  <c:v>0.78474936910000048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1.1739272331000006</c:v>
                </c:pt>
                <c:pt idx="169">
                  <c:v>1.1939850721000007</c:v>
                </c:pt>
                <c:pt idx="170">
                  <c:v>0.83477689289270529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-0.86748965990909133</c:v>
                </c:pt>
                <c:pt idx="176">
                  <c:v>-1.1337049999090913</c:v>
                </c:pt>
                <c:pt idx="177">
                  <c:v>-1.1707458489090912</c:v>
                </c:pt>
                <c:pt idx="178">
                  <c:v>-1.2169075949090913</c:v>
                </c:pt>
                <c:pt idx="179">
                  <c:v>-1.2024406089090913</c:v>
                </c:pt>
                <c:pt idx="180">
                  <c:v>-1.1730091499090913</c:v>
                </c:pt>
                <c:pt idx="181">
                  <c:v>-1.119495991909091</c:v>
                </c:pt>
                <c:pt idx="182">
                  <c:v>-1.0130425669090912</c:v>
                </c:pt>
                <c:pt idx="183">
                  <c:v>-0.96946849790909129</c:v>
                </c:pt>
                <c:pt idx="184">
                  <c:v>-0.86164166790909125</c:v>
                </c:pt>
                <c:pt idx="185">
                  <c:v>-0.70752616290909121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0.74023131897537964</c:v>
                </c:pt>
                <c:pt idx="208">
                  <c:v>0.86000279240184119</c:v>
                </c:pt>
                <c:pt idx="209">
                  <c:v>1.0149875091937206</c:v>
                </c:pt>
                <c:pt idx="210">
                  <c:v>1.2510385697499999</c:v>
                </c:pt>
                <c:pt idx="211">
                  <c:v>1.2924636337499997</c:v>
                </c:pt>
                <c:pt idx="212">
                  <c:v>1.20404876475</c:v>
                </c:pt>
                <c:pt idx="213">
                  <c:v>1.2375788537500001</c:v>
                </c:pt>
                <c:pt idx="214">
                  <c:v>1.1785615245427501</c:v>
                </c:pt>
                <c:pt idx="215">
                  <c:v>1.1978220119986047</c:v>
                </c:pt>
                <c:pt idx="216">
                  <c:v>0.94740927833295008</c:v>
                </c:pt>
                <c:pt idx="217">
                  <c:v>0.94740927833295008</c:v>
                </c:pt>
                <c:pt idx="218">
                  <c:v>0.12844646422180261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-0.94066794890909122</c:v>
                </c:pt>
                <c:pt idx="224">
                  <c:v>-1.121636799909091</c:v>
                </c:pt>
                <c:pt idx="225">
                  <c:v>-1.1672341629090912</c:v>
                </c:pt>
                <c:pt idx="226">
                  <c:v>-1.1550598029090913</c:v>
                </c:pt>
                <c:pt idx="227">
                  <c:v>-1.0774005139090912</c:v>
                </c:pt>
                <c:pt idx="228">
                  <c:v>-1.049842811909091</c:v>
                </c:pt>
                <c:pt idx="229">
                  <c:v>-1.041262009909091</c:v>
                </c:pt>
                <c:pt idx="230">
                  <c:v>-0.89404852190909123</c:v>
                </c:pt>
                <c:pt idx="231">
                  <c:v>-0.85943674590909103</c:v>
                </c:pt>
                <c:pt idx="232">
                  <c:v>-0.84198390090909125</c:v>
                </c:pt>
                <c:pt idx="233">
                  <c:v>-0.71484707990909113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0.81222586448781253</c:v>
                </c:pt>
                <c:pt idx="257">
                  <c:v>0.90525510738963955</c:v>
                </c:pt>
                <c:pt idx="258">
                  <c:v>0.8885314556470324</c:v>
                </c:pt>
                <c:pt idx="259">
                  <c:v>0.97702649324604363</c:v>
                </c:pt>
                <c:pt idx="260">
                  <c:v>1.0111089807026787</c:v>
                </c:pt>
                <c:pt idx="261">
                  <c:v>1.0337476007872279</c:v>
                </c:pt>
                <c:pt idx="262">
                  <c:v>1.3918063665</c:v>
                </c:pt>
                <c:pt idx="263">
                  <c:v>1.4281855774999999</c:v>
                </c:pt>
                <c:pt idx="264">
                  <c:v>1.5103918914999999</c:v>
                </c:pt>
                <c:pt idx="265">
                  <c:v>1.5207591804999998</c:v>
                </c:pt>
                <c:pt idx="266">
                  <c:v>0.52096148173956536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-1.0154638839090913</c:v>
                </c:pt>
                <c:pt idx="272">
                  <c:v>-1.1490802989090914</c:v>
                </c:pt>
                <c:pt idx="273">
                  <c:v>-1.1758039899090913</c:v>
                </c:pt>
                <c:pt idx="274">
                  <c:v>-1.2567988099090912</c:v>
                </c:pt>
                <c:pt idx="275">
                  <c:v>-1.1497922979090913</c:v>
                </c:pt>
                <c:pt idx="276">
                  <c:v>-1.0701166179090911</c:v>
                </c:pt>
                <c:pt idx="277">
                  <c:v>-1.0618179459090911</c:v>
                </c:pt>
                <c:pt idx="278">
                  <c:v>-0.94543543990909118</c:v>
                </c:pt>
                <c:pt idx="279">
                  <c:v>-0.88436632290909101</c:v>
                </c:pt>
                <c:pt idx="280">
                  <c:v>-0.81426878090909138</c:v>
                </c:pt>
                <c:pt idx="281">
                  <c:v>-0.69957985190909122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0.71290804827303189</c:v>
                </c:pt>
                <c:pt idx="308">
                  <c:v>1.1872326317499997</c:v>
                </c:pt>
                <c:pt idx="309">
                  <c:v>1.2082977437499998</c:v>
                </c:pt>
                <c:pt idx="310">
                  <c:v>1.3281229407499997</c:v>
                </c:pt>
                <c:pt idx="311">
                  <c:v>1.33763148775</c:v>
                </c:pt>
                <c:pt idx="312">
                  <c:v>1.53331830075</c:v>
                </c:pt>
                <c:pt idx="313">
                  <c:v>1.5871560897499997</c:v>
                </c:pt>
                <c:pt idx="314">
                  <c:v>1.65211705775</c:v>
                </c:pt>
                <c:pt idx="315">
                  <c:v>1.4532156994769672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-1.1572737749090911</c:v>
                </c:pt>
                <c:pt idx="320">
                  <c:v>-1.2128874419090914</c:v>
                </c:pt>
                <c:pt idx="321">
                  <c:v>-1.288697934909091</c:v>
                </c:pt>
                <c:pt idx="322">
                  <c:v>-1.2086869429090914</c:v>
                </c:pt>
                <c:pt idx="323">
                  <c:v>-1.1400776759090911</c:v>
                </c:pt>
                <c:pt idx="324">
                  <c:v>-1.0596056419090911</c:v>
                </c:pt>
                <c:pt idx="325">
                  <c:v>-1.012006376909091</c:v>
                </c:pt>
                <c:pt idx="326">
                  <c:v>-0.93894992090909124</c:v>
                </c:pt>
                <c:pt idx="327">
                  <c:v>-0.86806323790909135</c:v>
                </c:pt>
                <c:pt idx="328">
                  <c:v>-0.79919204390909115</c:v>
                </c:pt>
                <c:pt idx="329">
                  <c:v>-0.68494100490909116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7-477C-8697-C5500920C6AC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'task0ForecastsPVandDemand_R (2)'!$K$15:$K$350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7-477C-8697-C5500920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'task0ForecastsPVandDemand_R (2)'!$D$14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'task0ForecastsPVandDemand_R (2)'!$A$15:$A$62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'task0ForecastsPVandDemand_R (2)'!$D$15:$D$350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7-477C-8697-C5500920C6AC}"/>
            </c:ext>
          </c:extLst>
        </c:ser>
        <c:ser>
          <c:idx val="1"/>
          <c:order val="1"/>
          <c:tx>
            <c:strRef>
              <c:f>'task0ForecastsPVandDemand_R (2)'!$F$14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'task0ForecastsPVandDemand_R (2)'!$A$15:$A$62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'task0ForecastsPVandDemand_R (2)'!$F$15:$F$350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7-477C-8697-C5500920C6AC}"/>
            </c:ext>
          </c:extLst>
        </c:ser>
        <c:ser>
          <c:idx val="2"/>
          <c:order val="2"/>
          <c:tx>
            <c:strRef>
              <c:f>'task0ForecastsPVandDemand_R (2)'!$E$14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'task0ForecastsPVandDemand_R (2)'!$A$15:$A$62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'task0ForecastsPVandDemand_R (2)'!$E$15:$E$350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1.9066965960909088</c:v>
                </c:pt>
                <c:pt idx="128">
                  <c:v>1.9066965960909088</c:v>
                </c:pt>
                <c:pt idx="129">
                  <c:v>1.9066965960909088</c:v>
                </c:pt>
                <c:pt idx="130">
                  <c:v>1.9066965960909088</c:v>
                </c:pt>
                <c:pt idx="131">
                  <c:v>1.9066965960909088</c:v>
                </c:pt>
                <c:pt idx="132">
                  <c:v>1.9066965960909088</c:v>
                </c:pt>
                <c:pt idx="133">
                  <c:v>1.9066965960909088</c:v>
                </c:pt>
                <c:pt idx="134">
                  <c:v>1.9066965960909088</c:v>
                </c:pt>
                <c:pt idx="135">
                  <c:v>1.9066965960909088</c:v>
                </c:pt>
                <c:pt idx="136">
                  <c:v>1.9066965960909088</c:v>
                </c:pt>
                <c:pt idx="137">
                  <c:v>1.9066965960909088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3.4307331540072887</c:v>
                </c:pt>
                <c:pt idx="159">
                  <c:v>3.4359646101000005</c:v>
                </c:pt>
                <c:pt idx="160">
                  <c:v>3.4359646101000005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3.4359646101000005</c:v>
                </c:pt>
                <c:pt idx="169">
                  <c:v>3.4359646101000005</c:v>
                </c:pt>
                <c:pt idx="170">
                  <c:v>3.0187278008927052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1.9066965960909088</c:v>
                </c:pt>
                <c:pt idx="176">
                  <c:v>1.9066965960909088</c:v>
                </c:pt>
                <c:pt idx="177">
                  <c:v>1.9066965960909088</c:v>
                </c:pt>
                <c:pt idx="178">
                  <c:v>1.9066965960909088</c:v>
                </c:pt>
                <c:pt idx="179">
                  <c:v>1.9066965960909088</c:v>
                </c:pt>
                <c:pt idx="180">
                  <c:v>1.9066965960909088</c:v>
                </c:pt>
                <c:pt idx="181">
                  <c:v>1.9066965960909088</c:v>
                </c:pt>
                <c:pt idx="182">
                  <c:v>1.9066965960909088</c:v>
                </c:pt>
                <c:pt idx="183">
                  <c:v>1.9066965960909088</c:v>
                </c:pt>
                <c:pt idx="184">
                  <c:v>1.9066965960909088</c:v>
                </c:pt>
                <c:pt idx="185">
                  <c:v>1.9066965960909088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3.4440231849753795</c:v>
                </c:pt>
                <c:pt idx="208">
                  <c:v>3.5431423564018414</c:v>
                </c:pt>
                <c:pt idx="209">
                  <c:v>3.6649039291937204</c:v>
                </c:pt>
                <c:pt idx="210">
                  <c:v>3.8424134487499999</c:v>
                </c:pt>
                <c:pt idx="211">
                  <c:v>3.8424134487499999</c:v>
                </c:pt>
                <c:pt idx="212">
                  <c:v>3.8424134487499999</c:v>
                </c:pt>
                <c:pt idx="213">
                  <c:v>3.8424134487499999</c:v>
                </c:pt>
                <c:pt idx="214">
                  <c:v>3.69557182654275</c:v>
                </c:pt>
                <c:pt idx="215">
                  <c:v>3.6709265199986048</c:v>
                </c:pt>
                <c:pt idx="216">
                  <c:v>3.5348030143329501</c:v>
                </c:pt>
                <c:pt idx="217">
                  <c:v>3.4728280373329499</c:v>
                </c:pt>
                <c:pt idx="218">
                  <c:v>2.5952445542218028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1.9066965960909088</c:v>
                </c:pt>
                <c:pt idx="224">
                  <c:v>1.9066965960909088</c:v>
                </c:pt>
                <c:pt idx="225">
                  <c:v>1.9066965960909088</c:v>
                </c:pt>
                <c:pt idx="226">
                  <c:v>1.9066965960909088</c:v>
                </c:pt>
                <c:pt idx="227">
                  <c:v>1.9066965960909088</c:v>
                </c:pt>
                <c:pt idx="228">
                  <c:v>1.9066965960909088</c:v>
                </c:pt>
                <c:pt idx="229">
                  <c:v>1.9066965960909088</c:v>
                </c:pt>
                <c:pt idx="230">
                  <c:v>1.9066965960909088</c:v>
                </c:pt>
                <c:pt idx="231">
                  <c:v>1.9066965960909088</c:v>
                </c:pt>
                <c:pt idx="232">
                  <c:v>1.9066965960909088</c:v>
                </c:pt>
                <c:pt idx="233">
                  <c:v>1.9066965960909088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3.6868263784878126</c:v>
                </c:pt>
                <c:pt idx="257">
                  <c:v>3.7541819803896397</c:v>
                </c:pt>
                <c:pt idx="258">
                  <c:v>3.7031610936470325</c:v>
                </c:pt>
                <c:pt idx="259">
                  <c:v>3.7108004522460436</c:v>
                </c:pt>
                <c:pt idx="260">
                  <c:v>3.7278041657026786</c:v>
                </c:pt>
                <c:pt idx="261">
                  <c:v>3.7054390167872278</c:v>
                </c:pt>
                <c:pt idx="262">
                  <c:v>3.9543692574999998</c:v>
                </c:pt>
                <c:pt idx="263">
                  <c:v>3.9543692574999998</c:v>
                </c:pt>
                <c:pt idx="264">
                  <c:v>3.9543692574999998</c:v>
                </c:pt>
                <c:pt idx="265">
                  <c:v>3.9543692574999998</c:v>
                </c:pt>
                <c:pt idx="266">
                  <c:v>2.9044259027395656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1.9066965960909088</c:v>
                </c:pt>
                <c:pt idx="272">
                  <c:v>1.9066965960909088</c:v>
                </c:pt>
                <c:pt idx="273">
                  <c:v>1.9066965960909088</c:v>
                </c:pt>
                <c:pt idx="274">
                  <c:v>1.9066965960909088</c:v>
                </c:pt>
                <c:pt idx="275">
                  <c:v>1.9066965960909088</c:v>
                </c:pt>
                <c:pt idx="276">
                  <c:v>1.9066965960909088</c:v>
                </c:pt>
                <c:pt idx="277">
                  <c:v>1.9066965960909088</c:v>
                </c:pt>
                <c:pt idx="278">
                  <c:v>1.9066965960909088</c:v>
                </c:pt>
                <c:pt idx="279">
                  <c:v>1.9066965960909088</c:v>
                </c:pt>
                <c:pt idx="280">
                  <c:v>1.9066965960909088</c:v>
                </c:pt>
                <c:pt idx="281">
                  <c:v>1.9066965960909088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3.5994869642730318</c:v>
                </c:pt>
                <c:pt idx="308">
                  <c:v>3.9942431637499998</c:v>
                </c:pt>
                <c:pt idx="309">
                  <c:v>3.9942431637499998</c:v>
                </c:pt>
                <c:pt idx="310">
                  <c:v>3.9942431637499998</c:v>
                </c:pt>
                <c:pt idx="311">
                  <c:v>3.9942431637499998</c:v>
                </c:pt>
                <c:pt idx="312">
                  <c:v>3.9942431637499998</c:v>
                </c:pt>
                <c:pt idx="313">
                  <c:v>3.9942431637499998</c:v>
                </c:pt>
                <c:pt idx="314">
                  <c:v>3.9942431637499998</c:v>
                </c:pt>
                <c:pt idx="315">
                  <c:v>3.800501719476967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1.9066965960909088</c:v>
                </c:pt>
                <c:pt idx="320">
                  <c:v>1.9066965960909088</c:v>
                </c:pt>
                <c:pt idx="321">
                  <c:v>1.9066965960909088</c:v>
                </c:pt>
                <c:pt idx="322">
                  <c:v>1.9066965960909088</c:v>
                </c:pt>
                <c:pt idx="323">
                  <c:v>1.9066965960909088</c:v>
                </c:pt>
                <c:pt idx="324">
                  <c:v>1.9066965960909088</c:v>
                </c:pt>
                <c:pt idx="325">
                  <c:v>1.9066965960909088</c:v>
                </c:pt>
                <c:pt idx="326">
                  <c:v>1.9066965960909088</c:v>
                </c:pt>
                <c:pt idx="327">
                  <c:v>1.9066965960909088</c:v>
                </c:pt>
                <c:pt idx="328">
                  <c:v>1.9066965960909088</c:v>
                </c:pt>
                <c:pt idx="329">
                  <c:v>1.9066965960909088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7-477C-8697-C5500920C6AC}"/>
            </c:ext>
          </c:extLst>
        </c:ser>
        <c:ser>
          <c:idx val="3"/>
          <c:order val="3"/>
          <c:tx>
            <c:strRef>
              <c:f>'task0ForecastsPVandDemand_R (2)'!$H$14</c:f>
              <c:strCache>
                <c:ptCount val="1"/>
                <c:pt idx="0">
                  <c:v>SoC (MWh)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'task0ForecastsPVandDemand_R (2)'!$A$15:$A$62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'task0ForecastsPVandDemand_R (2)'!$H$15:$H$350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5.6179197755454542</c:v>
                </c:pt>
                <c:pt idx="128">
                  <c:v>5.0553975495909089</c:v>
                </c:pt>
                <c:pt idx="129">
                  <c:v>4.469016936636363</c:v>
                </c:pt>
                <c:pt idx="130">
                  <c:v>3.8415745406818171</c:v>
                </c:pt>
                <c:pt idx="131">
                  <c:v>3.2265825567272715</c:v>
                </c:pt>
                <c:pt idx="132">
                  <c:v>2.6331309727727259</c:v>
                </c:pt>
                <c:pt idx="133">
                  <c:v>2.0571576393181803</c:v>
                </c:pt>
                <c:pt idx="134">
                  <c:v>1.5330571523636347</c:v>
                </c:pt>
                <c:pt idx="135">
                  <c:v>1.0298403549090891</c:v>
                </c:pt>
                <c:pt idx="136">
                  <c:v>0.52768261945454342</c:v>
                </c:pt>
                <c:pt idx="137">
                  <c:v>8.3807826999997781E-2</c:v>
                </c:pt>
                <c:pt idx="138">
                  <c:v>8.3807826999997781E-2</c:v>
                </c:pt>
                <c:pt idx="139">
                  <c:v>8.3807826999997781E-2</c:v>
                </c:pt>
                <c:pt idx="140">
                  <c:v>8.3807826999997781E-2</c:v>
                </c:pt>
                <c:pt idx="141">
                  <c:v>8.3807826999997781E-2</c:v>
                </c:pt>
                <c:pt idx="142">
                  <c:v>8.3807826999997781E-2</c:v>
                </c:pt>
                <c:pt idx="143">
                  <c:v>8.3807826999997781E-2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0.2982641990036442</c:v>
                </c:pt>
                <c:pt idx="159">
                  <c:v>0.61141971105364445</c:v>
                </c:pt>
                <c:pt idx="160">
                  <c:v>1.0037943956036446</c:v>
                </c:pt>
                <c:pt idx="161">
                  <c:v>1.4112168896536448</c:v>
                </c:pt>
                <c:pt idx="162">
                  <c:v>1.837116552703645</c:v>
                </c:pt>
                <c:pt idx="163">
                  <c:v>2.2905706342536454</c:v>
                </c:pt>
                <c:pt idx="164">
                  <c:v>2.7879550488036458</c:v>
                </c:pt>
                <c:pt idx="165">
                  <c:v>3.2955363578536461</c:v>
                </c:pt>
                <c:pt idx="166">
                  <c:v>3.8374785674036462</c:v>
                </c:pt>
                <c:pt idx="167">
                  <c:v>4.3986554009536469</c:v>
                </c:pt>
                <c:pt idx="168">
                  <c:v>4.9856190175036472</c:v>
                </c:pt>
                <c:pt idx="169">
                  <c:v>5.5826115535536474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5.5662551700454541</c:v>
                </c:pt>
                <c:pt idx="176">
                  <c:v>4.9994026700909089</c:v>
                </c:pt>
                <c:pt idx="177">
                  <c:v>4.4140297456363635</c:v>
                </c:pt>
                <c:pt idx="178">
                  <c:v>3.8055759481818177</c:v>
                </c:pt>
                <c:pt idx="179">
                  <c:v>3.204355643727272</c:v>
                </c:pt>
                <c:pt idx="180">
                  <c:v>2.6178510687727261</c:v>
                </c:pt>
                <c:pt idx="181">
                  <c:v>2.0581030728181808</c:v>
                </c:pt>
                <c:pt idx="182">
                  <c:v>1.5515817893636352</c:v>
                </c:pt>
                <c:pt idx="183">
                  <c:v>1.0668475404090896</c:v>
                </c:pt>
                <c:pt idx="184">
                  <c:v>0.63602670645454396</c:v>
                </c:pt>
                <c:pt idx="185">
                  <c:v>0.28226362499999835</c:v>
                </c:pt>
                <c:pt idx="186">
                  <c:v>0.28226362499999835</c:v>
                </c:pt>
                <c:pt idx="187">
                  <c:v>0.28226362499999835</c:v>
                </c:pt>
                <c:pt idx="188">
                  <c:v>0.28226362499999835</c:v>
                </c:pt>
                <c:pt idx="189">
                  <c:v>0.28226362499999835</c:v>
                </c:pt>
                <c:pt idx="190">
                  <c:v>0.28226362499999835</c:v>
                </c:pt>
                <c:pt idx="191">
                  <c:v>0.28226362499999835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0.37011565948768982</c:v>
                </c:pt>
                <c:pt idx="208">
                  <c:v>0.80011705568861036</c:v>
                </c:pt>
                <c:pt idx="209">
                  <c:v>1.3076108102854707</c:v>
                </c:pt>
                <c:pt idx="210">
                  <c:v>1.9331300951604706</c:v>
                </c:pt>
                <c:pt idx="211">
                  <c:v>2.5793619120354707</c:v>
                </c:pt>
                <c:pt idx="212">
                  <c:v>3.1813862944104709</c:v>
                </c:pt>
                <c:pt idx="213">
                  <c:v>3.8001757212854708</c:v>
                </c:pt>
                <c:pt idx="214">
                  <c:v>4.3894564835568461</c:v>
                </c:pt>
                <c:pt idx="215">
                  <c:v>4.9883674895561487</c:v>
                </c:pt>
                <c:pt idx="216">
                  <c:v>5.4620721287226237</c:v>
                </c:pt>
                <c:pt idx="217">
                  <c:v>5.9357767678890987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5.5296660255454544</c:v>
                </c:pt>
                <c:pt idx="224">
                  <c:v>4.9688476255909091</c:v>
                </c:pt>
                <c:pt idx="225">
                  <c:v>4.3852305441363635</c:v>
                </c:pt>
                <c:pt idx="226">
                  <c:v>3.8077006426818176</c:v>
                </c:pt>
                <c:pt idx="227">
                  <c:v>3.269000385727272</c:v>
                </c:pt>
                <c:pt idx="228">
                  <c:v>2.7440789797727265</c:v>
                </c:pt>
                <c:pt idx="229">
                  <c:v>2.223447974818181</c:v>
                </c:pt>
                <c:pt idx="230">
                  <c:v>1.7764237138636354</c:v>
                </c:pt>
                <c:pt idx="231">
                  <c:v>1.3467053409090899</c:v>
                </c:pt>
                <c:pt idx="232">
                  <c:v>0.92571339045454426</c:v>
                </c:pt>
                <c:pt idx="233">
                  <c:v>0.56828985049999869</c:v>
                </c:pt>
                <c:pt idx="234">
                  <c:v>0.56828985049999869</c:v>
                </c:pt>
                <c:pt idx="235">
                  <c:v>0.56828985049999869</c:v>
                </c:pt>
                <c:pt idx="236">
                  <c:v>0.56828985049999869</c:v>
                </c:pt>
                <c:pt idx="237">
                  <c:v>0.56828985049999869</c:v>
                </c:pt>
                <c:pt idx="238">
                  <c:v>0.56828985049999869</c:v>
                </c:pt>
                <c:pt idx="239">
                  <c:v>0.56828985049999869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0.40611293224390627</c:v>
                </c:pt>
                <c:pt idx="257">
                  <c:v>0.85874048593872598</c:v>
                </c:pt>
                <c:pt idx="258">
                  <c:v>1.3030062137622422</c:v>
                </c:pt>
                <c:pt idx="259">
                  <c:v>1.791519460385264</c:v>
                </c:pt>
                <c:pt idx="260">
                  <c:v>2.2970739507366034</c:v>
                </c:pt>
                <c:pt idx="261">
                  <c:v>2.8139477511302173</c:v>
                </c:pt>
                <c:pt idx="262">
                  <c:v>3.5098509343802173</c:v>
                </c:pt>
                <c:pt idx="263">
                  <c:v>4.2239437231302173</c:v>
                </c:pt>
                <c:pt idx="264">
                  <c:v>4.979139668880217</c:v>
                </c:pt>
                <c:pt idx="265">
                  <c:v>5.7395192591302173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5.4922680580454539</c:v>
                </c:pt>
                <c:pt idx="272">
                  <c:v>4.9177279085909085</c:v>
                </c:pt>
                <c:pt idx="273">
                  <c:v>4.3298259136363626</c:v>
                </c:pt>
                <c:pt idx="274">
                  <c:v>3.7014265086818172</c:v>
                </c:pt>
                <c:pt idx="275">
                  <c:v>3.1265303597272718</c:v>
                </c:pt>
                <c:pt idx="276">
                  <c:v>2.591472050772726</c:v>
                </c:pt>
                <c:pt idx="277">
                  <c:v>2.0605630778181805</c:v>
                </c:pt>
                <c:pt idx="278">
                  <c:v>1.5878453578636349</c:v>
                </c:pt>
                <c:pt idx="279">
                  <c:v>1.1456621964090894</c:v>
                </c:pt>
                <c:pt idx="280">
                  <c:v>0.7385278059545437</c:v>
                </c:pt>
                <c:pt idx="281">
                  <c:v>0.38873787999999809</c:v>
                </c:pt>
                <c:pt idx="282">
                  <c:v>0.38873787999999809</c:v>
                </c:pt>
                <c:pt idx="283">
                  <c:v>0.38873787999999809</c:v>
                </c:pt>
                <c:pt idx="284">
                  <c:v>0.38873787999999809</c:v>
                </c:pt>
                <c:pt idx="285">
                  <c:v>0.38873787999999809</c:v>
                </c:pt>
                <c:pt idx="286">
                  <c:v>0.38873787999999809</c:v>
                </c:pt>
                <c:pt idx="287">
                  <c:v>0.38873787999999809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0.35645402413651595</c:v>
                </c:pt>
                <c:pt idx="308">
                  <c:v>0.9500703400115158</c:v>
                </c:pt>
                <c:pt idx="309">
                  <c:v>1.5542192118865157</c:v>
                </c:pt>
                <c:pt idx="310">
                  <c:v>2.2182806822615158</c:v>
                </c:pt>
                <c:pt idx="311">
                  <c:v>2.887096426136516</c:v>
                </c:pt>
                <c:pt idx="312">
                  <c:v>3.6537555765115162</c:v>
                </c:pt>
                <c:pt idx="313">
                  <c:v>4.447333621386516</c:v>
                </c:pt>
                <c:pt idx="314">
                  <c:v>5.2733921502615164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5.4213631125454542</c:v>
                </c:pt>
                <c:pt idx="320">
                  <c:v>4.8149193915909088</c:v>
                </c:pt>
                <c:pt idx="321">
                  <c:v>4.170570424136363</c:v>
                </c:pt>
                <c:pt idx="322">
                  <c:v>3.5662269526818173</c:v>
                </c:pt>
                <c:pt idx="323">
                  <c:v>2.9961881147272718</c:v>
                </c:pt>
                <c:pt idx="324">
                  <c:v>2.466385293772726</c:v>
                </c:pt>
                <c:pt idx="325">
                  <c:v>1.9603821053181805</c:v>
                </c:pt>
                <c:pt idx="326">
                  <c:v>1.4909071448636348</c:v>
                </c:pt>
                <c:pt idx="327">
                  <c:v>1.0568755259090892</c:v>
                </c:pt>
                <c:pt idx="328">
                  <c:v>0.6572795039545436</c:v>
                </c:pt>
                <c:pt idx="329">
                  <c:v>0.31480900149999802</c:v>
                </c:pt>
                <c:pt idx="330">
                  <c:v>0.31480900149999802</c:v>
                </c:pt>
                <c:pt idx="331">
                  <c:v>0.31480900149999802</c:v>
                </c:pt>
                <c:pt idx="332">
                  <c:v>0.31480900149999802</c:v>
                </c:pt>
                <c:pt idx="333">
                  <c:v>0.31480900149999802</c:v>
                </c:pt>
                <c:pt idx="334">
                  <c:v>0.31480900149999802</c:v>
                </c:pt>
                <c:pt idx="335">
                  <c:v>0.31480900149999802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C7-477C-8697-C5500920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21608533437452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0</xdr:rowOff>
    </xdr:from>
    <xdr:to>
      <xdr:col>21</xdr:col>
      <xdr:colOff>624840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C94E0-980E-4B45-9B52-EA89DBF28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0</xdr:rowOff>
    </xdr:from>
    <xdr:to>
      <xdr:col>21</xdr:col>
      <xdr:colOff>624840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0EE4-24DE-4CC1-A7A6-1FB9D243A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DFF775-4DBB-4BCF-AE65-C3BBEF8C0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37393" y="2591796"/>
          <a:ext cx="1417320" cy="535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Normal="100" workbookViewId="0">
      <pane ySplit="14" topLeftCell="A18" activePane="bottomLeft" state="frozen"/>
      <selection pane="bottomLeft" activeCell="P29" sqref="P29"/>
    </sheetView>
  </sheetViews>
  <sheetFormatPr defaultRowHeight="14.4" x14ac:dyDescent="0.3"/>
  <cols>
    <col min="1" max="2" width="3" style="7" bestFit="1" customWidth="1"/>
    <col min="3" max="3" width="16.33203125" bestFit="1" customWidth="1"/>
    <col min="4" max="4" width="25.6640625" style="21" bestFit="1" customWidth="1"/>
    <col min="5" max="5" width="16.77734375" style="22" bestFit="1" customWidth="1"/>
    <col min="6" max="6" width="14.5546875" bestFit="1" customWidth="1"/>
    <col min="7" max="7" width="15.21875" style="3" customWidth="1"/>
    <col min="8" max="8" width="12.5546875" style="3" customWidth="1"/>
    <col min="9" max="9" width="17.109375" style="4" customWidth="1"/>
    <col min="10" max="10" width="15.21875" style="4" customWidth="1"/>
    <col min="11" max="11" width="12.33203125" style="4" customWidth="1"/>
    <col min="12" max="12" width="14.33203125" style="3" bestFit="1" customWidth="1"/>
    <col min="13" max="13" width="15.44140625" style="3" bestFit="1" customWidth="1"/>
    <col min="14" max="14" width="12.21875" style="6" bestFit="1" customWidth="1"/>
    <col min="15" max="15" width="17.88671875" style="6" customWidth="1"/>
    <col min="17" max="17" width="8" customWidth="1"/>
    <col min="18" max="18" width="12.5546875" bestFit="1" customWidth="1"/>
    <col min="19" max="19" width="13.7773437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21875" customWidth="1"/>
    <col min="25" max="25" width="10.6640625" customWidth="1"/>
  </cols>
  <sheetData>
    <row r="1" spans="1:17" ht="14.4" customHeight="1" x14ac:dyDescent="0.3">
      <c r="A1" s="137"/>
      <c r="B1" s="135"/>
      <c r="C1" s="136"/>
      <c r="D1" s="136"/>
      <c r="E1" s="136"/>
      <c r="F1" s="136"/>
      <c r="G1" s="136"/>
      <c r="H1" s="136"/>
      <c r="I1" s="136"/>
      <c r="J1" s="136"/>
      <c r="K1" s="136"/>
      <c r="L1" s="147" t="s">
        <v>32</v>
      </c>
      <c r="M1" s="76" t="s">
        <v>26</v>
      </c>
      <c r="N1" s="76" t="s">
        <v>27</v>
      </c>
      <c r="O1" s="76" t="s">
        <v>36</v>
      </c>
      <c r="P1" s="141"/>
      <c r="Q1" s="141"/>
    </row>
    <row r="2" spans="1:17" x14ac:dyDescent="0.3">
      <c r="A2" s="137"/>
      <c r="B2" s="76" t="s">
        <v>11</v>
      </c>
      <c r="C2" s="76" t="s">
        <v>14</v>
      </c>
      <c r="D2" s="76" t="s">
        <v>15</v>
      </c>
      <c r="E2" s="76" t="s">
        <v>33</v>
      </c>
      <c r="F2" s="76" t="s">
        <v>34</v>
      </c>
      <c r="G2" s="76" t="s">
        <v>41</v>
      </c>
      <c r="H2" s="76" t="s">
        <v>18</v>
      </c>
      <c r="I2" s="76" t="s">
        <v>19</v>
      </c>
      <c r="J2" s="76" t="s">
        <v>30</v>
      </c>
      <c r="K2" s="76" t="s">
        <v>31</v>
      </c>
      <c r="L2" s="148"/>
      <c r="M2" s="76" t="s">
        <v>24</v>
      </c>
      <c r="N2" s="76" t="s">
        <v>25</v>
      </c>
      <c r="O2" s="76" t="s">
        <v>35</v>
      </c>
      <c r="P2" s="141"/>
      <c r="Q2" s="141"/>
    </row>
    <row r="3" spans="1:17" x14ac:dyDescent="0.3">
      <c r="A3" s="137"/>
      <c r="B3" s="79">
        <v>1</v>
      </c>
      <c r="C3" s="77">
        <f>MAX(peakd1)</f>
        <v>3.2347108800000002</v>
      </c>
      <c r="D3" s="80">
        <f>(SUM(peakd1)-12)/COUNTA(peakd1)</f>
        <v>1.9066965960909088</v>
      </c>
      <c r="E3" s="150">
        <f>(12/I3)+(25/100)</f>
        <v>0.50843951419842659</v>
      </c>
      <c r="F3" s="80">
        <v>1</v>
      </c>
      <c r="G3" s="77">
        <f>MAX(peakd1)</f>
        <v>3.2347108800000002</v>
      </c>
      <c r="H3" s="75">
        <f>MAX(newPeakd1)</f>
        <v>1.906696596090911</v>
      </c>
      <c r="I3" s="75">
        <f>SUM(chargingSolard1)</f>
        <v>46.432528079999997</v>
      </c>
      <c r="J3" s="77">
        <f>SUM(solarCharged1)</f>
        <v>-12</v>
      </c>
      <c r="K3" s="77">
        <f>SUM(gridTopUpd1)</f>
        <v>0</v>
      </c>
      <c r="L3" s="134">
        <f t="shared" ref="L3:L9" si="0">(StartPeakd1-H3)/StartPeakd1</f>
        <v>0.41055115377393142</v>
      </c>
      <c r="M3" s="134">
        <f>-J3/12</f>
        <v>1</v>
      </c>
      <c r="N3" s="77">
        <f>K3/12</f>
        <v>0</v>
      </c>
      <c r="O3" s="77">
        <f>L3*((M3*3)+(N3*1))</f>
        <v>1.2316534613217942</v>
      </c>
      <c r="P3" s="141"/>
      <c r="Q3" s="141"/>
    </row>
    <row r="4" spans="1:17" x14ac:dyDescent="0.3">
      <c r="A4" s="137"/>
      <c r="B4" s="79">
        <v>2</v>
      </c>
      <c r="C4" s="77">
        <f>MAX(peakd2)</f>
        <v>3.239753662</v>
      </c>
      <c r="D4" s="80">
        <f>(SUM(peakd2)-12)/COUNTA(peakd2)</f>
        <v>1.919738196454545</v>
      </c>
      <c r="E4" s="150">
        <f t="shared" ref="E4:E9" si="1">(12/I4)+(25/100)</f>
        <v>0.49321377091729079</v>
      </c>
      <c r="F4" s="80">
        <v>1</v>
      </c>
      <c r="G4" s="77">
        <f>MAX(peakd2)</f>
        <v>3.239753662</v>
      </c>
      <c r="H4" s="75">
        <f>MAX(newPeakd2)</f>
        <v>1.9197381964545506</v>
      </c>
      <c r="I4" s="75">
        <f>SUM(chargingSolard2)</f>
        <v>49.339311481999992</v>
      </c>
      <c r="J4" s="77">
        <f>SUM(solarCharged2)</f>
        <v>-12</v>
      </c>
      <c r="K4" s="77">
        <f>SUM(gridTopUpd2)</f>
        <v>0</v>
      </c>
      <c r="L4" s="134">
        <f t="shared" si="0"/>
        <v>0.40651938684098082</v>
      </c>
      <c r="M4" s="134">
        <f t="shared" ref="M4:M9" si="2">-J4/12</f>
        <v>1</v>
      </c>
      <c r="N4" s="77">
        <f t="shared" ref="N4:N9" si="3">K4/12</f>
        <v>0</v>
      </c>
      <c r="O4" s="77">
        <f t="shared" ref="O4:O9" si="4">L4*((M4*3)+(N4*1))</f>
        <v>1.2195581605229424</v>
      </c>
      <c r="P4" s="141"/>
      <c r="Q4" s="141"/>
    </row>
    <row r="5" spans="1:17" x14ac:dyDescent="0.3">
      <c r="A5" s="137"/>
      <c r="B5" s="79">
        <v>3</v>
      </c>
      <c r="C5" s="77">
        <f>MAX(peakd3)</f>
        <v>3.1615813880000001</v>
      </c>
      <c r="D5" s="80">
        <f>(SUM(peakd2)-12)/COUNTA(peakd3)</f>
        <v>1.919738196454545</v>
      </c>
      <c r="E5" s="150">
        <f t="shared" si="1"/>
        <v>0.48323886467242561</v>
      </c>
      <c r="F5" s="80">
        <v>1</v>
      </c>
      <c r="G5" s="77">
        <f>MAX(peakd3)</f>
        <v>3.1615813880000001</v>
      </c>
      <c r="H5" s="75">
        <f>MAX(newPeakd3)</f>
        <v>1.9066965960909088</v>
      </c>
      <c r="I5" s="75">
        <f>SUM(chargingSolard3)</f>
        <v>51.449401526000003</v>
      </c>
      <c r="J5" s="77">
        <f>SUM(solarCharged3)</f>
        <v>-12</v>
      </c>
      <c r="K5" s="77">
        <f>SUM(gridTopUpd3)</f>
        <v>0</v>
      </c>
      <c r="L5" s="134">
        <f t="shared" si="0"/>
        <v>0.41055115377393214</v>
      </c>
      <c r="M5" s="134">
        <f t="shared" si="2"/>
        <v>1</v>
      </c>
      <c r="N5" s="77">
        <f t="shared" si="3"/>
        <v>0</v>
      </c>
      <c r="O5" s="77">
        <f t="shared" si="4"/>
        <v>1.2316534613217964</v>
      </c>
      <c r="P5" s="141"/>
      <c r="Q5" s="141"/>
    </row>
    <row r="6" spans="1:17" x14ac:dyDescent="0.3">
      <c r="A6" s="137"/>
      <c r="B6" s="79">
        <v>4</v>
      </c>
      <c r="C6" s="77">
        <f>MAX(peakd4)</f>
        <v>3.1236041910000001</v>
      </c>
      <c r="D6" s="80">
        <f>(SUM(peakd3)-12)/COUNTA(peakd3)</f>
        <v>1.8914588093636366</v>
      </c>
      <c r="E6" s="150">
        <f t="shared" si="1"/>
        <v>0.52138546593488977</v>
      </c>
      <c r="F6" s="80">
        <v>1</v>
      </c>
      <c r="G6" s="77">
        <f>MAX(peakd4)*1.1</f>
        <v>3.4359646101000005</v>
      </c>
      <c r="H6" s="75">
        <f>MAX(newPeakd4)</f>
        <v>1.9066965960909088</v>
      </c>
      <c r="I6" s="75">
        <f>SUM(chargingSolard4)</f>
        <v>44.217548491999992</v>
      </c>
      <c r="J6" s="77">
        <f>SUM(solarCharged4)</f>
        <v>-12</v>
      </c>
      <c r="K6" s="77">
        <f>SUM(gridTopUpd4)</f>
        <v>0</v>
      </c>
      <c r="L6" s="134">
        <f t="shared" si="0"/>
        <v>0.41055115377393214</v>
      </c>
      <c r="M6" s="134">
        <f t="shared" si="2"/>
        <v>1</v>
      </c>
      <c r="N6" s="77">
        <f t="shared" si="3"/>
        <v>0</v>
      </c>
      <c r="O6" s="77">
        <f t="shared" si="4"/>
        <v>1.2316534613217964</v>
      </c>
      <c r="P6" s="141"/>
      <c r="Q6" s="141"/>
    </row>
    <row r="7" spans="1:17" x14ac:dyDescent="0.3">
      <c r="A7" s="137"/>
      <c r="B7" s="79">
        <v>5</v>
      </c>
      <c r="C7" s="77">
        <f>MAX(peakd5)</f>
        <v>3.073930759</v>
      </c>
      <c r="D7" s="80">
        <f>(SUM(peakd4)-12)/COUNTA(peakd4)</f>
        <v>1.855375937</v>
      </c>
      <c r="E7" s="150">
        <f t="shared" si="1"/>
        <v>0.65306134443464847</v>
      </c>
      <c r="F7" s="80">
        <v>1</v>
      </c>
      <c r="G7" s="77">
        <f>MAX(peakd5)*1.25</f>
        <v>3.8424134487499999</v>
      </c>
      <c r="H7" s="75">
        <f>MAX(newPeakd5)</f>
        <v>1.9066965960909088</v>
      </c>
      <c r="I7" s="75">
        <f>SUM(chargingSolard5)</f>
        <v>29.772143038999992</v>
      </c>
      <c r="J7" s="77">
        <f>SUM(solarCharged5)</f>
        <v>-12</v>
      </c>
      <c r="K7" s="77">
        <f>SUM(gridTopUpd5)</f>
        <v>0</v>
      </c>
      <c r="L7" s="134">
        <f t="shared" si="0"/>
        <v>0.41055115377393214</v>
      </c>
      <c r="M7" s="134">
        <f t="shared" si="2"/>
        <v>1</v>
      </c>
      <c r="N7" s="77">
        <f t="shared" si="3"/>
        <v>0</v>
      </c>
      <c r="O7" s="77">
        <f t="shared" si="4"/>
        <v>1.2316534613217964</v>
      </c>
      <c r="P7" s="141"/>
      <c r="Q7" s="141"/>
    </row>
    <row r="8" spans="1:17" x14ac:dyDescent="0.3">
      <c r="A8" s="137"/>
      <c r="B8" s="79">
        <v>6</v>
      </c>
      <c r="C8" s="77">
        <f>MAX(peakd6)</f>
        <v>3.163495406</v>
      </c>
      <c r="D8" s="80">
        <f>(SUM(peakd5)-12)/COUNTA(peakd5)</f>
        <v>1.8033711687272729</v>
      </c>
      <c r="E8" s="150">
        <f t="shared" si="1"/>
        <v>0.6457779588352881</v>
      </c>
      <c r="F8" s="80">
        <v>1</v>
      </c>
      <c r="G8" s="77">
        <f>MAX(peakd6)*1.25</f>
        <v>3.9543692574999998</v>
      </c>
      <c r="H8" s="75">
        <f>MAX(newPeakd6)</f>
        <v>1.9066965960909088</v>
      </c>
      <c r="I8" s="75">
        <f>SUM(chargingSolard6)</f>
        <v>30.320031047999997</v>
      </c>
      <c r="J8" s="77">
        <f>SUM(solarCharged6)</f>
        <v>-12</v>
      </c>
      <c r="K8" s="77">
        <f>SUM(gridTopUpd6)</f>
        <v>0</v>
      </c>
      <c r="L8" s="134">
        <f t="shared" si="0"/>
        <v>0.41055115377393214</v>
      </c>
      <c r="M8" s="134">
        <f t="shared" si="2"/>
        <v>1</v>
      </c>
      <c r="N8" s="77">
        <f t="shared" si="3"/>
        <v>0</v>
      </c>
      <c r="O8" s="77">
        <f t="shared" si="4"/>
        <v>1.2316534613217964</v>
      </c>
      <c r="P8" s="141"/>
      <c r="Q8" s="141"/>
    </row>
    <row r="9" spans="1:17" x14ac:dyDescent="0.3">
      <c r="A9" s="137"/>
      <c r="B9" s="79">
        <v>7</v>
      </c>
      <c r="C9" s="77">
        <f>MAX(peakd7)</f>
        <v>3.1953945309999998</v>
      </c>
      <c r="D9" s="80">
        <f>(SUM(peakd6)-12)/COUNTA(peakd6)</f>
        <v>1.8360169815454548</v>
      </c>
      <c r="E9" s="150">
        <f t="shared" si="1"/>
        <v>0.66557962617854471</v>
      </c>
      <c r="F9" s="80">
        <v>1</v>
      </c>
      <c r="G9" s="77">
        <f>MAX(peakd7)*1.25</f>
        <v>3.9942431637499998</v>
      </c>
      <c r="H9" s="75">
        <f>MAX(newPeakd7)</f>
        <v>1.9066965960909088</v>
      </c>
      <c r="I9" s="75">
        <f>SUM(chargingSolard7)</f>
        <v>28.875332773999997</v>
      </c>
      <c r="J9" s="77">
        <f>SUM(solarCharged7)</f>
        <v>-12</v>
      </c>
      <c r="K9" s="77">
        <f>SUM(gridTopUpd7)</f>
        <v>0</v>
      </c>
      <c r="L9" s="134">
        <f t="shared" si="0"/>
        <v>0.41055115377393214</v>
      </c>
      <c r="M9" s="134">
        <f t="shared" si="2"/>
        <v>1</v>
      </c>
      <c r="N9" s="134">
        <f t="shared" si="3"/>
        <v>0</v>
      </c>
      <c r="O9" s="77">
        <f t="shared" si="4"/>
        <v>1.2316534613217964</v>
      </c>
      <c r="P9" s="141"/>
      <c r="Q9" s="141"/>
    </row>
    <row r="10" spans="1:17" x14ac:dyDescent="0.3">
      <c r="A10" s="137"/>
      <c r="B10" s="137"/>
      <c r="C10" s="154" t="s">
        <v>13</v>
      </c>
      <c r="D10" s="153" t="s">
        <v>39</v>
      </c>
      <c r="E10" s="138"/>
      <c r="F10" s="136"/>
      <c r="G10" s="139"/>
      <c r="H10" s="139"/>
      <c r="I10" s="140"/>
      <c r="J10" s="140"/>
      <c r="K10" s="140"/>
      <c r="L10" s="139"/>
      <c r="M10" s="139"/>
      <c r="N10" s="149" t="s">
        <v>37</v>
      </c>
      <c r="O10" s="149">
        <f>SUM(O3:O9)</f>
        <v>8.6094789284537185</v>
      </c>
    </row>
    <row r="11" spans="1:17" x14ac:dyDescent="0.3">
      <c r="A11" s="137"/>
      <c r="B11" s="137"/>
      <c r="C11" s="136"/>
      <c r="D11" s="153" t="s">
        <v>40</v>
      </c>
      <c r="E11" s="138"/>
      <c r="F11" s="136"/>
      <c r="G11" s="139"/>
      <c r="H11" s="139"/>
      <c r="I11" s="140"/>
      <c r="J11" s="140"/>
      <c r="K11" s="140"/>
      <c r="L11" s="139"/>
      <c r="M11" s="139"/>
      <c r="N11" s="149"/>
      <c r="O11" s="149"/>
    </row>
    <row r="12" spans="1:17" x14ac:dyDescent="0.3">
      <c r="A12" s="137"/>
      <c r="B12" s="137"/>
      <c r="C12" s="136"/>
      <c r="D12" s="153" t="s">
        <v>42</v>
      </c>
      <c r="E12" s="138"/>
      <c r="F12" s="136"/>
      <c r="G12" s="139"/>
      <c r="H12" s="139"/>
      <c r="I12" s="140"/>
      <c r="J12" s="140"/>
      <c r="K12" s="140"/>
      <c r="L12" s="139"/>
      <c r="M12" s="139"/>
      <c r="N12" s="141"/>
      <c r="O12" s="141"/>
    </row>
    <row r="13" spans="1:17" x14ac:dyDescent="0.3">
      <c r="A13" s="137"/>
      <c r="B13" s="137"/>
      <c r="C13" s="136"/>
      <c r="D13" s="153" t="s">
        <v>43</v>
      </c>
      <c r="E13" s="138"/>
      <c r="F13" s="136"/>
      <c r="G13" s="139"/>
      <c r="H13" s="139"/>
      <c r="I13" s="140"/>
      <c r="J13" s="140"/>
      <c r="K13" s="140"/>
      <c r="L13" s="139"/>
      <c r="M13" s="139"/>
      <c r="N13" s="141"/>
      <c r="O13" s="141"/>
    </row>
    <row r="14" spans="1:17" s="2" customFormat="1" x14ac:dyDescent="0.3">
      <c r="A14" s="142" t="s">
        <v>7</v>
      </c>
      <c r="B14" s="142" t="s">
        <v>11</v>
      </c>
      <c r="C14" s="142" t="s">
        <v>0</v>
      </c>
      <c r="D14" s="143" t="s">
        <v>1</v>
      </c>
      <c r="E14" s="144" t="s">
        <v>10</v>
      </c>
      <c r="F14" s="142" t="s">
        <v>38</v>
      </c>
      <c r="G14" s="145" t="s">
        <v>44</v>
      </c>
      <c r="H14" s="145" t="s">
        <v>2</v>
      </c>
      <c r="I14" s="146" t="s">
        <v>4</v>
      </c>
      <c r="J14" s="146" t="s">
        <v>3</v>
      </c>
      <c r="K14" s="146" t="s">
        <v>21</v>
      </c>
      <c r="L14" s="145" t="s">
        <v>5</v>
      </c>
      <c r="M14" s="145" t="s">
        <v>6</v>
      </c>
      <c r="N14" s="142" t="s">
        <v>8</v>
      </c>
      <c r="O14" s="142" t="s">
        <v>9</v>
      </c>
    </row>
    <row r="15" spans="1:17" x14ac:dyDescent="0.3">
      <c r="A15" s="35">
        <v>1</v>
      </c>
      <c r="B15" s="35">
        <v>1</v>
      </c>
      <c r="C15" s="14">
        <v>43304</v>
      </c>
      <c r="D15" s="18">
        <v>1.698212598</v>
      </c>
      <c r="E15" s="19">
        <f t="shared" ref="E15:E78" si="5">D15-J15-I15</f>
        <v>1.698212598</v>
      </c>
      <c r="F15" s="16">
        <v>1.831472E-3</v>
      </c>
      <c r="G15" s="10">
        <f>-SUM(I15,J15,K15)</f>
        <v>0</v>
      </c>
      <c r="H15" s="10">
        <v>0</v>
      </c>
      <c r="I15" s="73">
        <v>0</v>
      </c>
      <c r="J15" s="9">
        <v>0</v>
      </c>
      <c r="K15" s="9">
        <f t="shared" ref="K15:K78" si="6">IF(A15&lt;&gt;31,0,-2*((6-H14+((J15*0.5)))))</f>
        <v>0</v>
      </c>
      <c r="L15" s="9">
        <f t="shared" ref="L15:L45" si="7">MIN(J15,F15)</f>
        <v>0</v>
      </c>
      <c r="M15" s="9">
        <f>J15-L15</f>
        <v>0</v>
      </c>
      <c r="N15" s="8">
        <v>-2.5</v>
      </c>
      <c r="O15" s="8">
        <v>0</v>
      </c>
      <c r="P15" s="2"/>
      <c r="Q15" s="82" t="s">
        <v>13</v>
      </c>
    </row>
    <row r="16" spans="1:17" x14ac:dyDescent="0.3">
      <c r="A16" s="35">
        <f>A15+1</f>
        <v>2</v>
      </c>
      <c r="B16" s="35">
        <v>1</v>
      </c>
      <c r="C16" s="14">
        <v>43304.020833333336</v>
      </c>
      <c r="D16" s="18">
        <v>1.6298786409999999</v>
      </c>
      <c r="E16" s="19">
        <f t="shared" si="5"/>
        <v>1.6298786409999999</v>
      </c>
      <c r="F16" s="16">
        <v>1.831472E-3</v>
      </c>
      <c r="G16" s="10">
        <f t="shared" ref="G16:G79" si="8">-SUM(I16,J16,K16)</f>
        <v>0</v>
      </c>
      <c r="H16" s="10">
        <f>H15+((G16*0.5))</f>
        <v>0</v>
      </c>
      <c r="I16" s="73">
        <f t="shared" ref="I16:I62" si="9">MAX(0,MIN(O16,H15*2,(D16-targetPeakd1)))</f>
        <v>0</v>
      </c>
      <c r="J16" s="9">
        <f>IF(F16&gt;VLOOKUP($B$16,$B$2:$F$9,5,FALSE),MAX(N16,-F16*(VLOOKUP(B16,$B$2:$E$9,4,FALSE)),-2*(6-H15),-(VLOOKUP(B16,$B$2:$G$9,6,FALSE)-D16)),0)</f>
        <v>0</v>
      </c>
      <c r="K16" s="9">
        <f t="shared" si="6"/>
        <v>0</v>
      </c>
      <c r="L16" s="9">
        <f t="shared" si="7"/>
        <v>0</v>
      </c>
      <c r="M16" s="9">
        <f t="shared" ref="M16:M62" si="10">J16-L16</f>
        <v>0</v>
      </c>
      <c r="N16" s="8">
        <v>-2.5</v>
      </c>
      <c r="O16" s="8">
        <v>0</v>
      </c>
      <c r="P16" s="2"/>
      <c r="Q16" s="81" t="s">
        <v>22</v>
      </c>
    </row>
    <row r="17" spans="1:23" x14ac:dyDescent="0.3">
      <c r="A17" s="35">
        <f t="shared" ref="A17:A62" si="11">A16+1</f>
        <v>3</v>
      </c>
      <c r="B17" s="35">
        <v>1</v>
      </c>
      <c r="C17" s="14">
        <v>43304.041666666664</v>
      </c>
      <c r="D17" s="18">
        <v>1.553648683</v>
      </c>
      <c r="E17" s="19">
        <f t="shared" si="5"/>
        <v>1.553648683</v>
      </c>
      <c r="F17" s="16">
        <v>1.831472E-3</v>
      </c>
      <c r="G17" s="10">
        <f t="shared" si="8"/>
        <v>0</v>
      </c>
      <c r="H17" s="10">
        <f t="shared" ref="H17:H80" si="12">H16+((G17*0.5))</f>
        <v>0</v>
      </c>
      <c r="I17" s="73">
        <f t="shared" si="9"/>
        <v>0</v>
      </c>
      <c r="J17" s="9">
        <f>IF(F17&gt;VLOOKUP($B$16,$B$2:$F$9,5,FALSE),MAX(N17,-F17*(VLOOKUP(B17,$B$2:$E$9,4,FALSE)),-2*(6-H16),-(VLOOKUP(B17,$B$2:$G$9,6,FALSE)-D17)),0)</f>
        <v>0</v>
      </c>
      <c r="K17" s="9">
        <f t="shared" si="6"/>
        <v>0</v>
      </c>
      <c r="L17" s="9">
        <f t="shared" si="7"/>
        <v>0</v>
      </c>
      <c r="M17" s="9">
        <f t="shared" si="10"/>
        <v>0</v>
      </c>
      <c r="N17" s="8">
        <v>-2.5</v>
      </c>
      <c r="O17" s="8">
        <v>0</v>
      </c>
      <c r="P17" s="2"/>
      <c r="Q17" s="95" t="s">
        <v>16</v>
      </c>
    </row>
    <row r="18" spans="1:23" x14ac:dyDescent="0.3">
      <c r="A18" s="35">
        <f t="shared" si="11"/>
        <v>4</v>
      </c>
      <c r="B18" s="35">
        <v>1</v>
      </c>
      <c r="C18" s="14">
        <v>43304.0625</v>
      </c>
      <c r="D18" s="18">
        <v>1.5157839040000001</v>
      </c>
      <c r="E18" s="19">
        <f t="shared" si="5"/>
        <v>1.5157839040000001</v>
      </c>
      <c r="F18" s="16">
        <v>1.831472E-3</v>
      </c>
      <c r="G18" s="10">
        <f t="shared" si="8"/>
        <v>0</v>
      </c>
      <c r="H18" s="10">
        <f t="shared" si="12"/>
        <v>0</v>
      </c>
      <c r="I18" s="73">
        <f t="shared" si="9"/>
        <v>0</v>
      </c>
      <c r="J18" s="9">
        <f>IF(F18&gt;VLOOKUP($B$16,$B$2:$F$9,5,FALSE),MAX(N18,-F18*(VLOOKUP(B18,$B$2:$E$9,4,FALSE)),-2*(6-H17),-(VLOOKUP(B18,$B$2:$G$9,6,FALSE)-D18)),0)</f>
        <v>0</v>
      </c>
      <c r="K18" s="9">
        <f t="shared" si="6"/>
        <v>0</v>
      </c>
      <c r="L18" s="9">
        <f t="shared" si="7"/>
        <v>0</v>
      </c>
      <c r="M18" s="9">
        <f t="shared" si="10"/>
        <v>0</v>
      </c>
      <c r="N18" s="8">
        <v>-2.5</v>
      </c>
      <c r="O18" s="8">
        <v>0</v>
      </c>
      <c r="P18" s="2"/>
      <c r="Q18" s="2" t="s">
        <v>17</v>
      </c>
    </row>
    <row r="19" spans="1:23" x14ac:dyDescent="0.3">
      <c r="A19" s="35">
        <f t="shared" si="11"/>
        <v>5</v>
      </c>
      <c r="B19" s="35">
        <v>1</v>
      </c>
      <c r="C19" s="14">
        <v>43304.083333333336</v>
      </c>
      <c r="D19" s="18">
        <v>1.507427689</v>
      </c>
      <c r="E19" s="19">
        <f t="shared" si="5"/>
        <v>1.507427689</v>
      </c>
      <c r="F19" s="16">
        <v>1.831472E-3</v>
      </c>
      <c r="G19" s="10">
        <f t="shared" si="8"/>
        <v>0</v>
      </c>
      <c r="H19" s="10">
        <f t="shared" si="12"/>
        <v>0</v>
      </c>
      <c r="I19" s="73">
        <f t="shared" si="9"/>
        <v>0</v>
      </c>
      <c r="J19" s="9">
        <f>IF(F19&gt;VLOOKUP($B$16,$B$2:$F$9,5,FALSE),MAX(N19,-F19*(VLOOKUP(B19,$B$2:$E$9,4,FALSE)),-2*(6-H18),-(VLOOKUP(B19,$B$2:$G$9,6,FALSE)-D19)),0)</f>
        <v>0</v>
      </c>
      <c r="K19" s="9">
        <f t="shared" si="6"/>
        <v>0</v>
      </c>
      <c r="L19" s="9">
        <f t="shared" si="7"/>
        <v>0</v>
      </c>
      <c r="M19" s="9">
        <f t="shared" si="10"/>
        <v>0</v>
      </c>
      <c r="N19" s="8">
        <v>-2.5</v>
      </c>
      <c r="O19" s="8">
        <v>0</v>
      </c>
      <c r="P19" s="2"/>
      <c r="Q19" s="2" t="s">
        <v>29</v>
      </c>
    </row>
    <row r="20" spans="1:23" x14ac:dyDescent="0.3">
      <c r="A20" s="35">
        <f t="shared" si="11"/>
        <v>6</v>
      </c>
      <c r="B20" s="35">
        <v>1</v>
      </c>
      <c r="C20" s="14">
        <v>43304.104166666664</v>
      </c>
      <c r="D20" s="18">
        <v>1.4756327119999999</v>
      </c>
      <c r="E20" s="19">
        <f t="shared" si="5"/>
        <v>1.4756327119999999</v>
      </c>
      <c r="F20" s="16">
        <v>1.831472E-3</v>
      </c>
      <c r="G20" s="10">
        <f t="shared" si="8"/>
        <v>0</v>
      </c>
      <c r="H20" s="10">
        <f t="shared" si="12"/>
        <v>0</v>
      </c>
      <c r="I20" s="73">
        <f t="shared" si="9"/>
        <v>0</v>
      </c>
      <c r="J20" s="9">
        <f>IF(F20&gt;VLOOKUP($B$16,$B$2:$F$9,5,FALSE),MAX(N20,-F20*(VLOOKUP(B20,$B$2:$E$9,4,FALSE)),-2*(6-H19),-(VLOOKUP(B20,$B$2:$G$9,6,FALSE)-D20)),0)</f>
        <v>0</v>
      </c>
      <c r="K20" s="9">
        <f t="shared" si="6"/>
        <v>0</v>
      </c>
      <c r="L20" s="9">
        <f t="shared" si="7"/>
        <v>0</v>
      </c>
      <c r="M20" s="9">
        <f t="shared" si="10"/>
        <v>0</v>
      </c>
      <c r="N20" s="8">
        <v>-2.5</v>
      </c>
      <c r="O20" s="8">
        <v>0</v>
      </c>
      <c r="P20" s="2"/>
    </row>
    <row r="21" spans="1:23" x14ac:dyDescent="0.3">
      <c r="A21" s="35">
        <f t="shared" si="11"/>
        <v>7</v>
      </c>
      <c r="B21" s="35">
        <v>1</v>
      </c>
      <c r="C21" s="14">
        <v>43304.125</v>
      </c>
      <c r="D21" s="18">
        <v>1.469025515</v>
      </c>
      <c r="E21" s="19">
        <f t="shared" si="5"/>
        <v>1.469025515</v>
      </c>
      <c r="F21" s="16">
        <v>1.831472E-3</v>
      </c>
      <c r="G21" s="10">
        <f t="shared" si="8"/>
        <v>0</v>
      </c>
      <c r="H21" s="10">
        <f t="shared" si="12"/>
        <v>0</v>
      </c>
      <c r="I21" s="73">
        <f t="shared" si="9"/>
        <v>0</v>
      </c>
      <c r="J21" s="9">
        <f>IF(F21&gt;VLOOKUP($B$16,$B$2:$F$9,5,FALSE),MAX(N21,-F21*(VLOOKUP(B21,$B$2:$E$9,4,FALSE)),-2*(6-H20),-(VLOOKUP(B21,$B$2:$G$9,6,FALSE)-D21)),0)</f>
        <v>0</v>
      </c>
      <c r="K21" s="9">
        <f t="shared" si="6"/>
        <v>0</v>
      </c>
      <c r="L21" s="9">
        <f t="shared" si="7"/>
        <v>0</v>
      </c>
      <c r="M21" s="9">
        <f t="shared" si="10"/>
        <v>0</v>
      </c>
      <c r="N21" s="8">
        <v>-2.5</v>
      </c>
      <c r="O21" s="8">
        <v>0</v>
      </c>
      <c r="P21" s="2"/>
    </row>
    <row r="22" spans="1:23" x14ac:dyDescent="0.3">
      <c r="A22" s="35">
        <f t="shared" si="11"/>
        <v>8</v>
      </c>
      <c r="B22" s="35">
        <v>1</v>
      </c>
      <c r="C22" s="14">
        <v>43304.145833333336</v>
      </c>
      <c r="D22" s="18">
        <v>1.439907072</v>
      </c>
      <c r="E22" s="19">
        <f t="shared" si="5"/>
        <v>1.439907072</v>
      </c>
      <c r="F22" s="16">
        <v>1.831472E-3</v>
      </c>
      <c r="G22" s="10">
        <f t="shared" si="8"/>
        <v>0</v>
      </c>
      <c r="H22" s="10">
        <f t="shared" si="12"/>
        <v>0</v>
      </c>
      <c r="I22" s="73">
        <f t="shared" si="9"/>
        <v>0</v>
      </c>
      <c r="J22" s="9">
        <f>IF(F22&gt;VLOOKUP($B$16,$B$2:$F$9,5,FALSE),MAX(N22,-F22*(VLOOKUP(B22,$B$2:$E$9,4,FALSE)),-2*(6-H21),-(VLOOKUP(B22,$B$2:$G$9,6,FALSE)-D22)),0)</f>
        <v>0</v>
      </c>
      <c r="K22" s="9">
        <f t="shared" si="6"/>
        <v>0</v>
      </c>
      <c r="L22" s="9">
        <f t="shared" si="7"/>
        <v>0</v>
      </c>
      <c r="M22" s="9">
        <f t="shared" si="10"/>
        <v>0</v>
      </c>
      <c r="N22" s="8">
        <v>-2.5</v>
      </c>
      <c r="O22" s="8">
        <v>0</v>
      </c>
      <c r="P22" s="2"/>
    </row>
    <row r="23" spans="1:23" x14ac:dyDescent="0.3">
      <c r="A23" s="35">
        <f t="shared" si="11"/>
        <v>9</v>
      </c>
      <c r="B23" s="35">
        <v>1</v>
      </c>
      <c r="C23" s="14">
        <v>43304.166666666664</v>
      </c>
      <c r="D23" s="18">
        <v>1.5209820009999999</v>
      </c>
      <c r="E23" s="19">
        <f t="shared" si="5"/>
        <v>1.5209820009999999</v>
      </c>
      <c r="F23" s="16">
        <v>1.431644E-2</v>
      </c>
      <c r="G23" s="10">
        <f t="shared" si="8"/>
        <v>0</v>
      </c>
      <c r="H23" s="10">
        <f t="shared" si="12"/>
        <v>0</v>
      </c>
      <c r="I23" s="73">
        <f t="shared" si="9"/>
        <v>0</v>
      </c>
      <c r="J23" s="9">
        <f>IF(F23&gt;VLOOKUP($B$16,$B$2:$F$9,5,FALSE),MAX(N23,-F23*(VLOOKUP(B23,$B$2:$E$9,4,FALSE)),-2*(6-H22),-(VLOOKUP(B23,$B$2:$G$9,6,FALSE)-D23)),0)</f>
        <v>0</v>
      </c>
      <c r="K23" s="9">
        <f t="shared" si="6"/>
        <v>0</v>
      </c>
      <c r="L23" s="9">
        <f t="shared" si="7"/>
        <v>0</v>
      </c>
      <c r="M23" s="9">
        <f t="shared" si="10"/>
        <v>0</v>
      </c>
      <c r="N23" s="8">
        <v>-2.5</v>
      </c>
      <c r="O23" s="8">
        <v>0</v>
      </c>
      <c r="P23" s="2"/>
    </row>
    <row r="24" spans="1:23" x14ac:dyDescent="0.3">
      <c r="A24" s="35">
        <f t="shared" si="11"/>
        <v>10</v>
      </c>
      <c r="B24" s="35">
        <v>1</v>
      </c>
      <c r="C24" s="14">
        <v>43304.1875</v>
      </c>
      <c r="D24" s="18">
        <v>1.6528150150000001</v>
      </c>
      <c r="E24" s="19">
        <f t="shared" si="5"/>
        <v>1.6528150150000001</v>
      </c>
      <c r="F24" s="16">
        <v>1.431644E-2</v>
      </c>
      <c r="G24" s="10">
        <f t="shared" si="8"/>
        <v>0</v>
      </c>
      <c r="H24" s="10">
        <f t="shared" si="12"/>
        <v>0</v>
      </c>
      <c r="I24" s="73">
        <f t="shared" si="9"/>
        <v>0</v>
      </c>
      <c r="J24" s="9">
        <f>IF(F24&gt;VLOOKUP($B$16,$B$2:$F$9,5,FALSE),MAX(N24,-F24*(VLOOKUP(B24,$B$2:$E$9,4,FALSE)),-2*(6-H23),-(VLOOKUP(B24,$B$2:$G$9,6,FALSE)-D24)),0)</f>
        <v>0</v>
      </c>
      <c r="K24" s="9">
        <f t="shared" si="6"/>
        <v>0</v>
      </c>
      <c r="L24" s="9">
        <f t="shared" si="7"/>
        <v>0</v>
      </c>
      <c r="M24" s="9">
        <f t="shared" si="10"/>
        <v>0</v>
      </c>
      <c r="N24" s="8">
        <v>-2.5</v>
      </c>
      <c r="O24" s="8">
        <v>0</v>
      </c>
      <c r="P24" s="2"/>
      <c r="Q24" s="2"/>
    </row>
    <row r="25" spans="1:23" x14ac:dyDescent="0.3">
      <c r="A25" s="35">
        <f t="shared" si="11"/>
        <v>11</v>
      </c>
      <c r="B25" s="35">
        <v>1</v>
      </c>
      <c r="C25" s="14">
        <v>43304.208333333336</v>
      </c>
      <c r="D25" s="18">
        <v>1.957061962</v>
      </c>
      <c r="E25" s="19">
        <f t="shared" si="5"/>
        <v>1.957061962</v>
      </c>
      <c r="F25" s="16">
        <v>0.23742648999999999</v>
      </c>
      <c r="G25" s="10">
        <f t="shared" si="8"/>
        <v>0</v>
      </c>
      <c r="H25" s="10">
        <f t="shared" si="12"/>
        <v>0</v>
      </c>
      <c r="I25" s="73">
        <f t="shared" si="9"/>
        <v>0</v>
      </c>
      <c r="J25" s="9">
        <f>IF(F25&gt;VLOOKUP($B$16,$B$2:$F$9,5,FALSE),MAX(N25,-F25*(VLOOKUP(B25,$B$2:$E$9,4,FALSE)),-2*(6-H24),-(VLOOKUP(B25,$B$2:$G$9,6,FALSE)-D25)),0)</f>
        <v>0</v>
      </c>
      <c r="K25" s="9">
        <f>IF(A25&lt;&gt;31,0,-2*((6-H24+((J25*0.5)))))</f>
        <v>0</v>
      </c>
      <c r="L25" s="9">
        <f>MIN(J25,F25)</f>
        <v>0</v>
      </c>
      <c r="M25" s="9">
        <f t="shared" si="10"/>
        <v>0</v>
      </c>
      <c r="N25" s="8">
        <v>-2.5</v>
      </c>
      <c r="O25" s="8">
        <v>0</v>
      </c>
      <c r="P25" s="2"/>
      <c r="Q25" s="2"/>
    </row>
    <row r="26" spans="1:23" x14ac:dyDescent="0.3">
      <c r="A26" s="35">
        <f t="shared" si="11"/>
        <v>12</v>
      </c>
      <c r="B26" s="35">
        <v>1</v>
      </c>
      <c r="C26" s="14">
        <v>43304.229166666664</v>
      </c>
      <c r="D26" s="18">
        <v>2.228058705</v>
      </c>
      <c r="E26" s="19">
        <f t="shared" si="5"/>
        <v>2.228058705</v>
      </c>
      <c r="F26" s="16">
        <v>0.23742648999999999</v>
      </c>
      <c r="G26" s="10">
        <f t="shared" si="8"/>
        <v>0</v>
      </c>
      <c r="H26" s="10">
        <f t="shared" si="12"/>
        <v>0</v>
      </c>
      <c r="I26" s="73">
        <f t="shared" si="9"/>
        <v>0</v>
      </c>
      <c r="J26" s="9">
        <f>IF(F26&gt;VLOOKUP($B$16,$B$2:$F$9,5,FALSE),MAX(N26,-F26*(VLOOKUP(B26,$B$2:$E$9,4,FALSE)),-2*(6-H25),-(VLOOKUP(B26,$B$2:$G$9,6,FALSE)-D26)),0)</f>
        <v>0</v>
      </c>
      <c r="K26" s="9">
        <f t="shared" si="6"/>
        <v>0</v>
      </c>
      <c r="L26" s="9">
        <f t="shared" si="7"/>
        <v>0</v>
      </c>
      <c r="M26" s="9">
        <f t="shared" si="10"/>
        <v>0</v>
      </c>
      <c r="N26" s="8">
        <v>-2.5</v>
      </c>
      <c r="O26" s="8">
        <v>0</v>
      </c>
      <c r="P26" s="2"/>
      <c r="Q26" s="2"/>
    </row>
    <row r="27" spans="1:23" x14ac:dyDescent="0.3">
      <c r="A27" s="35">
        <f t="shared" si="11"/>
        <v>13</v>
      </c>
      <c r="B27" s="35">
        <v>1</v>
      </c>
      <c r="C27" s="14">
        <v>43304.25</v>
      </c>
      <c r="D27" s="18">
        <v>2.61416001</v>
      </c>
      <c r="E27" s="19">
        <f t="shared" si="5"/>
        <v>2.61416001</v>
      </c>
      <c r="F27" s="16">
        <v>0.53840911400000002</v>
      </c>
      <c r="G27" s="10">
        <f t="shared" si="8"/>
        <v>0</v>
      </c>
      <c r="H27" s="10">
        <f t="shared" si="12"/>
        <v>0</v>
      </c>
      <c r="I27" s="73">
        <f t="shared" si="9"/>
        <v>0</v>
      </c>
      <c r="J27" s="9">
        <f>IF(F27&gt;VLOOKUP($B$16,$B$2:$F$9,5,FALSE),MAX(N27,-F27*(VLOOKUP(B27,$B$2:$E$9,4,FALSE)),-2*(6-H26),-(VLOOKUP(B27,$B$2:$G$9,6,FALSE)-D27)),0)</f>
        <v>0</v>
      </c>
      <c r="K27" s="9">
        <f t="shared" si="6"/>
        <v>0</v>
      </c>
      <c r="L27" s="9">
        <f t="shared" si="7"/>
        <v>0</v>
      </c>
      <c r="M27" s="9">
        <f t="shared" si="10"/>
        <v>0</v>
      </c>
      <c r="N27" s="8">
        <v>-2.5</v>
      </c>
      <c r="O27" s="8">
        <v>0</v>
      </c>
      <c r="P27" s="2"/>
    </row>
    <row r="28" spans="1:23" x14ac:dyDescent="0.3">
      <c r="A28" s="35">
        <f t="shared" si="11"/>
        <v>14</v>
      </c>
      <c r="B28" s="35">
        <v>1</v>
      </c>
      <c r="C28" s="14">
        <v>43304.270833333336</v>
      </c>
      <c r="D28" s="18">
        <v>2.7672307479999998</v>
      </c>
      <c r="E28" s="19">
        <f t="shared" si="5"/>
        <v>2.7672307479999998</v>
      </c>
      <c r="F28" s="16">
        <v>0.76786124700000002</v>
      </c>
      <c r="G28" s="10">
        <f t="shared" si="8"/>
        <v>0</v>
      </c>
      <c r="H28" s="10">
        <f t="shared" si="12"/>
        <v>0</v>
      </c>
      <c r="I28" s="73">
        <f t="shared" si="9"/>
        <v>0</v>
      </c>
      <c r="J28" s="9">
        <f>IF(F28&gt;VLOOKUP($B$16,$B$2:$F$9,5,FALSE),MAX(N28,-F28*(VLOOKUP(B28,$B$2:$E$9,4,FALSE)),-2*(6-H27),-(VLOOKUP(B28,$B$2:$G$9,6,FALSE)-D28)),0)</f>
        <v>0</v>
      </c>
      <c r="K28" s="9">
        <f t="shared" si="6"/>
        <v>0</v>
      </c>
      <c r="L28" s="9">
        <f t="shared" si="7"/>
        <v>0</v>
      </c>
      <c r="M28" s="9">
        <f t="shared" si="10"/>
        <v>0</v>
      </c>
      <c r="N28" s="8">
        <v>-2.5</v>
      </c>
      <c r="O28" s="8">
        <v>0</v>
      </c>
      <c r="P28" s="2"/>
      <c r="Q28" s="2"/>
    </row>
    <row r="29" spans="1:23" x14ac:dyDescent="0.3">
      <c r="A29" s="35">
        <f t="shared" si="11"/>
        <v>15</v>
      </c>
      <c r="B29" s="35">
        <v>1</v>
      </c>
      <c r="C29" s="14">
        <v>43304.291666666664</v>
      </c>
      <c r="D29" s="18">
        <v>2.8303460660000002</v>
      </c>
      <c r="E29" s="19">
        <f t="shared" si="5"/>
        <v>3.2347108800000002</v>
      </c>
      <c r="F29" s="16">
        <v>1.2969576119999999</v>
      </c>
      <c r="G29" s="10">
        <f t="shared" si="8"/>
        <v>0.40436481400000002</v>
      </c>
      <c r="H29" s="10">
        <f t="shared" si="12"/>
        <v>0.20218240700000001</v>
      </c>
      <c r="I29" s="73">
        <f t="shared" si="9"/>
        <v>0</v>
      </c>
      <c r="J29" s="9">
        <f>IF(F29&gt;VLOOKUP($B$16,$B$2:$F$9,5,FALSE),MAX(N29,-F29*(VLOOKUP(B29,$B$2:$E$9,4,FALSE)),-2*(6-H28),-(VLOOKUP(B29,$B$2:$G$9,6,FALSE)-D29)),0)</f>
        <v>-0.40436481400000002</v>
      </c>
      <c r="K29" s="9">
        <f t="shared" si="6"/>
        <v>0</v>
      </c>
      <c r="L29" s="9">
        <f t="shared" si="7"/>
        <v>-0.40436481400000002</v>
      </c>
      <c r="M29" s="9">
        <f t="shared" si="10"/>
        <v>0</v>
      </c>
      <c r="N29" s="8">
        <v>-2.5</v>
      </c>
      <c r="O29" s="8">
        <v>0</v>
      </c>
      <c r="P29" s="2"/>
    </row>
    <row r="30" spans="1:23" x14ac:dyDescent="0.3">
      <c r="A30" s="35">
        <f t="shared" si="11"/>
        <v>16</v>
      </c>
      <c r="B30" s="35">
        <v>1</v>
      </c>
      <c r="C30" s="14">
        <v>43304.3125</v>
      </c>
      <c r="D30" s="18">
        <v>2.8193388599999998</v>
      </c>
      <c r="E30" s="19">
        <f t="shared" si="5"/>
        <v>3.2347108800000002</v>
      </c>
      <c r="F30" s="16">
        <v>1.4876036640000001</v>
      </c>
      <c r="G30" s="10">
        <f t="shared" si="8"/>
        <v>0.4153720200000004</v>
      </c>
      <c r="H30" s="10">
        <f t="shared" si="12"/>
        <v>0.40986841700000021</v>
      </c>
      <c r="I30" s="73">
        <f t="shared" si="9"/>
        <v>0</v>
      </c>
      <c r="J30" s="9">
        <f>IF(F30&gt;VLOOKUP($B$16,$B$2:$F$9,5,FALSE),MAX(N30,-F30*(VLOOKUP(B30,$B$2:$E$9,4,FALSE)),-2*(6-H29),-(VLOOKUP(B30,$B$2:$G$9,6,FALSE)-D30)),0)</f>
        <v>-0.4153720200000004</v>
      </c>
      <c r="K30" s="9">
        <f t="shared" si="6"/>
        <v>0</v>
      </c>
      <c r="L30" s="9">
        <f t="shared" si="7"/>
        <v>-0.4153720200000004</v>
      </c>
      <c r="M30" s="9">
        <f t="shared" si="10"/>
        <v>0</v>
      </c>
      <c r="N30" s="8">
        <v>-2.5</v>
      </c>
      <c r="O30" s="8">
        <v>0</v>
      </c>
      <c r="P30" s="2"/>
      <c r="Q30" s="78"/>
    </row>
    <row r="31" spans="1:23" x14ac:dyDescent="0.3">
      <c r="A31" s="35">
        <f t="shared" si="11"/>
        <v>17</v>
      </c>
      <c r="B31" s="35">
        <v>1</v>
      </c>
      <c r="C31" s="14">
        <v>43304.333333333336</v>
      </c>
      <c r="D31" s="18">
        <v>2.675355825</v>
      </c>
      <c r="E31" s="19">
        <f t="shared" si="5"/>
        <v>3.2347108800000002</v>
      </c>
      <c r="F31" s="16">
        <v>2.0629451269999999</v>
      </c>
      <c r="G31" s="10">
        <f t="shared" si="8"/>
        <v>0.55935505500000016</v>
      </c>
      <c r="H31" s="10">
        <f t="shared" si="12"/>
        <v>0.68954594450000029</v>
      </c>
      <c r="I31" s="73">
        <f t="shared" si="9"/>
        <v>0</v>
      </c>
      <c r="J31" s="9">
        <f>IF(F31&gt;VLOOKUP($B$16,$B$2:$F$9,5,FALSE),MAX(N31,-F31*(VLOOKUP(B31,$B$2:$E$9,4,FALSE)),-2*(6-H30),-(VLOOKUP(B31,$B$2:$G$9,6,FALSE)-D31)),0)</f>
        <v>-0.55935505500000016</v>
      </c>
      <c r="K31" s="9">
        <f t="shared" si="6"/>
        <v>0</v>
      </c>
      <c r="L31" s="9">
        <f t="shared" si="7"/>
        <v>-0.55935505500000016</v>
      </c>
      <c r="M31" s="9">
        <f t="shared" si="10"/>
        <v>0</v>
      </c>
      <c r="N31" s="8">
        <v>-2.5</v>
      </c>
      <c r="O31" s="8">
        <v>0</v>
      </c>
      <c r="P31" s="2"/>
      <c r="S31" s="96"/>
      <c r="T31" s="96"/>
      <c r="U31" s="96"/>
      <c r="V31" s="96"/>
      <c r="W31" s="96"/>
    </row>
    <row r="32" spans="1:23" x14ac:dyDescent="0.3">
      <c r="A32" s="35">
        <f t="shared" si="11"/>
        <v>18</v>
      </c>
      <c r="B32" s="35">
        <v>1</v>
      </c>
      <c r="C32" s="14">
        <v>43304.354166666664</v>
      </c>
      <c r="D32" s="18">
        <v>2.6399473499999999</v>
      </c>
      <c r="E32" s="19">
        <f t="shared" si="5"/>
        <v>3.2347108800000002</v>
      </c>
      <c r="F32" s="16">
        <v>2.236751318</v>
      </c>
      <c r="G32" s="10">
        <f t="shared" si="8"/>
        <v>0.59476353000000026</v>
      </c>
      <c r="H32" s="10">
        <f t="shared" si="12"/>
        <v>0.98692770950000042</v>
      </c>
      <c r="I32" s="73">
        <f t="shared" si="9"/>
        <v>0</v>
      </c>
      <c r="J32" s="9">
        <f>IF(F32&gt;VLOOKUP($B$16,$B$2:$F$9,5,FALSE),MAX(N32,-F32*(VLOOKUP(B32,$B$2:$E$9,4,FALSE)),-2*(6-H31),-(VLOOKUP(B32,$B$2:$G$9,6,FALSE)-D32)),0)</f>
        <v>-0.59476353000000026</v>
      </c>
      <c r="K32" s="9">
        <f t="shared" si="6"/>
        <v>0</v>
      </c>
      <c r="L32" s="9">
        <f t="shared" si="7"/>
        <v>-0.59476353000000026</v>
      </c>
      <c r="M32" s="9">
        <f t="shared" si="10"/>
        <v>0</v>
      </c>
      <c r="N32" s="8">
        <v>-2.5</v>
      </c>
      <c r="O32" s="8">
        <v>0</v>
      </c>
      <c r="P32" s="2"/>
    </row>
    <row r="33" spans="1:28" x14ac:dyDescent="0.3">
      <c r="A33" s="35">
        <f t="shared" si="11"/>
        <v>19</v>
      </c>
      <c r="B33" s="35">
        <v>1</v>
      </c>
      <c r="C33" s="14">
        <v>43304.375</v>
      </c>
      <c r="D33" s="18">
        <v>2.5525240789999999</v>
      </c>
      <c r="E33" s="19">
        <f t="shared" si="5"/>
        <v>3.2347108800000002</v>
      </c>
      <c r="F33" s="16">
        <v>2.550806761</v>
      </c>
      <c r="G33" s="10">
        <f t="shared" si="8"/>
        <v>0.68218680100000029</v>
      </c>
      <c r="H33" s="10">
        <f t="shared" si="12"/>
        <v>1.3280211100000006</v>
      </c>
      <c r="I33" s="73">
        <f t="shared" si="9"/>
        <v>0</v>
      </c>
      <c r="J33" s="9">
        <f>IF(F33&gt;VLOOKUP($B$16,$B$2:$F$9,5,FALSE),MAX(N33,-F33*(VLOOKUP(B33,$B$2:$E$9,4,FALSE)),-2*(6-H32),-(VLOOKUP(B33,$B$2:$G$9,6,FALSE)-D33)),0)</f>
        <v>-0.68218680100000029</v>
      </c>
      <c r="K33" s="9">
        <f t="shared" si="6"/>
        <v>0</v>
      </c>
      <c r="L33" s="9">
        <f t="shared" si="7"/>
        <v>-0.68218680100000029</v>
      </c>
      <c r="M33" s="9">
        <f t="shared" si="10"/>
        <v>0</v>
      </c>
      <c r="N33" s="8">
        <v>-2.5</v>
      </c>
      <c r="O33" s="8">
        <v>0</v>
      </c>
      <c r="P33" s="2"/>
      <c r="Q33" s="2"/>
    </row>
    <row r="34" spans="1:28" x14ac:dyDescent="0.3">
      <c r="A34" s="35">
        <f t="shared" si="11"/>
        <v>20</v>
      </c>
      <c r="B34" s="35">
        <v>1</v>
      </c>
      <c r="C34" s="14">
        <v>43304.395833333336</v>
      </c>
      <c r="D34" s="18">
        <v>2.5124367639999998</v>
      </c>
      <c r="E34" s="19">
        <f t="shared" si="5"/>
        <v>3.2347108800000002</v>
      </c>
      <c r="F34" s="16">
        <v>2.7332479950000002</v>
      </c>
      <c r="G34" s="10">
        <f t="shared" si="8"/>
        <v>0.72227411600000035</v>
      </c>
      <c r="H34" s="10">
        <f t="shared" si="12"/>
        <v>1.6891581680000007</v>
      </c>
      <c r="I34" s="73">
        <f t="shared" si="9"/>
        <v>0</v>
      </c>
      <c r="J34" s="9">
        <f>IF(F34&gt;VLOOKUP($B$16,$B$2:$F$9,5,FALSE),MAX(N34,-F34*(VLOOKUP(B34,$B$2:$E$9,4,FALSE)),-2*(6-H33),-(VLOOKUP(B34,$B$2:$G$9,6,FALSE)-D34)),0)</f>
        <v>-0.72227411600000035</v>
      </c>
      <c r="K34" s="9">
        <f t="shared" si="6"/>
        <v>0</v>
      </c>
      <c r="L34" s="9">
        <f t="shared" si="7"/>
        <v>-0.72227411600000035</v>
      </c>
      <c r="M34" s="9">
        <f t="shared" si="10"/>
        <v>0</v>
      </c>
      <c r="N34" s="8">
        <v>-2.5</v>
      </c>
      <c r="O34" s="8">
        <v>0</v>
      </c>
      <c r="P34" s="2"/>
      <c r="Q34" s="2"/>
    </row>
    <row r="35" spans="1:28" x14ac:dyDescent="0.3">
      <c r="A35" s="35">
        <f t="shared" si="11"/>
        <v>21</v>
      </c>
      <c r="B35" s="35">
        <v>1</v>
      </c>
      <c r="C35" s="14">
        <v>43304.416666666664</v>
      </c>
      <c r="D35" s="18">
        <v>2.505472132</v>
      </c>
      <c r="E35" s="19">
        <f t="shared" si="5"/>
        <v>3.2347108800000002</v>
      </c>
      <c r="F35" s="16">
        <v>2.9782257080000001</v>
      </c>
      <c r="G35" s="10">
        <f t="shared" si="8"/>
        <v>0.72923874800000021</v>
      </c>
      <c r="H35" s="10">
        <f t="shared" si="12"/>
        <v>2.0537775420000006</v>
      </c>
      <c r="I35" s="73">
        <f t="shared" si="9"/>
        <v>0</v>
      </c>
      <c r="J35" s="9">
        <f>IF(F35&gt;VLOOKUP($B$16,$B$2:$F$9,5,FALSE),MAX(N35,-F35*(VLOOKUP(B35,$B$2:$E$9,4,FALSE)),-2*(6-H34),-(VLOOKUP(B35,$B$2:$G$9,6,FALSE)-D35)),0)</f>
        <v>-0.72923874800000021</v>
      </c>
      <c r="K35" s="9">
        <f t="shared" si="6"/>
        <v>0</v>
      </c>
      <c r="L35" s="9">
        <f t="shared" si="7"/>
        <v>-0.72923874800000021</v>
      </c>
      <c r="M35" s="9">
        <f t="shared" si="10"/>
        <v>0</v>
      </c>
      <c r="N35" s="8">
        <v>-2.5</v>
      </c>
      <c r="O35" s="8">
        <v>0</v>
      </c>
      <c r="P35" s="2"/>
      <c r="Q35" s="2"/>
    </row>
    <row r="36" spans="1:28" x14ac:dyDescent="0.3">
      <c r="A36" s="35">
        <f t="shared" si="11"/>
        <v>22</v>
      </c>
      <c r="B36" s="35">
        <v>1</v>
      </c>
      <c r="C36" s="14">
        <v>43304.4375</v>
      </c>
      <c r="D36" s="18">
        <v>2.48283348</v>
      </c>
      <c r="E36" s="19">
        <f t="shared" si="5"/>
        <v>3.2347108800000002</v>
      </c>
      <c r="F36" s="16">
        <v>3.013282061</v>
      </c>
      <c r="G36" s="10">
        <f t="shared" si="8"/>
        <v>0.75187740000000014</v>
      </c>
      <c r="H36" s="10">
        <f t="shared" si="12"/>
        <v>2.4297162420000005</v>
      </c>
      <c r="I36" s="73">
        <f t="shared" si="9"/>
        <v>0</v>
      </c>
      <c r="J36" s="9">
        <f>IF(F36&gt;VLOOKUP($B$16,$B$2:$F$9,5,FALSE),MAX(N36,-F36*(VLOOKUP(B36,$B$2:$E$9,4,FALSE)),-2*(6-H35),-(VLOOKUP(B36,$B$2:$G$9,6,FALSE)-D36)),0)</f>
        <v>-0.75187740000000014</v>
      </c>
      <c r="K36" s="9">
        <f t="shared" si="6"/>
        <v>0</v>
      </c>
      <c r="L36" s="9">
        <f t="shared" si="7"/>
        <v>-0.75187740000000014</v>
      </c>
      <c r="M36" s="9">
        <f t="shared" si="10"/>
        <v>0</v>
      </c>
      <c r="N36" s="8">
        <v>-2.5</v>
      </c>
      <c r="O36" s="8">
        <v>0</v>
      </c>
      <c r="P36" s="2"/>
      <c r="Q36" s="2"/>
    </row>
    <row r="37" spans="1:28" x14ac:dyDescent="0.3">
      <c r="A37" s="35">
        <f t="shared" si="11"/>
        <v>23</v>
      </c>
      <c r="B37" s="35">
        <v>1</v>
      </c>
      <c r="C37" s="14">
        <v>43304.458333333336</v>
      </c>
      <c r="D37" s="18">
        <v>2.4614983929999998</v>
      </c>
      <c r="E37" s="19">
        <f t="shared" si="5"/>
        <v>3.2347108800000002</v>
      </c>
      <c r="F37" s="16">
        <v>3.2301878930000001</v>
      </c>
      <c r="G37" s="10">
        <f t="shared" si="8"/>
        <v>0.77321248700000034</v>
      </c>
      <c r="H37" s="10">
        <f t="shared" si="12"/>
        <v>2.8163224855000006</v>
      </c>
      <c r="I37" s="73">
        <f t="shared" si="9"/>
        <v>0</v>
      </c>
      <c r="J37" s="9">
        <f>IF(F37&gt;VLOOKUP($B$16,$B$2:$F$9,5,FALSE),MAX(N37,-F37*(VLOOKUP(B37,$B$2:$E$9,4,FALSE)),-2*(6-H36),-(VLOOKUP(B37,$B$2:$G$9,6,FALSE)-D37)),0)</f>
        <v>-0.77321248700000034</v>
      </c>
      <c r="K37" s="9">
        <f t="shared" si="6"/>
        <v>0</v>
      </c>
      <c r="L37" s="9">
        <f t="shared" si="7"/>
        <v>-0.77321248700000034</v>
      </c>
      <c r="M37" s="9">
        <f t="shared" si="10"/>
        <v>0</v>
      </c>
      <c r="N37" s="8">
        <v>-2.5</v>
      </c>
      <c r="O37" s="8">
        <v>0</v>
      </c>
      <c r="P37" s="2"/>
      <c r="Q37" s="2"/>
    </row>
    <row r="38" spans="1:28" ht="16.2" customHeight="1" x14ac:dyDescent="0.3">
      <c r="A38" s="35">
        <f t="shared" si="11"/>
        <v>24</v>
      </c>
      <c r="B38" s="35">
        <v>1</v>
      </c>
      <c r="C38" s="14">
        <v>43304.479166666664</v>
      </c>
      <c r="D38" s="18">
        <v>2.418011307</v>
      </c>
      <c r="E38" s="19">
        <f t="shared" si="5"/>
        <v>3.2347108800000002</v>
      </c>
      <c r="F38" s="16">
        <v>3.247507572</v>
      </c>
      <c r="G38" s="10">
        <f t="shared" si="8"/>
        <v>0.81669957300000018</v>
      </c>
      <c r="H38" s="10">
        <f t="shared" si="12"/>
        <v>3.2246722720000007</v>
      </c>
      <c r="I38" s="73">
        <f t="shared" si="9"/>
        <v>0</v>
      </c>
      <c r="J38" s="9">
        <f>IF(F38&gt;VLOOKUP($B$16,$B$2:$F$9,5,FALSE),MAX(N38,-F38*(VLOOKUP(B38,$B$2:$E$9,4,FALSE)),-2*(6-H37),-(VLOOKUP(B38,$B$2:$G$9,6,FALSE)-D38)),0)</f>
        <v>-0.81669957300000018</v>
      </c>
      <c r="K38" s="9">
        <f t="shared" si="6"/>
        <v>0</v>
      </c>
      <c r="L38" s="9">
        <f t="shared" si="7"/>
        <v>-0.81669957300000018</v>
      </c>
      <c r="M38" s="9">
        <f t="shared" si="10"/>
        <v>0</v>
      </c>
      <c r="N38" s="8">
        <v>-2.5</v>
      </c>
      <c r="O38" s="8">
        <v>0</v>
      </c>
      <c r="P38" s="2"/>
      <c r="Q38" s="2"/>
      <c r="Y38" s="4"/>
    </row>
    <row r="39" spans="1:28" x14ac:dyDescent="0.3">
      <c r="A39" s="35">
        <f t="shared" si="11"/>
        <v>25</v>
      </c>
      <c r="B39" s="35">
        <v>1</v>
      </c>
      <c r="C39" s="14">
        <v>43304.5</v>
      </c>
      <c r="D39" s="18">
        <v>2.3752737100000001</v>
      </c>
      <c r="E39" s="19">
        <f t="shared" si="5"/>
        <v>3.2347108800000002</v>
      </c>
      <c r="F39" s="16">
        <v>3.0935804839999999</v>
      </c>
      <c r="G39" s="10">
        <f t="shared" si="8"/>
        <v>0.85943717000000008</v>
      </c>
      <c r="H39" s="10">
        <f t="shared" si="12"/>
        <v>3.654390857000001</v>
      </c>
      <c r="I39" s="73">
        <f t="shared" si="9"/>
        <v>0</v>
      </c>
      <c r="J39" s="9">
        <f>IF(F39&gt;VLOOKUP($B$16,$B$2:$F$9,5,FALSE),MAX(N39,-F39*(VLOOKUP(B39,$B$2:$E$9,4,FALSE)),-2*(6-H38),-(VLOOKUP(B39,$B$2:$G$9,6,FALSE)-D39)),0)</f>
        <v>-0.85943717000000008</v>
      </c>
      <c r="K39" s="9">
        <f t="shared" si="6"/>
        <v>0</v>
      </c>
      <c r="L39" s="9">
        <f t="shared" si="7"/>
        <v>-0.85943717000000008</v>
      </c>
      <c r="M39" s="9">
        <f t="shared" si="10"/>
        <v>0</v>
      </c>
      <c r="N39" s="8">
        <v>-2.5</v>
      </c>
      <c r="O39" s="8">
        <v>0</v>
      </c>
      <c r="P39" s="2"/>
      <c r="Q39" s="2"/>
      <c r="Y39" s="6"/>
    </row>
    <row r="40" spans="1:28" x14ac:dyDescent="0.3">
      <c r="A40" s="35">
        <f t="shared" si="11"/>
        <v>26</v>
      </c>
      <c r="B40" s="35">
        <v>1</v>
      </c>
      <c r="C40" s="14">
        <v>43304.520833333336</v>
      </c>
      <c r="D40" s="18">
        <v>2.342252357</v>
      </c>
      <c r="E40" s="19">
        <f t="shared" si="5"/>
        <v>3.2347108800000002</v>
      </c>
      <c r="F40" s="16">
        <v>2.997031212</v>
      </c>
      <c r="G40" s="10">
        <f t="shared" si="8"/>
        <v>0.89245852300000017</v>
      </c>
      <c r="H40" s="10">
        <f t="shared" si="12"/>
        <v>4.1006201185000011</v>
      </c>
      <c r="I40" s="73">
        <f t="shared" si="9"/>
        <v>0</v>
      </c>
      <c r="J40" s="9">
        <f>IF(F40&gt;VLOOKUP($B$16,$B$2:$F$9,5,FALSE),MAX(N40,-F40*(VLOOKUP(B40,$B$2:$E$9,4,FALSE)),-2*(6-H39),-(VLOOKUP(B40,$B$2:$G$9,6,FALSE)-D40)),0)</f>
        <v>-0.89245852300000017</v>
      </c>
      <c r="K40" s="9">
        <f t="shared" si="6"/>
        <v>0</v>
      </c>
      <c r="L40" s="9">
        <f t="shared" si="7"/>
        <v>-0.89245852300000017</v>
      </c>
      <c r="M40" s="9">
        <f t="shared" si="10"/>
        <v>0</v>
      </c>
      <c r="N40" s="8">
        <v>-2.5</v>
      </c>
      <c r="O40" s="8">
        <v>0</v>
      </c>
      <c r="P40" s="2"/>
      <c r="Q40" s="2"/>
    </row>
    <row r="41" spans="1:28" x14ac:dyDescent="0.3">
      <c r="A41" s="35">
        <f t="shared" si="11"/>
        <v>27</v>
      </c>
      <c r="B41" s="35">
        <v>1</v>
      </c>
      <c r="C41" s="14">
        <v>43304.541666666664</v>
      </c>
      <c r="D41" s="18">
        <v>2.283860088</v>
      </c>
      <c r="E41" s="19">
        <f t="shared" si="5"/>
        <v>3.2347108800000002</v>
      </c>
      <c r="F41" s="16">
        <v>2.9361350540000002</v>
      </c>
      <c r="G41" s="10">
        <f t="shared" si="8"/>
        <v>0.95085079200000022</v>
      </c>
      <c r="H41" s="10">
        <f t="shared" si="12"/>
        <v>4.5760455145000014</v>
      </c>
      <c r="I41" s="73">
        <f t="shared" si="9"/>
        <v>0</v>
      </c>
      <c r="J41" s="9">
        <f>IF(F41&gt;VLOOKUP($B$16,$B$2:$F$9,5,FALSE),MAX(N41,-F41*(VLOOKUP(B41,$B$2:$E$9,4,FALSE)),-2*(6-H40),-(VLOOKUP(B41,$B$2:$G$9,6,FALSE)-D41)),0)</f>
        <v>-0.95085079200000022</v>
      </c>
      <c r="K41" s="9">
        <f t="shared" si="6"/>
        <v>0</v>
      </c>
      <c r="L41" s="9">
        <f t="shared" si="7"/>
        <v>-0.95085079200000022</v>
      </c>
      <c r="M41" s="9">
        <f t="shared" si="10"/>
        <v>0</v>
      </c>
      <c r="N41" s="8">
        <v>-2.5</v>
      </c>
      <c r="O41" s="8">
        <v>0</v>
      </c>
      <c r="P41" s="2"/>
      <c r="Q41" s="2"/>
    </row>
    <row r="42" spans="1:28" x14ac:dyDescent="0.3">
      <c r="A42" s="35">
        <f t="shared" si="11"/>
        <v>28</v>
      </c>
      <c r="B42" s="35">
        <v>1</v>
      </c>
      <c r="C42" s="14">
        <v>43304.5625</v>
      </c>
      <c r="D42" s="18">
        <v>2.2899392089999999</v>
      </c>
      <c r="E42" s="19">
        <f t="shared" si="5"/>
        <v>3.2347108800000002</v>
      </c>
      <c r="F42" s="16">
        <v>2.9205141069999998</v>
      </c>
      <c r="G42" s="10">
        <f t="shared" si="8"/>
        <v>0.94477167100000026</v>
      </c>
      <c r="H42" s="10">
        <f t="shared" si="12"/>
        <v>5.0484313500000013</v>
      </c>
      <c r="I42" s="73">
        <f t="shared" si="9"/>
        <v>0</v>
      </c>
      <c r="J42" s="9">
        <f>IF(F42&gt;VLOOKUP($B$16,$B$2:$F$9,5,FALSE),MAX(N42,-F42*(VLOOKUP(B42,$B$2:$E$9,4,FALSE)),-2*(6-H41),-(VLOOKUP(B42,$B$2:$G$9,6,FALSE)-D42)),0)</f>
        <v>-0.94477167100000026</v>
      </c>
      <c r="K42" s="9">
        <f t="shared" si="6"/>
        <v>0</v>
      </c>
      <c r="L42" s="9">
        <f t="shared" si="7"/>
        <v>-0.94477167100000026</v>
      </c>
      <c r="M42" s="9">
        <f t="shared" si="10"/>
        <v>0</v>
      </c>
      <c r="N42" s="8">
        <v>-2.5</v>
      </c>
      <c r="O42" s="8">
        <v>0</v>
      </c>
      <c r="P42" s="2"/>
      <c r="Q42" s="2"/>
    </row>
    <row r="43" spans="1:28" x14ac:dyDescent="0.3">
      <c r="A43" s="35">
        <f t="shared" si="11"/>
        <v>29</v>
      </c>
      <c r="B43" s="35">
        <v>1</v>
      </c>
      <c r="C43" s="14">
        <v>43304.583333333336</v>
      </c>
      <c r="D43" s="18">
        <v>2.2994372869999999</v>
      </c>
      <c r="E43" s="19">
        <f t="shared" si="5"/>
        <v>3.2347108800000002</v>
      </c>
      <c r="F43" s="16">
        <v>2.7893986700000002</v>
      </c>
      <c r="G43" s="10">
        <f t="shared" si="8"/>
        <v>0.93527359300000024</v>
      </c>
      <c r="H43" s="10">
        <f t="shared" si="12"/>
        <v>5.5160681465000012</v>
      </c>
      <c r="I43" s="73">
        <f t="shared" si="9"/>
        <v>0</v>
      </c>
      <c r="J43" s="9">
        <f>IF(F43&gt;VLOOKUP($B$16,$B$2:$F$9,5,FALSE),MAX(N43,-F43*(VLOOKUP(B43,$B$2:$E$9,4,FALSE)),-2*(6-H42),-(VLOOKUP(B43,$B$2:$G$9,6,FALSE)-D43)),0)</f>
        <v>-0.93527359300000024</v>
      </c>
      <c r="K43" s="9">
        <f t="shared" si="6"/>
        <v>0</v>
      </c>
      <c r="L43" s="9">
        <f t="shared" si="7"/>
        <v>-0.93527359300000024</v>
      </c>
      <c r="M43" s="9">
        <f t="shared" si="10"/>
        <v>0</v>
      </c>
      <c r="N43" s="8">
        <v>-2.5</v>
      </c>
      <c r="O43" s="8">
        <v>0</v>
      </c>
      <c r="Q43" s="2"/>
    </row>
    <row r="44" spans="1:28" x14ac:dyDescent="0.3">
      <c r="A44" s="37">
        <f t="shared" si="11"/>
        <v>30</v>
      </c>
      <c r="B44" s="37">
        <v>1</v>
      </c>
      <c r="C44" s="24">
        <v>43304.604166666664</v>
      </c>
      <c r="D44" s="25">
        <v>2.3895533879999999</v>
      </c>
      <c r="E44" s="26">
        <f t="shared" si="5"/>
        <v>3.2347108800000002</v>
      </c>
      <c r="F44" s="27">
        <v>2.5858731270000002</v>
      </c>
      <c r="G44" s="10">
        <f t="shared" si="8"/>
        <v>0.84515749200000023</v>
      </c>
      <c r="H44" s="10">
        <f t="shared" si="12"/>
        <v>5.9386468925000013</v>
      </c>
      <c r="I44" s="73">
        <f t="shared" si="9"/>
        <v>0</v>
      </c>
      <c r="J44" s="9">
        <f>IF(F44&gt;VLOOKUP($B$16,$B$2:$F$9,5,FALSE),MAX(N44,-F44*(VLOOKUP(B44,$B$2:$E$9,4,FALSE)),-2*(6-H43),-(VLOOKUP(B44,$B$2:$G$9,6,FALSE)-D44)),0)</f>
        <v>-0.84515749200000023</v>
      </c>
      <c r="K44" s="9">
        <f t="shared" si="6"/>
        <v>0</v>
      </c>
      <c r="L44" s="42">
        <f t="shared" si="7"/>
        <v>-0.84515749200000023</v>
      </c>
      <c r="M44" s="42">
        <f t="shared" si="10"/>
        <v>0</v>
      </c>
      <c r="N44" s="23">
        <v>-2.5</v>
      </c>
      <c r="O44" s="23">
        <v>0</v>
      </c>
      <c r="P44" s="2"/>
      <c r="Q44" s="2"/>
    </row>
    <row r="45" spans="1:28" s="64" customFormat="1" ht="15" thickBot="1" x14ac:dyDescent="0.35">
      <c r="A45" s="54">
        <f t="shared" si="11"/>
        <v>31</v>
      </c>
      <c r="B45" s="54">
        <v>1</v>
      </c>
      <c r="C45" s="55">
        <v>43304.625</v>
      </c>
      <c r="D45" s="56">
        <v>2.5264257730000002</v>
      </c>
      <c r="E45" s="57">
        <f t="shared" si="5"/>
        <v>2.6491319879999975</v>
      </c>
      <c r="F45" s="58">
        <v>2.448071718</v>
      </c>
      <c r="G45" s="111">
        <f t="shared" si="8"/>
        <v>0.12270621499999734</v>
      </c>
      <c r="H45" s="111">
        <f t="shared" si="12"/>
        <v>6</v>
      </c>
      <c r="I45" s="74">
        <f t="shared" si="9"/>
        <v>0</v>
      </c>
      <c r="J45" s="9">
        <f>IF(F45&gt;VLOOKUP($B$16,$B$2:$F$9,5,FALSE),MAX(N45,-F45*(VLOOKUP(B45,$B$2:$E$9,4,FALSE)),-2*(6-H44),-(VLOOKUP(B45,$B$2:$G$9,6,FALSE)-D45)),0)</f>
        <v>-0.12270621499999734</v>
      </c>
      <c r="K45" s="60">
        <f t="shared" si="6"/>
        <v>0</v>
      </c>
      <c r="L45" s="60">
        <f t="shared" si="7"/>
        <v>-0.12270621499999734</v>
      </c>
      <c r="M45" s="60">
        <f t="shared" si="10"/>
        <v>0</v>
      </c>
      <c r="N45" s="61">
        <v>-2.5</v>
      </c>
      <c r="O45" s="61">
        <v>0</v>
      </c>
      <c r="P45" s="62"/>
      <c r="Q45" s="62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8" s="43" customFormat="1" x14ac:dyDescent="0.3">
      <c r="A46" s="44">
        <f>A45+1</f>
        <v>32</v>
      </c>
      <c r="B46" s="44">
        <v>1</v>
      </c>
      <c r="C46" s="45">
        <v>43304.645833333336</v>
      </c>
      <c r="D46" s="46">
        <v>2.732436935</v>
      </c>
      <c r="E46" s="33">
        <f t="shared" si="5"/>
        <v>1.9066965960909088</v>
      </c>
      <c r="F46" s="47">
        <v>2.3818759919999999</v>
      </c>
      <c r="G46" s="97">
        <f t="shared" si="8"/>
        <v>-0.82574033890909115</v>
      </c>
      <c r="H46" s="97">
        <f t="shared" si="12"/>
        <v>5.5871298305454546</v>
      </c>
      <c r="I46" s="72">
        <f t="shared" si="9"/>
        <v>0.82574033890909115</v>
      </c>
      <c r="J46" s="9">
        <f>IF(F46&gt;VLOOKUP($B$16,$B$2:$F$9,5,FALSE),MAX(N46,-F46*(VLOOKUP(B46,$B$2:$E$9,4,FALSE)),-2*(6-H45),-(VLOOKUP(B46,$B$2:$G$9,6,FALSE)-D46)),0)</f>
        <v>0</v>
      </c>
      <c r="K46" s="40">
        <f t="shared" si="6"/>
        <v>0</v>
      </c>
      <c r="L46" s="40">
        <f t="shared" ref="L46:L62" si="13">MIN(J46,F46)</f>
        <v>0</v>
      </c>
      <c r="M46" s="72">
        <f t="shared" si="10"/>
        <v>0</v>
      </c>
      <c r="N46" s="48">
        <v>0</v>
      </c>
      <c r="O46" s="48">
        <v>2.5</v>
      </c>
      <c r="P46" s="2"/>
      <c r="Q46" s="2"/>
      <c r="R46"/>
      <c r="S46"/>
      <c r="T46"/>
      <c r="U46"/>
      <c r="V46"/>
      <c r="W46"/>
      <c r="X46"/>
      <c r="Y46"/>
      <c r="Z46"/>
      <c r="AA46"/>
      <c r="AB46"/>
    </row>
    <row r="47" spans="1:28" s="43" customFormat="1" x14ac:dyDescent="0.3">
      <c r="A47" s="36">
        <f t="shared" si="11"/>
        <v>33</v>
      </c>
      <c r="B47" s="36">
        <v>1</v>
      </c>
      <c r="C47" s="15">
        <v>43304.666666666664</v>
      </c>
      <c r="D47" s="20">
        <v>3.0550534489999999</v>
      </c>
      <c r="E47" s="19">
        <f t="shared" si="5"/>
        <v>1.9066965960909088</v>
      </c>
      <c r="F47" s="17">
        <v>2.055265903</v>
      </c>
      <c r="G47" s="10">
        <f t="shared" si="8"/>
        <v>-1.1483568529090911</v>
      </c>
      <c r="H47" s="10">
        <f t="shared" si="12"/>
        <v>5.0129514040909093</v>
      </c>
      <c r="I47" s="73">
        <f t="shared" si="9"/>
        <v>1.1483568529090911</v>
      </c>
      <c r="J47" s="9">
        <f>IF(F47&gt;VLOOKUP($B$16,$B$2:$F$9,5,FALSE),MAX(N47,-F47*(VLOOKUP(B47,$B$2:$E$9,4,FALSE)),-2*(6-H46),-(VLOOKUP(B47,$B$2:$G$9,6,FALSE)-D47)),0)</f>
        <v>0</v>
      </c>
      <c r="K47" s="9">
        <f t="shared" si="6"/>
        <v>0</v>
      </c>
      <c r="L47" s="9">
        <f t="shared" si="13"/>
        <v>0</v>
      </c>
      <c r="M47" s="73">
        <f t="shared" si="10"/>
        <v>0</v>
      </c>
      <c r="N47" s="13">
        <v>0</v>
      </c>
      <c r="O47" s="13">
        <v>2.5</v>
      </c>
      <c r="P47" s="2"/>
      <c r="Q47" s="2"/>
      <c r="R47"/>
      <c r="S47"/>
      <c r="T47"/>
      <c r="U47"/>
      <c r="V47"/>
      <c r="W47"/>
      <c r="X47"/>
      <c r="Y47"/>
      <c r="Z47"/>
      <c r="AA47"/>
      <c r="AB47"/>
    </row>
    <row r="48" spans="1:28" s="43" customFormat="1" x14ac:dyDescent="0.3">
      <c r="A48" s="36">
        <f t="shared" si="11"/>
        <v>34</v>
      </c>
      <c r="B48" s="36">
        <v>1</v>
      </c>
      <c r="C48" s="15">
        <v>43304.6875</v>
      </c>
      <c r="D48" s="20">
        <v>3.0732383649999999</v>
      </c>
      <c r="E48" s="19">
        <f t="shared" si="5"/>
        <v>1.9066965960909088</v>
      </c>
      <c r="F48" s="17">
        <v>1.8658380510000001</v>
      </c>
      <c r="G48" s="10">
        <f t="shared" si="8"/>
        <v>-1.1665417689090911</v>
      </c>
      <c r="H48" s="10">
        <f t="shared" si="12"/>
        <v>4.4296805196363636</v>
      </c>
      <c r="I48" s="73">
        <f t="shared" si="9"/>
        <v>1.1665417689090911</v>
      </c>
      <c r="J48" s="9">
        <f>IF(F48&gt;VLOOKUP($B$16,$B$2:$F$9,5,FALSE),MAX(N48,-F48*(VLOOKUP(B48,$B$2:$E$9,4,FALSE)),-2*(6-H47),-(VLOOKUP(B48,$B$2:$G$9,6,FALSE)-D48)),0)</f>
        <v>0</v>
      </c>
      <c r="K48" s="9">
        <f t="shared" si="6"/>
        <v>0</v>
      </c>
      <c r="L48" s="9">
        <f t="shared" si="13"/>
        <v>0</v>
      </c>
      <c r="M48" s="73">
        <f t="shared" si="10"/>
        <v>0</v>
      </c>
      <c r="N48" s="13">
        <v>0</v>
      </c>
      <c r="O48" s="13">
        <v>2.5</v>
      </c>
      <c r="P48" s="2"/>
      <c r="Q48" s="2"/>
      <c r="R48"/>
      <c r="S48"/>
      <c r="T48"/>
      <c r="U48"/>
      <c r="V48"/>
      <c r="W48"/>
      <c r="X48"/>
      <c r="Y48"/>
      <c r="Z48"/>
      <c r="AA48"/>
      <c r="AB48"/>
    </row>
    <row r="49" spans="1:28" s="43" customFormat="1" x14ac:dyDescent="0.3">
      <c r="A49" s="36">
        <f t="shared" si="11"/>
        <v>35</v>
      </c>
      <c r="B49" s="36">
        <v>1</v>
      </c>
      <c r="C49" s="15">
        <v>43304.708333333336</v>
      </c>
      <c r="D49" s="20">
        <v>3.2347108800000002</v>
      </c>
      <c r="E49" s="19">
        <f t="shared" si="5"/>
        <v>1.9066965960909088</v>
      </c>
      <c r="F49" s="17">
        <v>1.329788923</v>
      </c>
      <c r="G49" s="10">
        <f t="shared" si="8"/>
        <v>-1.3280142839090914</v>
      </c>
      <c r="H49" s="10">
        <f t="shared" si="12"/>
        <v>3.7656733776818179</v>
      </c>
      <c r="I49" s="73">
        <f t="shared" si="9"/>
        <v>1.3280142839090914</v>
      </c>
      <c r="J49" s="9">
        <f>IF(F49&gt;VLOOKUP($B$16,$B$2:$F$9,5,FALSE),MAX(N49,-F49*(VLOOKUP(B49,$B$2:$E$9,4,FALSE)),-2*(6-H48),-(VLOOKUP(B49,$B$2:$G$9,6,FALSE)-D49)),0)</f>
        <v>0</v>
      </c>
      <c r="K49" s="9">
        <f t="shared" si="6"/>
        <v>0</v>
      </c>
      <c r="L49" s="9">
        <f t="shared" si="13"/>
        <v>0</v>
      </c>
      <c r="M49" s="73">
        <f t="shared" si="10"/>
        <v>0</v>
      </c>
      <c r="N49" s="13">
        <v>0</v>
      </c>
      <c r="O49" s="13">
        <v>2.5</v>
      </c>
      <c r="P49" s="2"/>
      <c r="Q49" s="2"/>
      <c r="R49"/>
      <c r="S49"/>
      <c r="T49"/>
      <c r="U49"/>
      <c r="V49"/>
      <c r="W49"/>
      <c r="X49"/>
      <c r="Y49"/>
      <c r="Z49"/>
      <c r="AA49"/>
      <c r="AB49"/>
    </row>
    <row r="50" spans="1:28" s="43" customFormat="1" x14ac:dyDescent="0.3">
      <c r="A50" s="36">
        <f t="shared" si="11"/>
        <v>36</v>
      </c>
      <c r="B50" s="36">
        <v>1</v>
      </c>
      <c r="C50" s="15">
        <v>43304.729166666664</v>
      </c>
      <c r="D50" s="20">
        <v>3.218792857</v>
      </c>
      <c r="E50" s="19">
        <f t="shared" si="5"/>
        <v>1.9066965960909088</v>
      </c>
      <c r="F50" s="17">
        <v>1.031996489</v>
      </c>
      <c r="G50" s="10">
        <f t="shared" si="8"/>
        <v>-1.3120962609090911</v>
      </c>
      <c r="H50" s="10">
        <f t="shared" si="12"/>
        <v>3.1096252472272723</v>
      </c>
      <c r="I50" s="73">
        <f t="shared" si="9"/>
        <v>1.3120962609090911</v>
      </c>
      <c r="J50" s="9">
        <f>IF(F50&gt;VLOOKUP($B$16,$B$2:$F$9,5,FALSE),MAX(N50,-F50*(VLOOKUP(B50,$B$2:$E$9,4,FALSE)),-2*(6-H49),-(VLOOKUP(B50,$B$2:$G$9,6,FALSE)-D50)),0)</f>
        <v>0</v>
      </c>
      <c r="K50" s="9">
        <f t="shared" si="6"/>
        <v>0</v>
      </c>
      <c r="L50" s="9">
        <f t="shared" si="13"/>
        <v>0</v>
      </c>
      <c r="M50" s="73">
        <f t="shared" si="10"/>
        <v>0</v>
      </c>
      <c r="N50" s="13">
        <v>0</v>
      </c>
      <c r="O50" s="13">
        <v>2.5</v>
      </c>
      <c r="P50" s="2"/>
      <c r="Q50" s="2"/>
      <c r="R50"/>
      <c r="S50"/>
      <c r="T50"/>
      <c r="U50"/>
      <c r="V50"/>
      <c r="W50"/>
      <c r="X50"/>
      <c r="Y50"/>
      <c r="Z50"/>
      <c r="AA50"/>
      <c r="AB50"/>
    </row>
    <row r="51" spans="1:28" s="43" customFormat="1" x14ac:dyDescent="0.3">
      <c r="A51" s="36">
        <f t="shared" si="11"/>
        <v>37</v>
      </c>
      <c r="B51" s="36">
        <v>1</v>
      </c>
      <c r="C51" s="15">
        <v>43304.75</v>
      </c>
      <c r="D51" s="20">
        <v>3.1201084090000002</v>
      </c>
      <c r="E51" s="19">
        <f t="shared" si="5"/>
        <v>1.9066965960909088</v>
      </c>
      <c r="F51" s="17">
        <v>0.46224013000000003</v>
      </c>
      <c r="G51" s="10">
        <f t="shared" si="8"/>
        <v>-1.2134118129090914</v>
      </c>
      <c r="H51" s="10">
        <f t="shared" si="12"/>
        <v>2.5029193407727268</v>
      </c>
      <c r="I51" s="73">
        <f t="shared" si="9"/>
        <v>1.2134118129090914</v>
      </c>
      <c r="J51" s="9">
        <f>IF(F51&gt;VLOOKUP($B$16,$B$2:$F$9,5,FALSE),MAX(N51,-F51*(VLOOKUP(B51,$B$2:$E$9,4,FALSE)),-2*(6-H50),-(VLOOKUP(B51,$B$2:$G$9,6,FALSE)-D51)),0)</f>
        <v>0</v>
      </c>
      <c r="K51" s="9">
        <f t="shared" si="6"/>
        <v>0</v>
      </c>
      <c r="L51" s="9">
        <f t="shared" si="13"/>
        <v>0</v>
      </c>
      <c r="M51" s="73">
        <f t="shared" si="10"/>
        <v>0</v>
      </c>
      <c r="N51" s="13">
        <v>0</v>
      </c>
      <c r="O51" s="13">
        <v>2.5</v>
      </c>
      <c r="P51" s="2"/>
      <c r="Q51" s="2"/>
      <c r="R51"/>
      <c r="S51"/>
      <c r="T51"/>
      <c r="U51"/>
      <c r="V51"/>
      <c r="W51"/>
      <c r="X51"/>
      <c r="Y51"/>
      <c r="Z51"/>
      <c r="AA51"/>
      <c r="AB51"/>
    </row>
    <row r="52" spans="1:28" s="43" customFormat="1" x14ac:dyDescent="0.3">
      <c r="A52" s="36">
        <f t="shared" si="11"/>
        <v>38</v>
      </c>
      <c r="B52" s="36">
        <v>1</v>
      </c>
      <c r="C52" s="15">
        <v>43304.770833333336</v>
      </c>
      <c r="D52" s="20">
        <v>3.0527909389999999</v>
      </c>
      <c r="E52" s="19">
        <f t="shared" si="5"/>
        <v>1.9066965960909088</v>
      </c>
      <c r="F52" s="17">
        <v>0.44575551200000002</v>
      </c>
      <c r="G52" s="10">
        <f t="shared" si="8"/>
        <v>-1.1460943429090911</v>
      </c>
      <c r="H52" s="10">
        <f t="shared" si="12"/>
        <v>1.9298721693181813</v>
      </c>
      <c r="I52" s="73">
        <f t="shared" si="9"/>
        <v>1.1460943429090911</v>
      </c>
      <c r="J52" s="9">
        <f>IF(F52&gt;VLOOKUP($B$16,$B$2:$F$9,5,FALSE),MAX(N52,-F52*(VLOOKUP(B52,$B$2:$E$9,4,FALSE)),-2*(6-H51),-(VLOOKUP(B52,$B$2:$G$9,6,FALSE)-D52)),0)</f>
        <v>0</v>
      </c>
      <c r="K52" s="9">
        <f t="shared" si="6"/>
        <v>0</v>
      </c>
      <c r="L52" s="9">
        <f t="shared" si="13"/>
        <v>0</v>
      </c>
      <c r="M52" s="73">
        <f t="shared" si="10"/>
        <v>0</v>
      </c>
      <c r="N52" s="13">
        <v>0</v>
      </c>
      <c r="O52" s="13">
        <v>2.5</v>
      </c>
      <c r="P52" s="2"/>
      <c r="Q52" s="2"/>
      <c r="R52"/>
      <c r="S52"/>
      <c r="T52"/>
      <c r="U52"/>
      <c r="V52"/>
      <c r="W52"/>
      <c r="X52"/>
      <c r="Y52"/>
      <c r="Z52"/>
      <c r="AA52"/>
      <c r="AB52"/>
    </row>
    <row r="53" spans="1:28" s="43" customFormat="1" x14ac:dyDescent="0.3">
      <c r="A53" s="36">
        <f t="shared" si="11"/>
        <v>39</v>
      </c>
      <c r="B53" s="36">
        <v>1</v>
      </c>
      <c r="C53" s="15">
        <v>43304.791666666664</v>
      </c>
      <c r="D53" s="20">
        <v>2.9703153879999999</v>
      </c>
      <c r="E53" s="19">
        <f t="shared" si="5"/>
        <v>1.9066965960909088</v>
      </c>
      <c r="F53" s="17">
        <v>0.123593837</v>
      </c>
      <c r="G53" s="10">
        <f t="shared" si="8"/>
        <v>-1.0636187919090911</v>
      </c>
      <c r="H53" s="10">
        <f t="shared" si="12"/>
        <v>1.3980627733636357</v>
      </c>
      <c r="I53" s="73">
        <f t="shared" si="9"/>
        <v>1.0636187919090911</v>
      </c>
      <c r="J53" s="9">
        <f>IF(F53&gt;VLOOKUP($B$16,$B$2:$F$9,5,FALSE),MAX(N53,-F53*(VLOOKUP(B53,$B$2:$E$9,4,FALSE)),-2*(6-H52),-(VLOOKUP(B53,$B$2:$G$9,6,FALSE)-D53)),0)</f>
        <v>0</v>
      </c>
      <c r="K53" s="9">
        <f t="shared" si="6"/>
        <v>0</v>
      </c>
      <c r="L53" s="9">
        <f t="shared" si="13"/>
        <v>0</v>
      </c>
      <c r="M53" s="73">
        <f t="shared" si="10"/>
        <v>0</v>
      </c>
      <c r="N53" s="13">
        <v>0</v>
      </c>
      <c r="O53" s="13">
        <v>2.5</v>
      </c>
      <c r="P53" s="2"/>
      <c r="Q53" s="2"/>
      <c r="R53"/>
      <c r="S53"/>
      <c r="T53"/>
      <c r="U53"/>
      <c r="V53"/>
      <c r="W53"/>
      <c r="X53"/>
      <c r="Y53"/>
      <c r="Z53"/>
      <c r="AA53"/>
      <c r="AB53"/>
    </row>
    <row r="54" spans="1:28" s="43" customFormat="1" x14ac:dyDescent="0.3">
      <c r="A54" s="36">
        <f t="shared" si="11"/>
        <v>40</v>
      </c>
      <c r="B54" s="36">
        <v>1</v>
      </c>
      <c r="C54" s="15">
        <v>43304.8125</v>
      </c>
      <c r="D54" s="20">
        <v>2.9262778690000002</v>
      </c>
      <c r="E54" s="19">
        <f t="shared" si="5"/>
        <v>1.9066965960909088</v>
      </c>
      <c r="F54" s="17">
        <v>0.113556832</v>
      </c>
      <c r="G54" s="10">
        <f t="shared" si="8"/>
        <v>-1.0195812729090914</v>
      </c>
      <c r="H54" s="10">
        <f t="shared" si="12"/>
        <v>0.88827213690909002</v>
      </c>
      <c r="I54" s="73">
        <f t="shared" si="9"/>
        <v>1.0195812729090914</v>
      </c>
      <c r="J54" s="9">
        <f>IF(F54&gt;VLOOKUP($B$16,$B$2:$F$9,5,FALSE),MAX(N54,-F54*(VLOOKUP(B54,$B$2:$E$9,4,FALSE)),-2*(6-H53),-(VLOOKUP(B54,$B$2:$G$9,6,FALSE)-D54)),0)</f>
        <v>0</v>
      </c>
      <c r="K54" s="9">
        <f t="shared" si="6"/>
        <v>0</v>
      </c>
      <c r="L54" s="9">
        <f t="shared" si="13"/>
        <v>0</v>
      </c>
      <c r="M54" s="73">
        <f t="shared" si="10"/>
        <v>0</v>
      </c>
      <c r="N54" s="13">
        <v>0</v>
      </c>
      <c r="O54" s="13">
        <v>2.5</v>
      </c>
      <c r="P54" s="2"/>
      <c r="Q54" s="2"/>
      <c r="R54"/>
      <c r="S54"/>
      <c r="T54"/>
      <c r="U54"/>
      <c r="V54"/>
      <c r="W54"/>
      <c r="X54"/>
      <c r="Y54"/>
      <c r="Z54"/>
      <c r="AA54"/>
      <c r="AB54"/>
    </row>
    <row r="55" spans="1:28" s="43" customFormat="1" x14ac:dyDescent="0.3">
      <c r="A55" s="36">
        <f t="shared" si="11"/>
        <v>41</v>
      </c>
      <c r="B55" s="36">
        <v>1</v>
      </c>
      <c r="C55" s="15">
        <v>43304.833333333336</v>
      </c>
      <c r="D55" s="20">
        <v>2.840825191</v>
      </c>
      <c r="E55" s="19">
        <f t="shared" si="5"/>
        <v>1.9066965960909088</v>
      </c>
      <c r="F55" s="17">
        <v>5.3364930000000003E-3</v>
      </c>
      <c r="G55" s="10">
        <f t="shared" si="8"/>
        <v>-0.93412859490909117</v>
      </c>
      <c r="H55" s="10">
        <f t="shared" si="12"/>
        <v>0.42120783945454443</v>
      </c>
      <c r="I55" s="73">
        <f t="shared" si="9"/>
        <v>0.93412859490909117</v>
      </c>
      <c r="J55" s="9">
        <f>IF(F55&gt;VLOOKUP($B$16,$B$2:$F$9,5,FALSE),MAX(N55,-F55*(VLOOKUP(B55,$B$2:$E$9,4,FALSE)),-2*(6-H54),-(VLOOKUP(B55,$B$2:$G$9,6,FALSE)-D55)),0)</f>
        <v>0</v>
      </c>
      <c r="K55" s="9">
        <f t="shared" si="6"/>
        <v>0</v>
      </c>
      <c r="L55" s="9">
        <f t="shared" si="13"/>
        <v>0</v>
      </c>
      <c r="M55" s="73">
        <f t="shared" si="10"/>
        <v>0</v>
      </c>
      <c r="N55" s="13">
        <v>0</v>
      </c>
      <c r="O55" s="13">
        <v>2.5</v>
      </c>
      <c r="P55" s="2"/>
      <c r="Q55" s="2"/>
      <c r="R55"/>
      <c r="S55"/>
      <c r="T55"/>
      <c r="U55"/>
      <c r="V55"/>
      <c r="W55"/>
      <c r="X55"/>
      <c r="Y55"/>
      <c r="Z55"/>
      <c r="AA55"/>
      <c r="AB55"/>
    </row>
    <row r="56" spans="1:28" s="70" customFormat="1" ht="15" thickBot="1" x14ac:dyDescent="0.35">
      <c r="A56" s="65">
        <f t="shared" si="11"/>
        <v>42</v>
      </c>
      <c r="B56" s="65">
        <v>1</v>
      </c>
      <c r="C56" s="66">
        <v>43304.854166666664</v>
      </c>
      <c r="D56" s="67">
        <v>2.7491122749999999</v>
      </c>
      <c r="E56" s="57">
        <f t="shared" si="5"/>
        <v>1.906696596090911</v>
      </c>
      <c r="F56" s="68">
        <v>5.3364930000000003E-3</v>
      </c>
      <c r="G56" s="111">
        <f t="shared" si="8"/>
        <v>-0.84241567890908886</v>
      </c>
      <c r="H56" s="111">
        <f t="shared" si="12"/>
        <v>0</v>
      </c>
      <c r="I56" s="74">
        <f t="shared" si="9"/>
        <v>0.84241567890908886</v>
      </c>
      <c r="J56" s="9">
        <f>IF(F56&gt;VLOOKUP($B$16,$B$2:$F$9,5,FALSE),MAX(N56,-F56*(VLOOKUP(B56,$B$2:$E$9,4,FALSE)),-2*(6-H55),-(VLOOKUP(B56,$B$2:$G$9,6,FALSE)-D56)),0)</f>
        <v>0</v>
      </c>
      <c r="K56" s="60">
        <f t="shared" si="6"/>
        <v>0</v>
      </c>
      <c r="L56" s="60">
        <f t="shared" si="13"/>
        <v>0</v>
      </c>
      <c r="M56" s="74">
        <f t="shared" si="10"/>
        <v>0</v>
      </c>
      <c r="N56" s="69">
        <v>0</v>
      </c>
      <c r="O56" s="69">
        <v>2.5</v>
      </c>
      <c r="P56" s="62"/>
      <c r="Q56" s="62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28" x14ac:dyDescent="0.3">
      <c r="A57" s="38">
        <f t="shared" si="11"/>
        <v>43</v>
      </c>
      <c r="B57" s="38">
        <v>1</v>
      </c>
      <c r="C57" s="31">
        <v>43304.875</v>
      </c>
      <c r="D57" s="32">
        <v>2.635854079</v>
      </c>
      <c r="E57" s="33">
        <f t="shared" si="5"/>
        <v>2.635854079</v>
      </c>
      <c r="F57" s="39">
        <v>5.3364930000000003E-3</v>
      </c>
      <c r="G57" s="97">
        <f t="shared" si="8"/>
        <v>0</v>
      </c>
      <c r="H57" s="97">
        <f t="shared" si="12"/>
        <v>0</v>
      </c>
      <c r="I57" s="72">
        <f t="shared" si="9"/>
        <v>0</v>
      </c>
      <c r="J57" s="9">
        <f>IF(F57&gt;VLOOKUP($B$16,$B$2:$F$9,5,FALSE),MAX(N57,-F57*(VLOOKUP(B57,$B$2:$E$9,4,FALSE)),-2*(6-H56),-(VLOOKUP(B57,$B$2:$G$9,6,FALSE)-D57)),0)</f>
        <v>0</v>
      </c>
      <c r="K57" s="40">
        <f t="shared" si="6"/>
        <v>0</v>
      </c>
      <c r="L57" s="40">
        <f t="shared" si="13"/>
        <v>0</v>
      </c>
      <c r="M57" s="40">
        <f t="shared" si="10"/>
        <v>0</v>
      </c>
      <c r="N57" s="30">
        <v>0</v>
      </c>
      <c r="O57" s="30">
        <v>0</v>
      </c>
      <c r="P57" s="2"/>
      <c r="Q57" s="2"/>
    </row>
    <row r="58" spans="1:28" x14ac:dyDescent="0.3">
      <c r="A58" s="35">
        <f t="shared" si="11"/>
        <v>44</v>
      </c>
      <c r="B58" s="35">
        <v>1</v>
      </c>
      <c r="C58" s="14">
        <v>43304.895833333336</v>
      </c>
      <c r="D58" s="18">
        <v>2.4427066659999999</v>
      </c>
      <c r="E58" s="19">
        <f t="shared" si="5"/>
        <v>2.4427066659999999</v>
      </c>
      <c r="F58" s="16">
        <v>5.3364930000000003E-3</v>
      </c>
      <c r="G58" s="10">
        <f t="shared" si="8"/>
        <v>0</v>
      </c>
      <c r="H58" s="10">
        <f t="shared" si="12"/>
        <v>0</v>
      </c>
      <c r="I58" s="73">
        <f t="shared" si="9"/>
        <v>0</v>
      </c>
      <c r="J58" s="9">
        <f>IF(F58&gt;VLOOKUP($B$16,$B$2:$F$9,5,FALSE),MAX(N58,-F58*(VLOOKUP(B58,$B$2:$E$9,4,FALSE)),-2*(6-H57),-(VLOOKUP(B58,$B$2:$G$9,6,FALSE)-D58)),0)</f>
        <v>0</v>
      </c>
      <c r="K58" s="9">
        <f t="shared" si="6"/>
        <v>0</v>
      </c>
      <c r="L58" s="9">
        <f t="shared" si="13"/>
        <v>0</v>
      </c>
      <c r="M58" s="9">
        <f t="shared" si="10"/>
        <v>0</v>
      </c>
      <c r="N58" s="8">
        <v>0</v>
      </c>
      <c r="O58" s="8">
        <v>0</v>
      </c>
      <c r="P58" s="2"/>
      <c r="Q58" s="2"/>
    </row>
    <row r="59" spans="1:28" x14ac:dyDescent="0.3">
      <c r="A59" s="35">
        <f t="shared" si="11"/>
        <v>45</v>
      </c>
      <c r="B59" s="35">
        <v>1</v>
      </c>
      <c r="C59" s="14">
        <v>43304.916666666664</v>
      </c>
      <c r="D59" s="18">
        <v>2.1535736160000001</v>
      </c>
      <c r="E59" s="19">
        <f t="shared" si="5"/>
        <v>2.1535736160000001</v>
      </c>
      <c r="F59" s="16">
        <v>5.3364930000000003E-3</v>
      </c>
      <c r="G59" s="10">
        <f t="shared" si="8"/>
        <v>0</v>
      </c>
      <c r="H59" s="10">
        <f t="shared" si="12"/>
        <v>0</v>
      </c>
      <c r="I59" s="73">
        <f t="shared" si="9"/>
        <v>0</v>
      </c>
      <c r="J59" s="9">
        <f>IF(F59&gt;VLOOKUP($B$16,$B$2:$F$9,5,FALSE),MAX(N59,-F59*(VLOOKUP(B59,$B$2:$E$9,4,FALSE)),-2*(6-H58),-(VLOOKUP(B59,$B$2:$G$9,6,FALSE)-D59)),0)</f>
        <v>0</v>
      </c>
      <c r="K59" s="9">
        <f t="shared" si="6"/>
        <v>0</v>
      </c>
      <c r="L59" s="9">
        <f t="shared" si="13"/>
        <v>0</v>
      </c>
      <c r="M59" s="9">
        <f t="shared" si="10"/>
        <v>0</v>
      </c>
      <c r="N59" s="8">
        <v>0</v>
      </c>
      <c r="O59" s="8">
        <v>0</v>
      </c>
      <c r="P59" s="2"/>
      <c r="Q59" s="2"/>
    </row>
    <row r="60" spans="1:28" s="5" customFormat="1" x14ac:dyDescent="0.3">
      <c r="A60" s="35">
        <f t="shared" si="11"/>
        <v>46</v>
      </c>
      <c r="B60" s="35">
        <v>1</v>
      </c>
      <c r="C60" s="14">
        <v>43304.9375</v>
      </c>
      <c r="D60" s="18">
        <v>1.8980909850000001</v>
      </c>
      <c r="E60" s="19">
        <f t="shared" si="5"/>
        <v>1.8980909850000001</v>
      </c>
      <c r="F60" s="16">
        <v>5.3364930000000003E-3</v>
      </c>
      <c r="G60" s="10">
        <f t="shared" si="8"/>
        <v>0</v>
      </c>
      <c r="H60" s="10">
        <f t="shared" si="12"/>
        <v>0</v>
      </c>
      <c r="I60" s="73">
        <f t="shared" si="9"/>
        <v>0</v>
      </c>
      <c r="J60" s="9">
        <f>IF(F60&gt;VLOOKUP($B$16,$B$2:$F$9,5,FALSE),MAX(N60,-F60*(VLOOKUP(B60,$B$2:$E$9,4,FALSE)),-2*(6-H59),-(VLOOKUP(B60,$B$2:$G$9,6,FALSE)-D60)),0)</f>
        <v>0</v>
      </c>
      <c r="K60" s="9">
        <f t="shared" si="6"/>
        <v>0</v>
      </c>
      <c r="L60" s="9">
        <f t="shared" si="13"/>
        <v>0</v>
      </c>
      <c r="M60" s="9">
        <f t="shared" si="10"/>
        <v>0</v>
      </c>
      <c r="N60" s="8">
        <v>0</v>
      </c>
      <c r="O60" s="8">
        <v>0</v>
      </c>
      <c r="P60" s="2"/>
      <c r="Q60" s="2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37">
        <f t="shared" si="11"/>
        <v>47</v>
      </c>
      <c r="B61" s="37">
        <v>1</v>
      </c>
      <c r="C61" s="24">
        <v>43304.958333333336</v>
      </c>
      <c r="D61" s="25">
        <v>1.800951628</v>
      </c>
      <c r="E61" s="26">
        <f t="shared" si="5"/>
        <v>1.800951628</v>
      </c>
      <c r="F61" s="27">
        <v>1.831472E-3</v>
      </c>
      <c r="G61" s="10">
        <f t="shared" si="8"/>
        <v>0</v>
      </c>
      <c r="H61" s="10">
        <f t="shared" si="12"/>
        <v>0</v>
      </c>
      <c r="I61" s="73">
        <f t="shared" si="9"/>
        <v>0</v>
      </c>
      <c r="J61" s="9">
        <f>IF(F61&gt;VLOOKUP($B$16,$B$2:$F$9,5,FALSE),MAX(N61,-F61*(VLOOKUP(B61,$B$2:$E$9,4,FALSE)),-2*(6-H60),-(VLOOKUP(B61,$B$2:$G$9,6,FALSE)-D61)),0)</f>
        <v>0</v>
      </c>
      <c r="K61" s="9">
        <f t="shared" si="6"/>
        <v>0</v>
      </c>
      <c r="L61" s="9">
        <f t="shared" si="13"/>
        <v>0</v>
      </c>
      <c r="M61" s="9">
        <f t="shared" si="10"/>
        <v>0</v>
      </c>
      <c r="N61" s="23">
        <v>0</v>
      </c>
      <c r="O61" s="23">
        <v>0</v>
      </c>
      <c r="P61" s="2"/>
      <c r="Q61" s="2"/>
    </row>
    <row r="62" spans="1:28" s="110" customFormat="1" ht="15" thickBot="1" x14ac:dyDescent="0.35">
      <c r="A62" s="99">
        <f t="shared" si="11"/>
        <v>48</v>
      </c>
      <c r="B62" s="99">
        <v>1</v>
      </c>
      <c r="C62" s="100">
        <v>43304.979166666664</v>
      </c>
      <c r="D62" s="101">
        <v>1.7036656290000001</v>
      </c>
      <c r="E62" s="102">
        <f t="shared" si="5"/>
        <v>1.7036656290000001</v>
      </c>
      <c r="F62" s="103">
        <v>1.831472E-3</v>
      </c>
      <c r="G62" s="104">
        <f t="shared" si="8"/>
        <v>0</v>
      </c>
      <c r="H62" s="104">
        <f t="shared" si="12"/>
        <v>0</v>
      </c>
      <c r="I62" s="105">
        <f t="shared" si="9"/>
        <v>0</v>
      </c>
      <c r="J62" s="106">
        <f>IF(F62&gt;VLOOKUP($B$16,$B$2:$F$9,5,FALSE),MAX(N62,-F62*(VLOOKUP(B62,$B$2:$E$9,4,FALSE)),-2*(6-H61),-(VLOOKUP(B62,$B$2:$G$9,6,FALSE)-D62)),0)</f>
        <v>0</v>
      </c>
      <c r="K62" s="106">
        <f t="shared" si="6"/>
        <v>0</v>
      </c>
      <c r="L62" s="106">
        <f t="shared" si="13"/>
        <v>0</v>
      </c>
      <c r="M62" s="106">
        <f t="shared" si="10"/>
        <v>0</v>
      </c>
      <c r="N62" s="108">
        <v>0</v>
      </c>
      <c r="O62" s="108">
        <v>0</v>
      </c>
      <c r="P62" s="151"/>
      <c r="Q62" s="151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</row>
    <row r="63" spans="1:28" x14ac:dyDescent="0.3">
      <c r="A63" s="38">
        <v>1</v>
      </c>
      <c r="B63" s="38">
        <v>2</v>
      </c>
      <c r="C63" s="31">
        <v>43305</v>
      </c>
      <c r="D63" s="32">
        <v>1.714477931</v>
      </c>
      <c r="E63" s="33">
        <f t="shared" si="5"/>
        <v>1.714477931</v>
      </c>
      <c r="F63" s="39">
        <v>1.831472E-3</v>
      </c>
      <c r="G63" s="97">
        <f t="shared" si="8"/>
        <v>0</v>
      </c>
      <c r="H63" s="97">
        <f t="shared" si="12"/>
        <v>0</v>
      </c>
      <c r="I63" s="72">
        <v>0</v>
      </c>
      <c r="J63" s="40">
        <f>IF(F63&gt;VLOOKUP($B$16,$B$2:$F$9,5,FALSE),MAX(N63,-F63*(VLOOKUP(B63,$B$2:$E$9,4,FALSE)),-2*(6-H62),-(VLOOKUP(B63,$B$2:$G$9,6,FALSE)-D63)),0)</f>
        <v>0</v>
      </c>
      <c r="K63" s="40">
        <f t="shared" si="6"/>
        <v>0</v>
      </c>
      <c r="L63" s="40">
        <f t="shared" ref="L63:L93" si="14">MIN(J63,F63)</f>
        <v>0</v>
      </c>
      <c r="M63" s="40">
        <f>J63-L63</f>
        <v>0</v>
      </c>
      <c r="N63" s="30">
        <v>-2.5</v>
      </c>
      <c r="O63" s="30">
        <v>0</v>
      </c>
      <c r="P63" s="2"/>
      <c r="Q63" s="2"/>
    </row>
    <row r="64" spans="1:28" x14ac:dyDescent="0.3">
      <c r="A64" s="35">
        <f>A63+1</f>
        <v>2</v>
      </c>
      <c r="B64" s="35">
        <v>2</v>
      </c>
      <c r="C64" s="14">
        <v>43305.020833333336</v>
      </c>
      <c r="D64" s="18">
        <v>1.6425509069999999</v>
      </c>
      <c r="E64" s="19">
        <f t="shared" si="5"/>
        <v>1.6425509069999999</v>
      </c>
      <c r="F64" s="16">
        <v>1.831472E-3</v>
      </c>
      <c r="G64" s="10">
        <f t="shared" si="8"/>
        <v>0</v>
      </c>
      <c r="H64" s="10">
        <f t="shared" si="12"/>
        <v>0</v>
      </c>
      <c r="I64" s="73">
        <f t="shared" ref="I64:I110" si="15">MAX(0,MIN(O64,H63*2,(D64-targetpeakd2)))</f>
        <v>0</v>
      </c>
      <c r="J64" s="9">
        <f>IF(F64&gt;VLOOKUP($B$16,$B$2:$F$9,5,FALSE),MAX(N64,-F64*(VLOOKUP(B64,$B$2:$E$9,4,FALSE)),-2*(6-H63),-(VLOOKUP(B64,$B$2:$G$9,6,FALSE)-D64)),0)</f>
        <v>0</v>
      </c>
      <c r="K64" s="9">
        <f t="shared" si="6"/>
        <v>0</v>
      </c>
      <c r="L64" s="9">
        <f t="shared" si="14"/>
        <v>0</v>
      </c>
      <c r="M64" s="9">
        <f t="shared" ref="M64:M93" si="16">J64-L64</f>
        <v>0</v>
      </c>
      <c r="N64" s="8">
        <v>-2.5</v>
      </c>
      <c r="O64" s="8">
        <v>0</v>
      </c>
      <c r="P64" s="2"/>
      <c r="Q64" s="2"/>
    </row>
    <row r="65" spans="1:17" x14ac:dyDescent="0.3">
      <c r="A65" s="35">
        <f t="shared" ref="A65:A110" si="17">A64+1</f>
        <v>3</v>
      </c>
      <c r="B65" s="35">
        <v>2</v>
      </c>
      <c r="C65" s="14">
        <v>43305.041666666664</v>
      </c>
      <c r="D65" s="18">
        <v>1.5616476850000001</v>
      </c>
      <c r="E65" s="19">
        <f t="shared" si="5"/>
        <v>1.5616476850000001</v>
      </c>
      <c r="F65" s="16">
        <v>1.831472E-3</v>
      </c>
      <c r="G65" s="10">
        <f t="shared" si="8"/>
        <v>0</v>
      </c>
      <c r="H65" s="10">
        <f t="shared" si="12"/>
        <v>0</v>
      </c>
      <c r="I65" s="73">
        <f t="shared" si="15"/>
        <v>0</v>
      </c>
      <c r="J65" s="9">
        <f>IF(F65&gt;VLOOKUP($B$16,$B$2:$F$9,5,FALSE),MAX(N65,-F65*(VLOOKUP(B65,$B$2:$E$9,4,FALSE)),-2*(6-H64),-(VLOOKUP(B65,$B$2:$G$9,6,FALSE)-D65)),0)</f>
        <v>0</v>
      </c>
      <c r="K65" s="9">
        <f t="shared" si="6"/>
        <v>0</v>
      </c>
      <c r="L65" s="9">
        <f t="shared" si="14"/>
        <v>0</v>
      </c>
      <c r="M65" s="9">
        <f t="shared" si="16"/>
        <v>0</v>
      </c>
      <c r="N65" s="8">
        <v>-2.5</v>
      </c>
      <c r="O65" s="8">
        <v>0</v>
      </c>
      <c r="P65" s="2"/>
      <c r="Q65" s="2"/>
    </row>
    <row r="66" spans="1:17" x14ac:dyDescent="0.3">
      <c r="A66" s="35">
        <f t="shared" si="17"/>
        <v>4</v>
      </c>
      <c r="B66" s="35">
        <v>2</v>
      </c>
      <c r="C66" s="14">
        <v>43305.0625</v>
      </c>
      <c r="D66" s="18">
        <v>1.521647789</v>
      </c>
      <c r="E66" s="19">
        <f t="shared" si="5"/>
        <v>1.521647789</v>
      </c>
      <c r="F66" s="16">
        <v>1.831472E-3</v>
      </c>
      <c r="G66" s="10">
        <f t="shared" si="8"/>
        <v>0</v>
      </c>
      <c r="H66" s="10">
        <f t="shared" si="12"/>
        <v>0</v>
      </c>
      <c r="I66" s="73">
        <f t="shared" si="15"/>
        <v>0</v>
      </c>
      <c r="J66" s="9">
        <f>IF(F66&gt;VLOOKUP($B$16,$B$2:$F$9,5,FALSE),MAX(N66,-F66*(VLOOKUP(B66,$B$2:$E$9,4,FALSE)),-2*(6-H65),-(VLOOKUP(B66,$B$2:$G$9,6,FALSE)-D66)),0)</f>
        <v>0</v>
      </c>
      <c r="K66" s="9">
        <f t="shared" si="6"/>
        <v>0</v>
      </c>
      <c r="L66" s="9">
        <f t="shared" si="14"/>
        <v>0</v>
      </c>
      <c r="M66" s="9">
        <f t="shared" si="16"/>
        <v>0</v>
      </c>
      <c r="N66" s="8">
        <v>-2.5</v>
      </c>
      <c r="O66" s="8">
        <v>0</v>
      </c>
      <c r="P66" s="2"/>
      <c r="Q66" s="2"/>
    </row>
    <row r="67" spans="1:17" x14ac:dyDescent="0.3">
      <c r="A67" s="35">
        <f t="shared" si="17"/>
        <v>5</v>
      </c>
      <c r="B67" s="35">
        <v>2</v>
      </c>
      <c r="C67" s="14">
        <v>43305.083333333336</v>
      </c>
      <c r="D67" s="18">
        <v>1.5173539700000001</v>
      </c>
      <c r="E67" s="19">
        <f t="shared" si="5"/>
        <v>1.5173539700000001</v>
      </c>
      <c r="F67" s="16">
        <v>1.831472E-3</v>
      </c>
      <c r="G67" s="10">
        <f t="shared" si="8"/>
        <v>0</v>
      </c>
      <c r="H67" s="10">
        <f t="shared" si="12"/>
        <v>0</v>
      </c>
      <c r="I67" s="73">
        <f t="shared" si="15"/>
        <v>0</v>
      </c>
      <c r="J67" s="9">
        <f>IF(F67&gt;VLOOKUP($B$16,$B$2:$F$9,5,FALSE),MAX(N67,-F67*(VLOOKUP(B67,$B$2:$E$9,4,FALSE)),-2*(6-H66),-(VLOOKUP(B67,$B$2:$G$9,6,FALSE)-D67)),0)</f>
        <v>0</v>
      </c>
      <c r="K67" s="9">
        <f t="shared" si="6"/>
        <v>0</v>
      </c>
      <c r="L67" s="9">
        <f t="shared" si="14"/>
        <v>0</v>
      </c>
      <c r="M67" s="9">
        <f t="shared" si="16"/>
        <v>0</v>
      </c>
      <c r="N67" s="8">
        <v>-2.5</v>
      </c>
      <c r="O67" s="8">
        <v>0</v>
      </c>
      <c r="P67" s="2"/>
      <c r="Q67" s="2"/>
    </row>
    <row r="68" spans="1:17" x14ac:dyDescent="0.3">
      <c r="A68" s="35">
        <f t="shared" si="17"/>
        <v>6</v>
      </c>
      <c r="B68" s="35">
        <v>2</v>
      </c>
      <c r="C68" s="14">
        <v>43305.104166666664</v>
      </c>
      <c r="D68" s="18">
        <v>1.4834241829999999</v>
      </c>
      <c r="E68" s="19">
        <f t="shared" si="5"/>
        <v>1.4834241829999999</v>
      </c>
      <c r="F68" s="16">
        <v>1.831472E-3</v>
      </c>
      <c r="G68" s="10">
        <f t="shared" si="8"/>
        <v>0</v>
      </c>
      <c r="H68" s="10">
        <f t="shared" si="12"/>
        <v>0</v>
      </c>
      <c r="I68" s="73">
        <f t="shared" si="15"/>
        <v>0</v>
      </c>
      <c r="J68" s="9">
        <f>IF(F68&gt;VLOOKUP($B$16,$B$2:$F$9,5,FALSE),MAX(N68,-F68*(VLOOKUP(B68,$B$2:$E$9,4,FALSE)),-2*(6-H67),-(VLOOKUP(B68,$B$2:$G$9,6,FALSE)-D68)),0)</f>
        <v>0</v>
      </c>
      <c r="K68" s="9">
        <f t="shared" si="6"/>
        <v>0</v>
      </c>
      <c r="L68" s="9">
        <f t="shared" si="14"/>
        <v>0</v>
      </c>
      <c r="M68" s="9">
        <f t="shared" si="16"/>
        <v>0</v>
      </c>
      <c r="N68" s="8">
        <v>-2.5</v>
      </c>
      <c r="O68" s="8">
        <v>0</v>
      </c>
      <c r="P68" s="2"/>
      <c r="Q68" s="2"/>
    </row>
    <row r="69" spans="1:17" x14ac:dyDescent="0.3">
      <c r="A69" s="35">
        <f t="shared" si="17"/>
        <v>7</v>
      </c>
      <c r="B69" s="35">
        <v>2</v>
      </c>
      <c r="C69" s="14">
        <v>43305.125</v>
      </c>
      <c r="D69" s="18">
        <v>1.472155608</v>
      </c>
      <c r="E69" s="19">
        <f t="shared" si="5"/>
        <v>1.472155608</v>
      </c>
      <c r="F69" s="16">
        <v>1.831472E-3</v>
      </c>
      <c r="G69" s="10">
        <f t="shared" si="8"/>
        <v>0</v>
      </c>
      <c r="H69" s="10">
        <f t="shared" si="12"/>
        <v>0</v>
      </c>
      <c r="I69" s="73">
        <f t="shared" si="15"/>
        <v>0</v>
      </c>
      <c r="J69" s="9">
        <f>IF(F69&gt;VLOOKUP($B$16,$B$2:$F$9,5,FALSE),MAX(N69,-F69*(VLOOKUP(B69,$B$2:$E$9,4,FALSE)),-2*(6-H68),-(VLOOKUP(B69,$B$2:$G$9,6,FALSE)-D69)),0)</f>
        <v>0</v>
      </c>
      <c r="K69" s="9">
        <f t="shared" si="6"/>
        <v>0</v>
      </c>
      <c r="L69" s="9">
        <f t="shared" si="14"/>
        <v>0</v>
      </c>
      <c r="M69" s="9">
        <f t="shared" si="16"/>
        <v>0</v>
      </c>
      <c r="N69" s="8">
        <v>-2.5</v>
      </c>
      <c r="O69" s="8">
        <v>0</v>
      </c>
      <c r="P69" s="2"/>
      <c r="Q69" s="2"/>
    </row>
    <row r="70" spans="1:17" x14ac:dyDescent="0.3">
      <c r="A70" s="35">
        <f t="shared" si="17"/>
        <v>8</v>
      </c>
      <c r="B70" s="35">
        <v>2</v>
      </c>
      <c r="C70" s="14">
        <v>43305.145833333336</v>
      </c>
      <c r="D70" s="18">
        <v>1.4393452309999999</v>
      </c>
      <c r="E70" s="19">
        <f t="shared" si="5"/>
        <v>1.4393452309999999</v>
      </c>
      <c r="F70" s="16">
        <v>1.831472E-3</v>
      </c>
      <c r="G70" s="10">
        <f t="shared" si="8"/>
        <v>0</v>
      </c>
      <c r="H70" s="10">
        <f t="shared" si="12"/>
        <v>0</v>
      </c>
      <c r="I70" s="73">
        <f t="shared" si="15"/>
        <v>0</v>
      </c>
      <c r="J70" s="9">
        <f>IF(F70&gt;VLOOKUP($B$16,$B$2:$F$9,5,FALSE),MAX(N70,-F70*(VLOOKUP(B70,$B$2:$E$9,4,FALSE)),-2*(6-H69),-(VLOOKUP(B70,$B$2:$G$9,6,FALSE)-D70)),0)</f>
        <v>0</v>
      </c>
      <c r="K70" s="9">
        <f t="shared" si="6"/>
        <v>0</v>
      </c>
      <c r="L70" s="9">
        <f t="shared" si="14"/>
        <v>0</v>
      </c>
      <c r="M70" s="9">
        <f t="shared" si="16"/>
        <v>0</v>
      </c>
      <c r="N70" s="8">
        <v>-2.5</v>
      </c>
      <c r="O70" s="8">
        <v>0</v>
      </c>
      <c r="P70" s="2"/>
      <c r="Q70" s="2"/>
    </row>
    <row r="71" spans="1:17" x14ac:dyDescent="0.3">
      <c r="A71" s="35">
        <f t="shared" si="17"/>
        <v>9</v>
      </c>
      <c r="B71" s="35">
        <v>2</v>
      </c>
      <c r="C71" s="14">
        <v>43305.166666666664</v>
      </c>
      <c r="D71" s="18">
        <v>1.5412842330000001</v>
      </c>
      <c r="E71" s="19">
        <f t="shared" si="5"/>
        <v>1.5412842330000001</v>
      </c>
      <c r="F71" s="16">
        <v>1.431644E-2</v>
      </c>
      <c r="G71" s="10">
        <f t="shared" si="8"/>
        <v>0</v>
      </c>
      <c r="H71" s="10">
        <f t="shared" si="12"/>
        <v>0</v>
      </c>
      <c r="I71" s="73">
        <f t="shared" si="15"/>
        <v>0</v>
      </c>
      <c r="J71" s="9">
        <f>IF(F71&gt;VLOOKUP($B$16,$B$2:$F$9,5,FALSE),MAX(N71,-F71*(VLOOKUP(B71,$B$2:$E$9,4,FALSE)),-2*(6-H70),-(VLOOKUP(B71,$B$2:$G$9,6,FALSE)-D71)),0)</f>
        <v>0</v>
      </c>
      <c r="K71" s="9">
        <f t="shared" si="6"/>
        <v>0</v>
      </c>
      <c r="L71" s="9">
        <f t="shared" si="14"/>
        <v>0</v>
      </c>
      <c r="M71" s="9">
        <f t="shared" si="16"/>
        <v>0</v>
      </c>
      <c r="N71" s="8">
        <v>-2.5</v>
      </c>
      <c r="O71" s="8">
        <v>0</v>
      </c>
      <c r="P71" s="2"/>
      <c r="Q71" s="2"/>
    </row>
    <row r="72" spans="1:17" x14ac:dyDescent="0.3">
      <c r="A72" s="35">
        <f t="shared" si="17"/>
        <v>10</v>
      </c>
      <c r="B72" s="35">
        <v>2</v>
      </c>
      <c r="C72" s="14">
        <v>43305.1875</v>
      </c>
      <c r="D72" s="18">
        <v>1.671916162</v>
      </c>
      <c r="E72" s="19">
        <f t="shared" si="5"/>
        <v>1.671916162</v>
      </c>
      <c r="F72" s="16">
        <v>1.431644E-2</v>
      </c>
      <c r="G72" s="10">
        <f t="shared" si="8"/>
        <v>0</v>
      </c>
      <c r="H72" s="10">
        <f t="shared" si="12"/>
        <v>0</v>
      </c>
      <c r="I72" s="73">
        <f t="shared" si="15"/>
        <v>0</v>
      </c>
      <c r="J72" s="9">
        <f>IF(F72&gt;VLOOKUP($B$16,$B$2:$F$9,5,FALSE),MAX(N72,-F72*(VLOOKUP(B72,$B$2:$E$9,4,FALSE)),-2*(6-H71),-(VLOOKUP(B72,$B$2:$G$9,6,FALSE)-D72)),0)</f>
        <v>0</v>
      </c>
      <c r="K72" s="9">
        <f t="shared" si="6"/>
        <v>0</v>
      </c>
      <c r="L72" s="9">
        <f t="shared" si="14"/>
        <v>0</v>
      </c>
      <c r="M72" s="9">
        <f t="shared" si="16"/>
        <v>0</v>
      </c>
      <c r="N72" s="8">
        <v>-2.5</v>
      </c>
      <c r="O72" s="8">
        <v>0</v>
      </c>
      <c r="P72" s="2"/>
      <c r="Q72" s="2"/>
    </row>
    <row r="73" spans="1:17" x14ac:dyDescent="0.3">
      <c r="A73" s="35">
        <f t="shared" si="17"/>
        <v>11</v>
      </c>
      <c r="B73" s="35">
        <v>2</v>
      </c>
      <c r="C73" s="14">
        <v>43305.208333333336</v>
      </c>
      <c r="D73" s="18">
        <v>1.9567959189999999</v>
      </c>
      <c r="E73" s="19">
        <f t="shared" si="5"/>
        <v>1.9567959189999999</v>
      </c>
      <c r="F73" s="16">
        <v>0.235431314</v>
      </c>
      <c r="G73" s="10">
        <f t="shared" si="8"/>
        <v>0</v>
      </c>
      <c r="H73" s="10">
        <f t="shared" si="12"/>
        <v>0</v>
      </c>
      <c r="I73" s="73">
        <f t="shared" si="15"/>
        <v>0</v>
      </c>
      <c r="J73" s="9">
        <f>IF(F73&gt;VLOOKUP($B$16,$B$2:$F$9,5,FALSE),MAX(N73,-F73*(VLOOKUP(B73,$B$2:$E$9,4,FALSE)),-2*(6-H72),-(VLOOKUP(B73,$B$2:$G$9,6,FALSE)-D73)),0)</f>
        <v>0</v>
      </c>
      <c r="K73" s="9">
        <f t="shared" si="6"/>
        <v>0</v>
      </c>
      <c r="L73" s="9">
        <f t="shared" si="14"/>
        <v>0</v>
      </c>
      <c r="M73" s="9">
        <f t="shared" si="16"/>
        <v>0</v>
      </c>
      <c r="N73" s="8">
        <v>-2.5</v>
      </c>
      <c r="O73" s="8">
        <v>0</v>
      </c>
      <c r="P73" s="2"/>
      <c r="Q73" s="2"/>
    </row>
    <row r="74" spans="1:17" x14ac:dyDescent="0.3">
      <c r="A74" s="35">
        <f t="shared" si="17"/>
        <v>12</v>
      </c>
      <c r="B74" s="35">
        <v>2</v>
      </c>
      <c r="C74" s="14">
        <v>43305.229166666664</v>
      </c>
      <c r="D74" s="18">
        <v>2.2453456639999998</v>
      </c>
      <c r="E74" s="19">
        <f t="shared" si="5"/>
        <v>2.2453456639999998</v>
      </c>
      <c r="F74" s="16">
        <v>0.235431314</v>
      </c>
      <c r="G74" s="10">
        <f t="shared" si="8"/>
        <v>0</v>
      </c>
      <c r="H74" s="10">
        <f t="shared" si="12"/>
        <v>0</v>
      </c>
      <c r="I74" s="73">
        <f t="shared" si="15"/>
        <v>0</v>
      </c>
      <c r="J74" s="9">
        <f>IF(F74&gt;VLOOKUP($B$16,$B$2:$F$9,5,FALSE),MAX(N74,-F74*(VLOOKUP(B74,$B$2:$E$9,4,FALSE)),-2*(6-H73),-(VLOOKUP(B74,$B$2:$G$9,6,FALSE)-D74)),0)</f>
        <v>0</v>
      </c>
      <c r="K74" s="9">
        <f t="shared" si="6"/>
        <v>0</v>
      </c>
      <c r="L74" s="9">
        <f t="shared" si="14"/>
        <v>0</v>
      </c>
      <c r="M74" s="9">
        <f t="shared" si="16"/>
        <v>0</v>
      </c>
      <c r="N74" s="8">
        <v>-2.5</v>
      </c>
      <c r="O74" s="8">
        <v>0</v>
      </c>
      <c r="P74" s="2"/>
      <c r="Q74" s="2"/>
    </row>
    <row r="75" spans="1:17" x14ac:dyDescent="0.3">
      <c r="A75" s="35">
        <f t="shared" si="17"/>
        <v>13</v>
      </c>
      <c r="B75" s="35">
        <v>2</v>
      </c>
      <c r="C75" s="14">
        <v>43305.25</v>
      </c>
      <c r="D75" s="18">
        <v>2.6366406699999998</v>
      </c>
      <c r="E75" s="19">
        <f t="shared" si="5"/>
        <v>2.6366406699999998</v>
      </c>
      <c r="F75" s="16">
        <v>0.54010498500000004</v>
      </c>
      <c r="G75" s="10">
        <f t="shared" si="8"/>
        <v>0</v>
      </c>
      <c r="H75" s="10">
        <f t="shared" si="12"/>
        <v>0</v>
      </c>
      <c r="I75" s="73">
        <f t="shared" si="15"/>
        <v>0</v>
      </c>
      <c r="J75" s="9">
        <f>IF(F75&gt;VLOOKUP($B$16,$B$2:$F$9,5,FALSE),MAX(N75,-F75*(VLOOKUP(B75,$B$2:$E$9,4,FALSE)),-2*(6-H74),-(VLOOKUP(B75,$B$2:$G$9,6,FALSE)-D75)),0)</f>
        <v>0</v>
      </c>
      <c r="K75" s="9">
        <f t="shared" si="6"/>
        <v>0</v>
      </c>
      <c r="L75" s="9">
        <f t="shared" si="14"/>
        <v>0</v>
      </c>
      <c r="M75" s="9">
        <f t="shared" si="16"/>
        <v>0</v>
      </c>
      <c r="N75" s="8">
        <v>-2.5</v>
      </c>
      <c r="O75" s="8">
        <v>0</v>
      </c>
      <c r="P75" s="2"/>
      <c r="Q75" s="2"/>
    </row>
    <row r="76" spans="1:17" x14ac:dyDescent="0.3">
      <c r="A76" s="35">
        <f t="shared" si="17"/>
        <v>14</v>
      </c>
      <c r="B76" s="35">
        <v>2</v>
      </c>
      <c r="C76" s="14">
        <v>43305.270833333336</v>
      </c>
      <c r="D76" s="18">
        <v>2.7680084570000001</v>
      </c>
      <c r="E76" s="19">
        <f t="shared" si="5"/>
        <v>2.7680084570000001</v>
      </c>
      <c r="F76" s="16">
        <v>0.75360548500000002</v>
      </c>
      <c r="G76" s="10">
        <f t="shared" si="8"/>
        <v>0</v>
      </c>
      <c r="H76" s="10">
        <f t="shared" si="12"/>
        <v>0</v>
      </c>
      <c r="I76" s="73">
        <f t="shared" si="15"/>
        <v>0</v>
      </c>
      <c r="J76" s="9">
        <f>IF(F76&gt;VLOOKUP($B$16,$B$2:$F$9,5,FALSE),MAX(N76,-F76*(VLOOKUP(B76,$B$2:$E$9,4,FALSE)),-2*(6-H75),-(VLOOKUP(B76,$B$2:$G$9,6,FALSE)-D76)),0)</f>
        <v>0</v>
      </c>
      <c r="K76" s="9">
        <f t="shared" si="6"/>
        <v>0</v>
      </c>
      <c r="L76" s="9">
        <f t="shared" si="14"/>
        <v>0</v>
      </c>
      <c r="M76" s="9">
        <f t="shared" si="16"/>
        <v>0</v>
      </c>
      <c r="N76" s="8">
        <v>-2.5</v>
      </c>
      <c r="O76" s="8">
        <v>0</v>
      </c>
      <c r="P76" s="2"/>
      <c r="Q76" s="2"/>
    </row>
    <row r="77" spans="1:17" x14ac:dyDescent="0.3">
      <c r="A77" s="35">
        <f t="shared" si="17"/>
        <v>15</v>
      </c>
      <c r="B77" s="35">
        <v>2</v>
      </c>
      <c r="C77" s="14">
        <v>43305.291666666664</v>
      </c>
      <c r="D77" s="18">
        <v>2.8373674379999998</v>
      </c>
      <c r="E77" s="19">
        <f t="shared" si="5"/>
        <v>3.239753662</v>
      </c>
      <c r="F77" s="16">
        <v>1.2452659610000001</v>
      </c>
      <c r="G77" s="10">
        <f t="shared" si="8"/>
        <v>0.40238622400000024</v>
      </c>
      <c r="H77" s="10">
        <f t="shared" si="12"/>
        <v>0.20119311200000012</v>
      </c>
      <c r="I77" s="73">
        <f t="shared" si="15"/>
        <v>0</v>
      </c>
      <c r="J77" s="9">
        <f>IF(F77&gt;VLOOKUP($B$16,$B$2:$F$9,5,FALSE),MAX(N77,-F77*(VLOOKUP(B77,$B$2:$E$9,4,FALSE)),-2*(6-H76),-(VLOOKUP(B77,$B$2:$G$9,6,FALSE)-D77)),0)</f>
        <v>-0.40238622400000024</v>
      </c>
      <c r="K77" s="9">
        <f t="shared" si="6"/>
        <v>0</v>
      </c>
      <c r="L77" s="9">
        <f t="shared" si="14"/>
        <v>-0.40238622400000024</v>
      </c>
      <c r="M77" s="9">
        <f t="shared" si="16"/>
        <v>0</v>
      </c>
      <c r="N77" s="8">
        <v>-2.5</v>
      </c>
      <c r="O77" s="8">
        <v>0</v>
      </c>
      <c r="P77" s="2"/>
      <c r="Q77" s="2"/>
    </row>
    <row r="78" spans="1:17" x14ac:dyDescent="0.3">
      <c r="A78" s="35">
        <f t="shared" si="17"/>
        <v>16</v>
      </c>
      <c r="B78" s="35">
        <v>2</v>
      </c>
      <c r="C78" s="14">
        <v>43305.3125</v>
      </c>
      <c r="D78" s="18">
        <v>2.8128162680000002</v>
      </c>
      <c r="E78" s="19">
        <f t="shared" si="5"/>
        <v>3.239753662</v>
      </c>
      <c r="F78" s="16">
        <v>1.479420543</v>
      </c>
      <c r="G78" s="10">
        <f t="shared" si="8"/>
        <v>0.42693739399999986</v>
      </c>
      <c r="H78" s="10">
        <f t="shared" si="12"/>
        <v>0.41466180900000005</v>
      </c>
      <c r="I78" s="73">
        <f t="shared" si="15"/>
        <v>0</v>
      </c>
      <c r="J78" s="9">
        <f>IF(F78&gt;VLOOKUP($B$16,$B$2:$F$9,5,FALSE),MAX(N78,-F78*(VLOOKUP(B78,$B$2:$E$9,4,FALSE)),-2*(6-H77),-(VLOOKUP(B78,$B$2:$G$9,6,FALSE)-D78)),0)</f>
        <v>-0.42693739399999986</v>
      </c>
      <c r="K78" s="9">
        <f t="shared" si="6"/>
        <v>0</v>
      </c>
      <c r="L78" s="9">
        <f t="shared" si="14"/>
        <v>-0.42693739399999986</v>
      </c>
      <c r="M78" s="9">
        <f t="shared" si="16"/>
        <v>0</v>
      </c>
      <c r="N78" s="8">
        <v>-2.5</v>
      </c>
      <c r="O78" s="8">
        <v>0</v>
      </c>
      <c r="P78" s="2"/>
      <c r="Q78" s="2"/>
    </row>
    <row r="79" spans="1:17" x14ac:dyDescent="0.3">
      <c r="A79" s="35">
        <f t="shared" si="17"/>
        <v>17</v>
      </c>
      <c r="B79" s="35">
        <v>2</v>
      </c>
      <c r="C79" s="14">
        <v>43305.333333333336</v>
      </c>
      <c r="D79" s="18">
        <v>2.7039144350000002</v>
      </c>
      <c r="E79" s="19">
        <f t="shared" ref="E79:E142" si="18">D79-J79-I79</f>
        <v>3.239753662</v>
      </c>
      <c r="F79" s="16">
        <v>2.0097970959999998</v>
      </c>
      <c r="G79" s="10">
        <f t="shared" si="8"/>
        <v>0.53583922699999986</v>
      </c>
      <c r="H79" s="10">
        <f t="shared" si="12"/>
        <v>0.68258142249999998</v>
      </c>
      <c r="I79" s="73">
        <f t="shared" si="15"/>
        <v>0</v>
      </c>
      <c r="J79" s="9">
        <f>IF(F79&gt;VLOOKUP($B$16,$B$2:$F$9,5,FALSE),MAX(N79,-F79*(VLOOKUP(B79,$B$2:$E$9,4,FALSE)),-2*(6-H78),-(VLOOKUP(B79,$B$2:$G$9,6,FALSE)-D79)),0)</f>
        <v>-0.53583922699999986</v>
      </c>
      <c r="K79" s="9">
        <f t="shared" ref="K79:K142" si="19">IF(A79&lt;&gt;31,0,-2*((6-H78+((J79*0.5)))))</f>
        <v>0</v>
      </c>
      <c r="L79" s="9">
        <f t="shared" si="14"/>
        <v>-0.53583922699999986</v>
      </c>
      <c r="M79" s="9">
        <f t="shared" si="16"/>
        <v>0</v>
      </c>
      <c r="N79" s="8">
        <v>-2.5</v>
      </c>
      <c r="O79" s="8">
        <v>0</v>
      </c>
      <c r="P79" s="2"/>
      <c r="Q79" s="2"/>
    </row>
    <row r="80" spans="1:17" x14ac:dyDescent="0.3">
      <c r="A80" s="35">
        <f t="shared" si="17"/>
        <v>18</v>
      </c>
      <c r="B80" s="35">
        <v>2</v>
      </c>
      <c r="C80" s="14">
        <v>43305.354166666664</v>
      </c>
      <c r="D80" s="18">
        <v>2.6709836810000001</v>
      </c>
      <c r="E80" s="19">
        <f t="shared" si="18"/>
        <v>3.239753662</v>
      </c>
      <c r="F80" s="16">
        <v>2.2107481959999999</v>
      </c>
      <c r="G80" s="10">
        <f t="shared" ref="G80:G143" si="20">-SUM(I80,J80,K80)</f>
        <v>0.56876998099999998</v>
      </c>
      <c r="H80" s="10">
        <f t="shared" si="12"/>
        <v>0.96696641299999997</v>
      </c>
      <c r="I80" s="73">
        <f t="shared" si="15"/>
        <v>0</v>
      </c>
      <c r="J80" s="9">
        <f>IF(F80&gt;VLOOKUP($B$16,$B$2:$F$9,5,FALSE),MAX(N80,-F80*(VLOOKUP(B80,$B$2:$E$9,4,FALSE)),-2*(6-H79),-(VLOOKUP(B80,$B$2:$G$9,6,FALSE)-D80)),0)</f>
        <v>-0.56876998099999998</v>
      </c>
      <c r="K80" s="9">
        <f t="shared" si="19"/>
        <v>0</v>
      </c>
      <c r="L80" s="9">
        <f t="shared" si="14"/>
        <v>-0.56876998099999998</v>
      </c>
      <c r="M80" s="9">
        <f t="shared" si="16"/>
        <v>0</v>
      </c>
      <c r="N80" s="8">
        <v>-2.5</v>
      </c>
      <c r="O80" s="8">
        <v>0</v>
      </c>
      <c r="P80" s="2"/>
      <c r="Q80" s="2"/>
    </row>
    <row r="81" spans="1:28" x14ac:dyDescent="0.3">
      <c r="A81" s="35">
        <f t="shared" si="17"/>
        <v>19</v>
      </c>
      <c r="B81" s="35">
        <v>2</v>
      </c>
      <c r="C81" s="14">
        <v>43305.375</v>
      </c>
      <c r="D81" s="18">
        <v>2.5095717340000001</v>
      </c>
      <c r="E81" s="19">
        <f t="shared" si="18"/>
        <v>3.239753662</v>
      </c>
      <c r="F81" s="16">
        <v>2.8781807420000001</v>
      </c>
      <c r="G81" s="10">
        <f t="shared" si="20"/>
        <v>0.73018192799999992</v>
      </c>
      <c r="H81" s="10">
        <f t="shared" ref="H81:H144" si="21">H80+((G81*0.5))</f>
        <v>1.3320573769999999</v>
      </c>
      <c r="I81" s="73">
        <f t="shared" si="15"/>
        <v>0</v>
      </c>
      <c r="J81" s="9">
        <f>IF(F81&gt;VLOOKUP($B$16,$B$2:$F$9,5,FALSE),MAX(N81,-F81*(VLOOKUP(B81,$B$2:$E$9,4,FALSE)),-2*(6-H80),-(VLOOKUP(B81,$B$2:$G$9,6,FALSE)-D81)),0)</f>
        <v>-0.73018192799999992</v>
      </c>
      <c r="K81" s="9">
        <f t="shared" si="19"/>
        <v>0</v>
      </c>
      <c r="L81" s="9">
        <f t="shared" si="14"/>
        <v>-0.73018192799999992</v>
      </c>
      <c r="M81" s="9">
        <f t="shared" si="16"/>
        <v>0</v>
      </c>
      <c r="N81" s="8">
        <v>-2.5</v>
      </c>
      <c r="O81" s="8">
        <v>0</v>
      </c>
      <c r="P81" s="2"/>
      <c r="Q81" s="2"/>
    </row>
    <row r="82" spans="1:28" x14ac:dyDescent="0.3">
      <c r="A82" s="35">
        <f t="shared" si="17"/>
        <v>20</v>
      </c>
      <c r="B82" s="35">
        <v>2</v>
      </c>
      <c r="C82" s="14">
        <v>43305.395833333336</v>
      </c>
      <c r="D82" s="18">
        <v>2.461846977</v>
      </c>
      <c r="E82" s="19">
        <f t="shared" si="18"/>
        <v>3.239753662</v>
      </c>
      <c r="F82" s="16">
        <v>2.99516201</v>
      </c>
      <c r="G82" s="10">
        <f t="shared" si="20"/>
        <v>0.77790668500000004</v>
      </c>
      <c r="H82" s="10">
        <f t="shared" si="21"/>
        <v>1.7210107195</v>
      </c>
      <c r="I82" s="73">
        <f t="shared" si="15"/>
        <v>0</v>
      </c>
      <c r="J82" s="9">
        <f>IF(F82&gt;VLOOKUP($B$16,$B$2:$F$9,5,FALSE),MAX(N82,-F82*(VLOOKUP(B82,$B$2:$E$9,4,FALSE)),-2*(6-H81),-(VLOOKUP(B82,$B$2:$G$9,6,FALSE)-D82)),0)</f>
        <v>-0.77790668500000004</v>
      </c>
      <c r="K82" s="9">
        <f t="shared" si="19"/>
        <v>0</v>
      </c>
      <c r="L82" s="9">
        <f t="shared" si="14"/>
        <v>-0.77790668500000004</v>
      </c>
      <c r="M82" s="9">
        <f t="shared" si="16"/>
        <v>0</v>
      </c>
      <c r="N82" s="8">
        <v>-2.5</v>
      </c>
      <c r="O82" s="8">
        <v>0</v>
      </c>
      <c r="P82" s="2"/>
      <c r="Q82" s="2"/>
    </row>
    <row r="83" spans="1:28" x14ac:dyDescent="0.3">
      <c r="A83" s="35">
        <f t="shared" si="17"/>
        <v>21</v>
      </c>
      <c r="B83" s="35">
        <v>2</v>
      </c>
      <c r="C83" s="14">
        <v>43305.416666666664</v>
      </c>
      <c r="D83" s="18">
        <v>2.3512308979999998</v>
      </c>
      <c r="E83" s="19">
        <f t="shared" si="18"/>
        <v>3.239753662</v>
      </c>
      <c r="F83" s="16">
        <v>3.199110031</v>
      </c>
      <c r="G83" s="10">
        <f t="shared" si="20"/>
        <v>0.88852276400000019</v>
      </c>
      <c r="H83" s="10">
        <f t="shared" si="21"/>
        <v>2.1652721015000003</v>
      </c>
      <c r="I83" s="73">
        <f t="shared" si="15"/>
        <v>0</v>
      </c>
      <c r="J83" s="9">
        <f>IF(F83&gt;VLOOKUP($B$16,$B$2:$F$9,5,FALSE),MAX(N83,-F83*(VLOOKUP(B83,$B$2:$E$9,4,FALSE)),-2*(6-H82),-(VLOOKUP(B83,$B$2:$G$9,6,FALSE)-D83)),0)</f>
        <v>-0.88852276400000019</v>
      </c>
      <c r="K83" s="9">
        <f t="shared" si="19"/>
        <v>0</v>
      </c>
      <c r="L83" s="9">
        <f t="shared" si="14"/>
        <v>-0.88852276400000019</v>
      </c>
      <c r="M83" s="9">
        <f t="shared" si="16"/>
        <v>0</v>
      </c>
      <c r="N83" s="8">
        <v>-2.5</v>
      </c>
      <c r="O83" s="8">
        <v>0</v>
      </c>
      <c r="P83" s="2"/>
      <c r="Q83" s="2"/>
    </row>
    <row r="84" spans="1:28" x14ac:dyDescent="0.3">
      <c r="A84" s="35">
        <f t="shared" si="17"/>
        <v>22</v>
      </c>
      <c r="B84" s="35">
        <v>2</v>
      </c>
      <c r="C84" s="14">
        <v>43305.4375</v>
      </c>
      <c r="D84" s="18">
        <v>2.3254950459999999</v>
      </c>
      <c r="E84" s="19">
        <f t="shared" si="18"/>
        <v>3.239753662</v>
      </c>
      <c r="F84" s="16">
        <v>3.2411100859999999</v>
      </c>
      <c r="G84" s="10">
        <f t="shared" si="20"/>
        <v>0.91425861600000013</v>
      </c>
      <c r="H84" s="10">
        <f t="shared" si="21"/>
        <v>2.6224014095000001</v>
      </c>
      <c r="I84" s="73">
        <f t="shared" si="15"/>
        <v>0</v>
      </c>
      <c r="J84" s="9">
        <f>IF(F84&gt;VLOOKUP($B$16,$B$2:$F$9,5,FALSE),MAX(N84,-F84*(VLOOKUP(B84,$B$2:$E$9,4,FALSE)),-2*(6-H83),-(VLOOKUP(B84,$B$2:$G$9,6,FALSE)-D84)),0)</f>
        <v>-0.91425861600000013</v>
      </c>
      <c r="K84" s="9">
        <f t="shared" si="19"/>
        <v>0</v>
      </c>
      <c r="L84" s="9">
        <f t="shared" si="14"/>
        <v>-0.91425861600000013</v>
      </c>
      <c r="M84" s="9">
        <f t="shared" si="16"/>
        <v>0</v>
      </c>
      <c r="N84" s="8">
        <v>-2.5</v>
      </c>
      <c r="O84" s="8">
        <v>0</v>
      </c>
      <c r="P84" s="2"/>
      <c r="Q84" s="2"/>
    </row>
    <row r="85" spans="1:28" x14ac:dyDescent="0.3">
      <c r="A85" s="35">
        <f t="shared" si="17"/>
        <v>23</v>
      </c>
      <c r="B85" s="35">
        <v>2</v>
      </c>
      <c r="C85" s="14">
        <v>43305.458333333336</v>
      </c>
      <c r="D85" s="18">
        <v>2.3258296540000001</v>
      </c>
      <c r="E85" s="19">
        <f t="shared" si="18"/>
        <v>3.239753662</v>
      </c>
      <c r="F85" s="16">
        <v>3.5371582510000001</v>
      </c>
      <c r="G85" s="10">
        <f t="shared" si="20"/>
        <v>0.91392400799999995</v>
      </c>
      <c r="H85" s="10">
        <f t="shared" si="21"/>
        <v>3.0793634135000003</v>
      </c>
      <c r="I85" s="73">
        <f t="shared" si="15"/>
        <v>0</v>
      </c>
      <c r="J85" s="9">
        <f>IF(F85&gt;VLOOKUP($B$16,$B$2:$F$9,5,FALSE),MAX(N85,-F85*(VLOOKUP(B85,$B$2:$E$9,4,FALSE)),-2*(6-H84),-(VLOOKUP(B85,$B$2:$G$9,6,FALSE)-D85)),0)</f>
        <v>-0.91392400799999995</v>
      </c>
      <c r="K85" s="9">
        <f t="shared" si="19"/>
        <v>0</v>
      </c>
      <c r="L85" s="9">
        <f t="shared" si="14"/>
        <v>-0.91392400799999995</v>
      </c>
      <c r="M85" s="9">
        <f t="shared" si="16"/>
        <v>0</v>
      </c>
      <c r="N85" s="8">
        <v>-2.5</v>
      </c>
      <c r="O85" s="8">
        <v>0</v>
      </c>
      <c r="P85" s="2"/>
      <c r="Q85" s="2"/>
    </row>
    <row r="86" spans="1:28" x14ac:dyDescent="0.3">
      <c r="A86" s="35">
        <f t="shared" si="17"/>
        <v>24</v>
      </c>
      <c r="B86" s="35">
        <v>2</v>
      </c>
      <c r="C86" s="14">
        <v>43305.479166666664</v>
      </c>
      <c r="D86" s="18">
        <v>2.2973016070000001</v>
      </c>
      <c r="E86" s="19">
        <f t="shared" si="18"/>
        <v>3.239753662</v>
      </c>
      <c r="F86" s="16">
        <v>3.55447793</v>
      </c>
      <c r="G86" s="10">
        <f t="shared" si="20"/>
        <v>0.94245205499999996</v>
      </c>
      <c r="H86" s="10">
        <f t="shared" si="21"/>
        <v>3.5505894410000005</v>
      </c>
      <c r="I86" s="73">
        <f t="shared" si="15"/>
        <v>0</v>
      </c>
      <c r="J86" s="9">
        <f>IF(F86&gt;VLOOKUP($B$16,$B$2:$F$9,5,FALSE),MAX(N86,-F86*(VLOOKUP(B86,$B$2:$E$9,4,FALSE)),-2*(6-H85),-(VLOOKUP(B86,$B$2:$G$9,6,FALSE)-D86)),0)</f>
        <v>-0.94245205499999996</v>
      </c>
      <c r="K86" s="9">
        <f t="shared" si="19"/>
        <v>0</v>
      </c>
      <c r="L86" s="9">
        <f t="shared" si="14"/>
        <v>-0.94245205499999996</v>
      </c>
      <c r="M86" s="9">
        <f t="shared" si="16"/>
        <v>0</v>
      </c>
      <c r="N86" s="8">
        <v>-2.5</v>
      </c>
      <c r="O86" s="8">
        <v>0</v>
      </c>
      <c r="P86" s="2"/>
      <c r="Q86" s="2"/>
    </row>
    <row r="87" spans="1:28" x14ac:dyDescent="0.3">
      <c r="A87" s="35">
        <f t="shared" si="17"/>
        <v>25</v>
      </c>
      <c r="B87" s="35">
        <v>2</v>
      </c>
      <c r="C87" s="14">
        <v>43305.5</v>
      </c>
      <c r="D87" s="18">
        <v>2.2669821959999998</v>
      </c>
      <c r="E87" s="19">
        <f t="shared" si="18"/>
        <v>3.239753662</v>
      </c>
      <c r="F87" s="16">
        <v>3.6141524309999999</v>
      </c>
      <c r="G87" s="10">
        <f t="shared" si="20"/>
        <v>0.9727714660000002</v>
      </c>
      <c r="H87" s="10">
        <f t="shared" si="21"/>
        <v>4.0369751740000002</v>
      </c>
      <c r="I87" s="73">
        <f t="shared" si="15"/>
        <v>0</v>
      </c>
      <c r="J87" s="9">
        <f>IF(F87&gt;VLOOKUP($B$16,$B$2:$F$9,5,FALSE),MAX(N87,-F87*(VLOOKUP(B87,$B$2:$E$9,4,FALSE)),-2*(6-H86),-(VLOOKUP(B87,$B$2:$G$9,6,FALSE)-D87)),0)</f>
        <v>-0.9727714660000002</v>
      </c>
      <c r="K87" s="9">
        <f t="shared" si="19"/>
        <v>0</v>
      </c>
      <c r="L87" s="9">
        <f t="shared" si="14"/>
        <v>-0.9727714660000002</v>
      </c>
      <c r="M87" s="9">
        <f t="shared" si="16"/>
        <v>0</v>
      </c>
      <c r="N87" s="8">
        <v>-2.5</v>
      </c>
      <c r="O87" s="8">
        <v>0</v>
      </c>
      <c r="P87" s="2"/>
      <c r="Q87" s="2"/>
    </row>
    <row r="88" spans="1:28" x14ac:dyDescent="0.3">
      <c r="A88" s="35">
        <f t="shared" si="17"/>
        <v>26</v>
      </c>
      <c r="B88" s="35">
        <v>2</v>
      </c>
      <c r="C88" s="14">
        <v>43305.520833333336</v>
      </c>
      <c r="D88" s="18">
        <v>2.2092467789999999</v>
      </c>
      <c r="E88" s="19">
        <f t="shared" si="18"/>
        <v>3.239753662</v>
      </c>
      <c r="F88" s="16">
        <v>3.5469958780000002</v>
      </c>
      <c r="G88" s="10">
        <f t="shared" si="20"/>
        <v>1.0305068830000002</v>
      </c>
      <c r="H88" s="10">
        <f t="shared" si="21"/>
        <v>4.5522286155000007</v>
      </c>
      <c r="I88" s="73">
        <f t="shared" si="15"/>
        <v>0</v>
      </c>
      <c r="J88" s="9">
        <f>IF(F88&gt;VLOOKUP($B$16,$B$2:$F$9,5,FALSE),MAX(N88,-F88*(VLOOKUP(B88,$B$2:$E$9,4,FALSE)),-2*(6-H87),-(VLOOKUP(B88,$B$2:$G$9,6,FALSE)-D88)),0)</f>
        <v>-1.0305068830000002</v>
      </c>
      <c r="K88" s="9">
        <f t="shared" si="19"/>
        <v>0</v>
      </c>
      <c r="L88" s="9">
        <f t="shared" si="14"/>
        <v>-1.0305068830000002</v>
      </c>
      <c r="M88" s="9">
        <f t="shared" si="16"/>
        <v>0</v>
      </c>
      <c r="N88" s="8">
        <v>-2.5</v>
      </c>
      <c r="O88" s="8">
        <v>0</v>
      </c>
      <c r="P88" s="2"/>
      <c r="Q88" s="2"/>
    </row>
    <row r="89" spans="1:28" x14ac:dyDescent="0.3">
      <c r="A89" s="35">
        <f t="shared" si="17"/>
        <v>27</v>
      </c>
      <c r="B89" s="35">
        <v>2</v>
      </c>
      <c r="C89" s="14">
        <v>43305.541666666664</v>
      </c>
      <c r="D89" s="18">
        <v>2.2480795599999999</v>
      </c>
      <c r="E89" s="19">
        <f t="shared" si="18"/>
        <v>3.239753662</v>
      </c>
      <c r="F89" s="16">
        <v>3.2821564670000001</v>
      </c>
      <c r="G89" s="10">
        <f t="shared" si="20"/>
        <v>0.99167410200000017</v>
      </c>
      <c r="H89" s="10">
        <f t="shared" si="21"/>
        <v>5.0480656665000012</v>
      </c>
      <c r="I89" s="73">
        <f t="shared" si="15"/>
        <v>0</v>
      </c>
      <c r="J89" s="9">
        <f>IF(F89&gt;VLOOKUP($B$16,$B$2:$F$9,5,FALSE),MAX(N89,-F89*(VLOOKUP(B89,$B$2:$E$9,4,FALSE)),-2*(6-H88),-(VLOOKUP(B89,$B$2:$G$9,6,FALSE)-D89)),0)</f>
        <v>-0.99167410200000017</v>
      </c>
      <c r="K89" s="9">
        <f t="shared" si="19"/>
        <v>0</v>
      </c>
      <c r="L89" s="9">
        <f t="shared" si="14"/>
        <v>-0.99167410200000017</v>
      </c>
      <c r="M89" s="9">
        <f t="shared" si="16"/>
        <v>0</v>
      </c>
      <c r="N89" s="8">
        <v>-2.5</v>
      </c>
      <c r="O89" s="8">
        <v>0</v>
      </c>
      <c r="P89" s="2"/>
      <c r="Q89" s="2"/>
    </row>
    <row r="90" spans="1:28" x14ac:dyDescent="0.3">
      <c r="A90" s="35">
        <f t="shared" si="17"/>
        <v>28</v>
      </c>
      <c r="B90" s="35">
        <v>2</v>
      </c>
      <c r="C90" s="14">
        <v>43305.5625</v>
      </c>
      <c r="D90" s="18">
        <v>2.2400601930000001</v>
      </c>
      <c r="E90" s="19">
        <f t="shared" si="18"/>
        <v>3.239753662</v>
      </c>
      <c r="F90" s="16">
        <v>3.2821564670000001</v>
      </c>
      <c r="G90" s="10">
        <f t="shared" si="20"/>
        <v>0.99969346899999989</v>
      </c>
      <c r="H90" s="10">
        <f t="shared" si="21"/>
        <v>5.5479124010000014</v>
      </c>
      <c r="I90" s="73">
        <f t="shared" si="15"/>
        <v>0</v>
      </c>
      <c r="J90" s="9">
        <f>IF(F90&gt;VLOOKUP($B$16,$B$2:$F$9,5,FALSE),MAX(N90,-F90*(VLOOKUP(B90,$B$2:$E$9,4,FALSE)),-2*(6-H89),-(VLOOKUP(B90,$B$2:$G$9,6,FALSE)-D90)),0)</f>
        <v>-0.99969346899999989</v>
      </c>
      <c r="K90" s="9">
        <f t="shared" si="19"/>
        <v>0</v>
      </c>
      <c r="L90" s="9">
        <f t="shared" si="14"/>
        <v>-0.99969346899999989</v>
      </c>
      <c r="M90" s="9">
        <f t="shared" si="16"/>
        <v>0</v>
      </c>
      <c r="N90" s="8">
        <v>-2.5</v>
      </c>
      <c r="O90" s="8">
        <v>0</v>
      </c>
      <c r="P90" s="2"/>
      <c r="Q90" s="2"/>
    </row>
    <row r="91" spans="1:28" x14ac:dyDescent="0.3">
      <c r="A91" s="35">
        <f t="shared" si="17"/>
        <v>29</v>
      </c>
      <c r="B91" s="35">
        <v>2</v>
      </c>
      <c r="C91" s="14">
        <v>43305.583333333336</v>
      </c>
      <c r="D91" s="18">
        <v>2.220088343</v>
      </c>
      <c r="E91" s="19">
        <f t="shared" si="18"/>
        <v>3.1242635409999973</v>
      </c>
      <c r="F91" s="16">
        <v>2.6488058570000002</v>
      </c>
      <c r="G91" s="10">
        <f t="shared" si="20"/>
        <v>0.90417519799999724</v>
      </c>
      <c r="H91" s="10">
        <f t="shared" si="21"/>
        <v>6</v>
      </c>
      <c r="I91" s="73">
        <f t="shared" si="15"/>
        <v>0</v>
      </c>
      <c r="J91" s="9">
        <f>IF(F91&gt;VLOOKUP($B$16,$B$2:$F$9,5,FALSE),MAX(N91,-F91*(VLOOKUP(B91,$B$2:$E$9,4,FALSE)),-2*(6-H90),-(VLOOKUP(B91,$B$2:$G$9,6,FALSE)-D91)),0)</f>
        <v>-0.90417519799999724</v>
      </c>
      <c r="K91" s="9">
        <f t="shared" si="19"/>
        <v>0</v>
      </c>
      <c r="L91" s="9">
        <f t="shared" si="14"/>
        <v>-0.90417519799999724</v>
      </c>
      <c r="M91" s="9">
        <f t="shared" si="16"/>
        <v>0</v>
      </c>
      <c r="N91" s="8">
        <v>-2.5</v>
      </c>
      <c r="O91" s="8">
        <v>0</v>
      </c>
      <c r="P91" s="2"/>
      <c r="Q91" s="2"/>
    </row>
    <row r="92" spans="1:28" x14ac:dyDescent="0.3">
      <c r="A92" s="37">
        <f t="shared" si="17"/>
        <v>30</v>
      </c>
      <c r="B92" s="37">
        <v>2</v>
      </c>
      <c r="C92" s="24">
        <v>43305.604166666664</v>
      </c>
      <c r="D92" s="25">
        <v>2.3421246660000001</v>
      </c>
      <c r="E92" s="26">
        <f t="shared" si="18"/>
        <v>2.3421246660000001</v>
      </c>
      <c r="F92" s="27">
        <v>2.5926811700000001</v>
      </c>
      <c r="G92" s="10">
        <f t="shared" si="20"/>
        <v>0</v>
      </c>
      <c r="H92" s="10">
        <f t="shared" si="21"/>
        <v>6</v>
      </c>
      <c r="I92" s="73">
        <f t="shared" si="15"/>
        <v>0</v>
      </c>
      <c r="J92" s="9">
        <f>IF(F92&gt;VLOOKUP($B$16,$B$2:$F$9,5,FALSE),MAX(N92,-F92*(VLOOKUP(B92,$B$2:$E$9,4,FALSE)),-2*(6-H91),-(VLOOKUP(B92,$B$2:$G$9,6,FALSE)-D92)),0)</f>
        <v>0</v>
      </c>
      <c r="K92" s="9">
        <f t="shared" si="19"/>
        <v>0</v>
      </c>
      <c r="L92" s="42">
        <f t="shared" si="14"/>
        <v>0</v>
      </c>
      <c r="M92" s="42">
        <f t="shared" si="16"/>
        <v>0</v>
      </c>
      <c r="N92" s="23">
        <v>-2.5</v>
      </c>
      <c r="O92" s="23">
        <v>0</v>
      </c>
      <c r="P92" s="2"/>
      <c r="Q92" s="2"/>
    </row>
    <row r="93" spans="1:28" s="64" customFormat="1" ht="15" thickBot="1" x14ac:dyDescent="0.35">
      <c r="A93" s="54">
        <f t="shared" si="17"/>
        <v>31</v>
      </c>
      <c r="B93" s="54">
        <v>2</v>
      </c>
      <c r="C93" s="55">
        <v>43305.625</v>
      </c>
      <c r="D93" s="56">
        <v>2.6054563910000001</v>
      </c>
      <c r="E93" s="57">
        <f t="shared" si="18"/>
        <v>2.6054563910000001</v>
      </c>
      <c r="F93" s="58">
        <v>2.2140746120000001</v>
      </c>
      <c r="G93" s="111">
        <f t="shared" si="20"/>
        <v>0</v>
      </c>
      <c r="H93" s="111">
        <f>H92+((G93*0.5))</f>
        <v>6</v>
      </c>
      <c r="I93" s="74">
        <f t="shared" si="15"/>
        <v>0</v>
      </c>
      <c r="J93" s="9">
        <f>IF(F93&gt;VLOOKUP($B$16,$B$2:$F$9,5,FALSE),MAX(N93,-F93*(VLOOKUP(B93,$B$2:$E$9,4,FALSE)),-2*(6-H92),-(VLOOKUP(B93,$B$2:$G$9,6,FALSE)-D93)),0)</f>
        <v>0</v>
      </c>
      <c r="K93" s="60">
        <f t="shared" si="19"/>
        <v>0</v>
      </c>
      <c r="L93" s="60">
        <f t="shared" si="14"/>
        <v>0</v>
      </c>
      <c r="M93" s="60">
        <f t="shared" si="16"/>
        <v>0</v>
      </c>
      <c r="N93" s="61">
        <v>-2.5</v>
      </c>
      <c r="O93" s="61">
        <v>0</v>
      </c>
      <c r="P93" s="62"/>
      <c r="Q93" s="62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s="1" customFormat="1" x14ac:dyDescent="0.3">
      <c r="A94" s="44">
        <f>A93+1</f>
        <v>32</v>
      </c>
      <c r="B94" s="44">
        <v>2</v>
      </c>
      <c r="C94" s="45">
        <v>43305.645833333336</v>
      </c>
      <c r="D94" s="46">
        <v>2.8244087850000001</v>
      </c>
      <c r="E94" s="33">
        <f t="shared" si="18"/>
        <v>1.919738196454545</v>
      </c>
      <c r="F94" s="47">
        <v>2.1478788849999999</v>
      </c>
      <c r="G94" s="97">
        <f t="shared" si="20"/>
        <v>-0.90467058854545512</v>
      </c>
      <c r="H94" s="97">
        <f t="shared" si="21"/>
        <v>5.5476647057272723</v>
      </c>
      <c r="I94" s="72">
        <f t="shared" si="15"/>
        <v>0.90467058854545512</v>
      </c>
      <c r="J94" s="9">
        <f>IF(F94&gt;VLOOKUP($B$16,$B$2:$F$9,5,FALSE),MAX(N94,-F94*(VLOOKUP(B94,$B$2:$E$9,4,FALSE)),-2*(6-H93),-(VLOOKUP(B94,$B$2:$G$9,6,FALSE)-D94)),0)</f>
        <v>0</v>
      </c>
      <c r="K94" s="40">
        <f t="shared" si="19"/>
        <v>0</v>
      </c>
      <c r="L94" s="41"/>
      <c r="M94" s="41"/>
      <c r="N94" s="48">
        <v>0</v>
      </c>
      <c r="O94" s="48">
        <v>2.5</v>
      </c>
      <c r="P94" s="2"/>
      <c r="Q94" s="2"/>
      <c r="R94"/>
      <c r="S94"/>
      <c r="T94"/>
      <c r="U94"/>
      <c r="V94"/>
      <c r="W94"/>
      <c r="X94"/>
      <c r="Y94"/>
      <c r="Z94"/>
      <c r="AA94"/>
      <c r="AB94"/>
    </row>
    <row r="95" spans="1:28" s="1" customFormat="1" x14ac:dyDescent="0.3">
      <c r="A95" s="36">
        <f t="shared" si="17"/>
        <v>33</v>
      </c>
      <c r="B95" s="36">
        <v>2</v>
      </c>
      <c r="C95" s="15">
        <v>43305.666666666664</v>
      </c>
      <c r="D95" s="20">
        <v>3.0609005439999999</v>
      </c>
      <c r="E95" s="19">
        <f t="shared" si="18"/>
        <v>1.919738196454545</v>
      </c>
      <c r="F95" s="17">
        <v>1.9327372309999999</v>
      </c>
      <c r="G95" s="10">
        <f t="shared" si="20"/>
        <v>-1.1411623475454549</v>
      </c>
      <c r="H95" s="10">
        <f t="shared" si="21"/>
        <v>4.9770835319545448</v>
      </c>
      <c r="I95" s="73">
        <f t="shared" si="15"/>
        <v>1.1411623475454549</v>
      </c>
      <c r="J95" s="9">
        <f>IF(F95&gt;VLOOKUP($B$16,$B$2:$F$9,5,FALSE),MAX(N95,-F95*(VLOOKUP(B95,$B$2:$E$9,4,FALSE)),-2*(6-H94),-(VLOOKUP(B95,$B$2:$G$9,6,FALSE)-D95)),0)</f>
        <v>0</v>
      </c>
      <c r="K95" s="9">
        <f t="shared" si="19"/>
        <v>0</v>
      </c>
      <c r="L95" s="12"/>
      <c r="M95" s="12"/>
      <c r="N95" s="13">
        <v>0</v>
      </c>
      <c r="O95" s="13">
        <v>2.5</v>
      </c>
      <c r="P95" s="2"/>
      <c r="Q95" s="2"/>
      <c r="R95"/>
      <c r="S95"/>
      <c r="T95"/>
      <c r="U95"/>
      <c r="V95"/>
      <c r="W95"/>
      <c r="X95"/>
      <c r="Y95"/>
      <c r="Z95"/>
      <c r="AA95"/>
      <c r="AB95"/>
    </row>
    <row r="96" spans="1:28" s="1" customFormat="1" x14ac:dyDescent="0.3">
      <c r="A96" s="36">
        <f t="shared" si="17"/>
        <v>34</v>
      </c>
      <c r="B96" s="36">
        <v>2</v>
      </c>
      <c r="C96" s="15">
        <v>43305.6875</v>
      </c>
      <c r="D96" s="20">
        <v>3.0959485629999999</v>
      </c>
      <c r="E96" s="19">
        <f t="shared" si="18"/>
        <v>1.919738196454545</v>
      </c>
      <c r="F96" s="17">
        <v>1.7594573499999999</v>
      </c>
      <c r="G96" s="10">
        <f t="shared" si="20"/>
        <v>-1.1762103665454549</v>
      </c>
      <c r="H96" s="10">
        <f t="shared" si="21"/>
        <v>4.3889783486818175</v>
      </c>
      <c r="I96" s="73">
        <f t="shared" si="15"/>
        <v>1.1762103665454549</v>
      </c>
      <c r="J96" s="9">
        <f>IF(F96&gt;VLOOKUP($B$16,$B$2:$F$9,5,FALSE),MAX(N96,-F96*(VLOOKUP(B96,$B$2:$E$9,4,FALSE)),-2*(6-H95),-(VLOOKUP(B96,$B$2:$G$9,6,FALSE)-D96)),0)</f>
        <v>0</v>
      </c>
      <c r="K96" s="9">
        <f t="shared" si="19"/>
        <v>0</v>
      </c>
      <c r="L96" s="12"/>
      <c r="M96" s="12"/>
      <c r="N96" s="13">
        <v>0</v>
      </c>
      <c r="O96" s="13">
        <v>2.5</v>
      </c>
      <c r="P96" s="2"/>
      <c r="Q96" s="2"/>
      <c r="R96"/>
      <c r="S96"/>
      <c r="T96"/>
      <c r="U96"/>
      <c r="V96"/>
      <c r="W96"/>
      <c r="X96"/>
      <c r="Y96"/>
      <c r="Z96"/>
      <c r="AA96"/>
      <c r="AB96"/>
    </row>
    <row r="97" spans="1:28" s="1" customFormat="1" x14ac:dyDescent="0.3">
      <c r="A97" s="36">
        <f t="shared" si="17"/>
        <v>35</v>
      </c>
      <c r="B97" s="36">
        <v>2</v>
      </c>
      <c r="C97" s="15">
        <v>43305.708333333336</v>
      </c>
      <c r="D97" s="20">
        <v>3.239753662</v>
      </c>
      <c r="E97" s="19">
        <f t="shared" si="18"/>
        <v>1.919738196454545</v>
      </c>
      <c r="F97" s="17">
        <v>1.143936157</v>
      </c>
      <c r="G97" s="10">
        <f t="shared" si="20"/>
        <v>-1.320015465545455</v>
      </c>
      <c r="H97" s="10">
        <f t="shared" si="21"/>
        <v>3.7289706159090898</v>
      </c>
      <c r="I97" s="73">
        <f t="shared" si="15"/>
        <v>1.320015465545455</v>
      </c>
      <c r="J97" s="9">
        <f>IF(F97&gt;VLOOKUP($B$16,$B$2:$F$9,5,FALSE),MAX(N97,-F97*(VLOOKUP(B97,$B$2:$E$9,4,FALSE)),-2*(6-H96),-(VLOOKUP(B97,$B$2:$G$9,6,FALSE)-D97)),0)</f>
        <v>0</v>
      </c>
      <c r="K97" s="9">
        <f t="shared" si="19"/>
        <v>0</v>
      </c>
      <c r="L97" s="12"/>
      <c r="M97" s="12"/>
      <c r="N97" s="13">
        <v>0</v>
      </c>
      <c r="O97" s="13">
        <v>2.5</v>
      </c>
      <c r="P97" s="2"/>
      <c r="Q97" s="2"/>
      <c r="R97"/>
      <c r="S97"/>
      <c r="T97"/>
      <c r="U97"/>
      <c r="V97"/>
      <c r="W97"/>
      <c r="X97"/>
      <c r="Y97"/>
      <c r="Z97"/>
      <c r="AA97"/>
      <c r="AB97"/>
    </row>
    <row r="98" spans="1:28" s="1" customFormat="1" x14ac:dyDescent="0.3">
      <c r="A98" s="36">
        <f t="shared" si="17"/>
        <v>36</v>
      </c>
      <c r="B98" s="36">
        <v>2</v>
      </c>
      <c r="C98" s="15">
        <v>43305.729166666664</v>
      </c>
      <c r="D98" s="20">
        <v>3.206720292</v>
      </c>
      <c r="E98" s="19">
        <f t="shared" si="18"/>
        <v>1.919738196454545</v>
      </c>
      <c r="F98" s="17">
        <v>0.94310009500000003</v>
      </c>
      <c r="G98" s="10">
        <f t="shared" si="20"/>
        <v>-1.286982095545455</v>
      </c>
      <c r="H98" s="10">
        <f t="shared" si="21"/>
        <v>3.0854795681363623</v>
      </c>
      <c r="I98" s="73">
        <f t="shared" si="15"/>
        <v>1.286982095545455</v>
      </c>
      <c r="J98" s="9">
        <f>IF(F98&gt;VLOOKUP($B$16,$B$2:$F$9,5,FALSE),MAX(N98,-F98*(VLOOKUP(B98,$B$2:$E$9,4,FALSE)),-2*(6-H97),-(VLOOKUP(B98,$B$2:$G$9,6,FALSE)-D98)),0)</f>
        <v>0</v>
      </c>
      <c r="K98" s="9">
        <f t="shared" si="19"/>
        <v>0</v>
      </c>
      <c r="L98" s="12"/>
      <c r="M98" s="12"/>
      <c r="N98" s="13">
        <v>0</v>
      </c>
      <c r="O98" s="13">
        <v>2.5</v>
      </c>
      <c r="P98" s="2"/>
      <c r="Q98" s="2"/>
      <c r="R98"/>
      <c r="S98"/>
      <c r="T98"/>
      <c r="U98"/>
      <c r="V98"/>
      <c r="W98"/>
      <c r="X98"/>
      <c r="Y98"/>
      <c r="Z98"/>
      <c r="AA98"/>
      <c r="AB98"/>
    </row>
    <row r="99" spans="1:28" s="1" customFormat="1" x14ac:dyDescent="0.3">
      <c r="A99" s="36">
        <f t="shared" si="17"/>
        <v>37</v>
      </c>
      <c r="B99" s="36">
        <v>2</v>
      </c>
      <c r="C99" s="15">
        <v>43305.75</v>
      </c>
      <c r="D99" s="20">
        <v>3.166704384</v>
      </c>
      <c r="E99" s="19">
        <f t="shared" si="18"/>
        <v>1.919738196454545</v>
      </c>
      <c r="F99" s="17">
        <v>0.466520816</v>
      </c>
      <c r="G99" s="10">
        <f t="shared" si="20"/>
        <v>-1.246966187545455</v>
      </c>
      <c r="H99" s="10">
        <f t="shared" si="21"/>
        <v>2.4619964743636347</v>
      </c>
      <c r="I99" s="73">
        <f t="shared" si="15"/>
        <v>1.246966187545455</v>
      </c>
      <c r="J99" s="9">
        <f>IF(F99&gt;VLOOKUP($B$16,$B$2:$F$9,5,FALSE),MAX(N99,-F99*(VLOOKUP(B99,$B$2:$E$9,4,FALSE)),-2*(6-H98),-(VLOOKUP(B99,$B$2:$G$9,6,FALSE)-D99)),0)</f>
        <v>0</v>
      </c>
      <c r="K99" s="9">
        <f t="shared" si="19"/>
        <v>0</v>
      </c>
      <c r="L99" s="12"/>
      <c r="M99" s="12"/>
      <c r="N99" s="13">
        <v>0</v>
      </c>
      <c r="O99" s="13">
        <v>2.5</v>
      </c>
      <c r="P99" s="2"/>
      <c r="Q99" s="2"/>
      <c r="R99"/>
      <c r="S99"/>
      <c r="T99"/>
      <c r="U99"/>
      <c r="V99"/>
      <c r="W99"/>
      <c r="X99"/>
      <c r="Y99"/>
      <c r="Z99"/>
      <c r="AA99"/>
      <c r="AB99"/>
    </row>
    <row r="100" spans="1:28" s="1" customFormat="1" x14ac:dyDescent="0.3">
      <c r="A100" s="36">
        <f t="shared" si="17"/>
        <v>38</v>
      </c>
      <c r="B100" s="36">
        <v>2</v>
      </c>
      <c r="C100" s="15">
        <v>43305.770833333336</v>
      </c>
      <c r="D100" s="20">
        <v>3.0569454280000001</v>
      </c>
      <c r="E100" s="19">
        <f t="shared" si="18"/>
        <v>1.919738196454545</v>
      </c>
      <c r="F100" s="17">
        <v>0.450036198</v>
      </c>
      <c r="G100" s="10">
        <f t="shared" si="20"/>
        <v>-1.1372072315454551</v>
      </c>
      <c r="H100" s="10">
        <f t="shared" si="21"/>
        <v>1.8933928585909072</v>
      </c>
      <c r="I100" s="73">
        <f t="shared" si="15"/>
        <v>1.1372072315454551</v>
      </c>
      <c r="J100" s="9">
        <f>IF(F100&gt;VLOOKUP($B$16,$B$2:$F$9,5,FALSE),MAX(N100,-F100*(VLOOKUP(B100,$B$2:$E$9,4,FALSE)),-2*(6-H99),-(VLOOKUP(B100,$B$2:$G$9,6,FALSE)-D100)),0)</f>
        <v>0</v>
      </c>
      <c r="K100" s="9">
        <f t="shared" si="19"/>
        <v>0</v>
      </c>
      <c r="L100" s="12"/>
      <c r="M100" s="12"/>
      <c r="N100" s="13">
        <v>0</v>
      </c>
      <c r="O100" s="13">
        <v>2.5</v>
      </c>
      <c r="P100" s="2"/>
      <c r="Q100" s="2"/>
      <c r="R100"/>
      <c r="S100"/>
      <c r="T100"/>
      <c r="U100"/>
      <c r="V100"/>
      <c r="W100"/>
      <c r="X100"/>
      <c r="Y100"/>
      <c r="Z100"/>
      <c r="AA100"/>
      <c r="AB100"/>
    </row>
    <row r="101" spans="1:28" s="1" customFormat="1" x14ac:dyDescent="0.3">
      <c r="A101" s="36">
        <f t="shared" si="17"/>
        <v>39</v>
      </c>
      <c r="B101" s="36">
        <v>2</v>
      </c>
      <c r="C101" s="15">
        <v>43305.791666666664</v>
      </c>
      <c r="D101" s="20">
        <v>2.952938616</v>
      </c>
      <c r="E101" s="19">
        <f t="shared" si="18"/>
        <v>1.919738196454545</v>
      </c>
      <c r="F101" s="17">
        <v>0.123593837</v>
      </c>
      <c r="G101" s="10">
        <f t="shared" si="20"/>
        <v>-1.0332004195454549</v>
      </c>
      <c r="H101" s="10">
        <f t="shared" si="21"/>
        <v>1.3767926488181796</v>
      </c>
      <c r="I101" s="73">
        <f t="shared" si="15"/>
        <v>1.0332004195454549</v>
      </c>
      <c r="J101" s="9">
        <f>IF(F101&gt;VLOOKUP($B$16,$B$2:$F$9,5,FALSE),MAX(N101,-F101*(VLOOKUP(B101,$B$2:$E$9,4,FALSE)),-2*(6-H100),-(VLOOKUP(B101,$B$2:$G$9,6,FALSE)-D101)),0)</f>
        <v>0</v>
      </c>
      <c r="K101" s="9">
        <f t="shared" si="19"/>
        <v>0</v>
      </c>
      <c r="L101" s="12"/>
      <c r="M101" s="12"/>
      <c r="N101" s="13">
        <v>0</v>
      </c>
      <c r="O101" s="13">
        <v>2.5</v>
      </c>
      <c r="P101" s="2"/>
      <c r="Q101" s="2"/>
      <c r="R101"/>
      <c r="S101"/>
      <c r="T101"/>
      <c r="U101"/>
      <c r="V101"/>
      <c r="W101"/>
      <c r="X101"/>
      <c r="Y101"/>
      <c r="Z101"/>
      <c r="AA101"/>
      <c r="AB101"/>
    </row>
    <row r="102" spans="1:28" s="1" customFormat="1" x14ac:dyDescent="0.3">
      <c r="A102" s="36">
        <f t="shared" si="17"/>
        <v>40</v>
      </c>
      <c r="B102" s="36">
        <v>2</v>
      </c>
      <c r="C102" s="15">
        <v>43305.8125</v>
      </c>
      <c r="D102" s="20">
        <v>2.9061906479999999</v>
      </c>
      <c r="E102" s="19">
        <f t="shared" si="18"/>
        <v>1.919738196454545</v>
      </c>
      <c r="F102" s="17">
        <v>0.113556832</v>
      </c>
      <c r="G102" s="10">
        <f t="shared" si="20"/>
        <v>-0.98645245154545491</v>
      </c>
      <c r="H102" s="10">
        <f t="shared" si="21"/>
        <v>0.88356642304545219</v>
      </c>
      <c r="I102" s="73">
        <f t="shared" si="15"/>
        <v>0.98645245154545491</v>
      </c>
      <c r="J102" s="9">
        <f>IF(F102&gt;VLOOKUP($B$16,$B$2:$F$9,5,FALSE),MAX(N102,-F102*(VLOOKUP(B102,$B$2:$E$9,4,FALSE)),-2*(6-H101),-(VLOOKUP(B102,$B$2:$G$9,6,FALSE)-D102)),0)</f>
        <v>0</v>
      </c>
      <c r="K102" s="9">
        <f t="shared" si="19"/>
        <v>0</v>
      </c>
      <c r="L102" s="12"/>
      <c r="M102" s="12"/>
      <c r="N102" s="13">
        <v>0</v>
      </c>
      <c r="O102" s="13">
        <v>2.5</v>
      </c>
      <c r="P102" s="2"/>
      <c r="Q102" s="2"/>
      <c r="R102"/>
      <c r="S102"/>
      <c r="T102"/>
      <c r="U102"/>
      <c r="V102"/>
      <c r="W102"/>
      <c r="X102"/>
      <c r="Y102"/>
      <c r="Z102"/>
      <c r="AA102"/>
      <c r="AB102"/>
    </row>
    <row r="103" spans="1:28" s="1" customFormat="1" x14ac:dyDescent="0.3">
      <c r="A103" s="49">
        <f t="shared" si="17"/>
        <v>41</v>
      </c>
      <c r="B103" s="49">
        <v>2</v>
      </c>
      <c r="C103" s="50">
        <v>43305.833333333336</v>
      </c>
      <c r="D103" s="51">
        <v>2.863364582</v>
      </c>
      <c r="E103" s="26">
        <f t="shared" si="18"/>
        <v>1.919738196454545</v>
      </c>
      <c r="F103" s="52">
        <v>5.3364930000000003E-3</v>
      </c>
      <c r="G103" s="10">
        <f t="shared" si="20"/>
        <v>-0.94362638554545497</v>
      </c>
      <c r="H103" s="10">
        <f t="shared" si="21"/>
        <v>0.4117532302727247</v>
      </c>
      <c r="I103" s="73">
        <f t="shared" si="15"/>
        <v>0.94362638554545497</v>
      </c>
      <c r="J103" s="9">
        <f>IF(F103&gt;VLOOKUP($B$16,$B$2:$F$9,5,FALSE),MAX(N103,-F103*(VLOOKUP(B103,$B$2:$E$9,4,FALSE)),-2*(6-H102),-(VLOOKUP(B103,$B$2:$G$9,6,FALSE)-D103)),0)</f>
        <v>0</v>
      </c>
      <c r="K103" s="9">
        <f t="shared" si="19"/>
        <v>0</v>
      </c>
      <c r="L103" s="29"/>
      <c r="M103" s="29"/>
      <c r="N103" s="53">
        <v>0</v>
      </c>
      <c r="O103" s="53">
        <v>2.5</v>
      </c>
      <c r="P103" s="2"/>
      <c r="Q103" s="2"/>
      <c r="R103"/>
      <c r="S103"/>
      <c r="T103"/>
      <c r="U103"/>
      <c r="V103"/>
      <c r="W103"/>
      <c r="X103"/>
      <c r="Y103"/>
      <c r="Z103"/>
      <c r="AA103"/>
      <c r="AB103"/>
    </row>
    <row r="104" spans="1:28" s="71" customFormat="1" ht="15" thickBot="1" x14ac:dyDescent="0.35">
      <c r="A104" s="65">
        <f t="shared" si="17"/>
        <v>42</v>
      </c>
      <c r="B104" s="65">
        <v>2</v>
      </c>
      <c r="C104" s="66">
        <v>43305.854166666664</v>
      </c>
      <c r="D104" s="67">
        <v>2.743244657</v>
      </c>
      <c r="E104" s="57">
        <f t="shared" si="18"/>
        <v>1.9197381964545506</v>
      </c>
      <c r="F104" s="68">
        <v>5.3364930000000003E-3</v>
      </c>
      <c r="G104" s="111">
        <f t="shared" si="20"/>
        <v>-0.8235064605454494</v>
      </c>
      <c r="H104" s="111">
        <f t="shared" si="21"/>
        <v>0</v>
      </c>
      <c r="I104" s="74">
        <f t="shared" si="15"/>
        <v>0.8235064605454494</v>
      </c>
      <c r="J104" s="9">
        <f>IF(F104&gt;VLOOKUP($B$16,$B$2:$F$9,5,FALSE),MAX(N104,-F104*(VLOOKUP(B104,$B$2:$E$9,4,FALSE)),-2*(6-H103),-(VLOOKUP(B104,$B$2:$G$9,6,FALSE)-D104)),0)</f>
        <v>0</v>
      </c>
      <c r="K104" s="60">
        <f t="shared" si="19"/>
        <v>0</v>
      </c>
      <c r="L104" s="59"/>
      <c r="M104" s="59"/>
      <c r="N104" s="69">
        <v>0</v>
      </c>
      <c r="O104" s="69">
        <v>2.5</v>
      </c>
      <c r="P104" s="62"/>
      <c r="Q104" s="62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 spans="1:28" x14ac:dyDescent="0.3">
      <c r="A105" s="38">
        <f t="shared" si="17"/>
        <v>43</v>
      </c>
      <c r="B105" s="38">
        <v>2</v>
      </c>
      <c r="C105" s="31">
        <v>43305.875</v>
      </c>
      <c r="D105" s="32">
        <v>2.6373096999999999</v>
      </c>
      <c r="E105" s="33">
        <f t="shared" si="18"/>
        <v>2.6373096999999999</v>
      </c>
      <c r="F105" s="39">
        <v>5.3364930000000003E-3</v>
      </c>
      <c r="G105" s="97">
        <f t="shared" si="20"/>
        <v>0</v>
      </c>
      <c r="H105" s="97">
        <f t="shared" si="21"/>
        <v>0</v>
      </c>
      <c r="I105" s="72">
        <f t="shared" si="15"/>
        <v>0</v>
      </c>
      <c r="J105" s="9">
        <f>IF(F105&gt;VLOOKUP($B$16,$B$2:$F$9,5,FALSE),MAX(N105,-F105*(VLOOKUP(B105,$B$2:$E$9,4,FALSE)),-2*(6-H104),-(VLOOKUP(B105,$B$2:$G$9,6,FALSE)-D105)),0)</f>
        <v>0</v>
      </c>
      <c r="K105" s="40">
        <f t="shared" si="19"/>
        <v>0</v>
      </c>
      <c r="L105" s="34"/>
      <c r="M105" s="34"/>
      <c r="N105" s="30">
        <v>0</v>
      </c>
      <c r="O105" s="30">
        <v>0</v>
      </c>
      <c r="P105" s="2"/>
      <c r="Q105" s="2"/>
    </row>
    <row r="106" spans="1:28" x14ac:dyDescent="0.3">
      <c r="A106" s="35">
        <f t="shared" si="17"/>
        <v>44</v>
      </c>
      <c r="B106" s="35">
        <v>2</v>
      </c>
      <c r="C106" s="14">
        <v>43305.895833333336</v>
      </c>
      <c r="D106" s="18">
        <v>2.4378673769999999</v>
      </c>
      <c r="E106" s="19">
        <f t="shared" si="18"/>
        <v>2.4378673769999999</v>
      </c>
      <c r="F106" s="16">
        <v>5.3364930000000003E-3</v>
      </c>
      <c r="G106" s="10">
        <f t="shared" si="20"/>
        <v>0</v>
      </c>
      <c r="H106" s="10">
        <f t="shared" si="21"/>
        <v>0</v>
      </c>
      <c r="I106" s="73">
        <f t="shared" si="15"/>
        <v>0</v>
      </c>
      <c r="J106" s="9">
        <f>IF(F106&gt;VLOOKUP($B$16,$B$2:$F$9,5,FALSE),MAX(N106,-F106*(VLOOKUP(B106,$B$2:$E$9,4,FALSE)),-2*(6-H105),-(VLOOKUP(B106,$B$2:$G$9,6,FALSE)-D106)),0)</f>
        <v>0</v>
      </c>
      <c r="K106" s="9">
        <f t="shared" si="19"/>
        <v>0</v>
      </c>
      <c r="L106" s="11"/>
      <c r="M106" s="11"/>
      <c r="N106" s="8">
        <v>0</v>
      </c>
      <c r="O106" s="8">
        <v>0</v>
      </c>
      <c r="P106" s="2"/>
      <c r="Q106" s="2"/>
    </row>
    <row r="107" spans="1:28" x14ac:dyDescent="0.3">
      <c r="A107" s="35">
        <f t="shared" si="17"/>
        <v>45</v>
      </c>
      <c r="B107" s="35">
        <v>2</v>
      </c>
      <c r="C107" s="14">
        <v>43305.916666666664</v>
      </c>
      <c r="D107" s="18">
        <v>2.1379104299999998</v>
      </c>
      <c r="E107" s="19">
        <f t="shared" si="18"/>
        <v>2.1379104299999998</v>
      </c>
      <c r="F107" s="16">
        <v>5.3364930000000003E-3</v>
      </c>
      <c r="G107" s="10">
        <f t="shared" si="20"/>
        <v>0</v>
      </c>
      <c r="H107" s="10">
        <f t="shared" si="21"/>
        <v>0</v>
      </c>
      <c r="I107" s="73">
        <f t="shared" si="15"/>
        <v>0</v>
      </c>
      <c r="J107" s="9">
        <f>IF(F107&gt;VLOOKUP($B$16,$B$2:$F$9,5,FALSE),MAX(N107,-F107*(VLOOKUP(B107,$B$2:$E$9,4,FALSE)),-2*(6-H106),-(VLOOKUP(B107,$B$2:$G$9,6,FALSE)-D107)),0)</f>
        <v>0</v>
      </c>
      <c r="K107" s="9">
        <f t="shared" si="19"/>
        <v>0</v>
      </c>
      <c r="L107" s="11"/>
      <c r="M107" s="11"/>
      <c r="N107" s="8">
        <v>0</v>
      </c>
      <c r="O107" s="8">
        <v>0</v>
      </c>
      <c r="P107" s="2"/>
      <c r="Q107" s="2"/>
    </row>
    <row r="108" spans="1:28" x14ac:dyDescent="0.3">
      <c r="A108" s="35">
        <f t="shared" si="17"/>
        <v>46</v>
      </c>
      <c r="B108" s="35">
        <v>2</v>
      </c>
      <c r="C108" s="14">
        <v>43305.9375</v>
      </c>
      <c r="D108" s="18">
        <v>1.8782934659999999</v>
      </c>
      <c r="E108" s="19">
        <f t="shared" si="18"/>
        <v>1.8782934659999999</v>
      </c>
      <c r="F108" s="16">
        <v>5.3364930000000003E-3</v>
      </c>
      <c r="G108" s="10">
        <f t="shared" si="20"/>
        <v>0</v>
      </c>
      <c r="H108" s="10">
        <f t="shared" si="21"/>
        <v>0</v>
      </c>
      <c r="I108" s="73">
        <f t="shared" si="15"/>
        <v>0</v>
      </c>
      <c r="J108" s="9">
        <f>IF(F108&gt;VLOOKUP($B$16,$B$2:$F$9,5,FALSE),MAX(N108,-F108*(VLOOKUP(B108,$B$2:$E$9,4,FALSE)),-2*(6-H107),-(VLOOKUP(B108,$B$2:$G$9,6,FALSE)-D108)),0)</f>
        <v>0</v>
      </c>
      <c r="K108" s="9">
        <f t="shared" si="19"/>
        <v>0</v>
      </c>
      <c r="L108" s="11"/>
      <c r="M108" s="11"/>
      <c r="N108" s="8">
        <v>0</v>
      </c>
      <c r="O108" s="8">
        <v>0</v>
      </c>
      <c r="P108" s="2"/>
      <c r="Q108" s="2"/>
    </row>
    <row r="109" spans="1:28" x14ac:dyDescent="0.3">
      <c r="A109" s="35">
        <f t="shared" si="17"/>
        <v>47</v>
      </c>
      <c r="B109" s="35">
        <v>2</v>
      </c>
      <c r="C109" s="14">
        <v>43305.958333333336</v>
      </c>
      <c r="D109" s="18">
        <v>1.798332037</v>
      </c>
      <c r="E109" s="26">
        <f t="shared" si="18"/>
        <v>1.798332037</v>
      </c>
      <c r="F109" s="16">
        <v>1.831472E-3</v>
      </c>
      <c r="G109" s="10">
        <f t="shared" si="20"/>
        <v>0</v>
      </c>
      <c r="H109" s="10">
        <f t="shared" si="21"/>
        <v>0</v>
      </c>
      <c r="I109" s="73">
        <f t="shared" si="15"/>
        <v>0</v>
      </c>
      <c r="J109" s="9">
        <f>IF(F109&gt;VLOOKUP($B$16,$B$2:$F$9,5,FALSE),MAX(N109,-F109*(VLOOKUP(B109,$B$2:$E$9,4,FALSE)),-2*(6-H108),-(VLOOKUP(B109,$B$2:$G$9,6,FALSE)-D109)),0)</f>
        <v>0</v>
      </c>
      <c r="K109" s="9">
        <f t="shared" si="19"/>
        <v>0</v>
      </c>
      <c r="L109" s="28"/>
      <c r="M109" s="28"/>
      <c r="N109" s="23">
        <v>0</v>
      </c>
      <c r="O109" s="23">
        <v>0</v>
      </c>
      <c r="P109" s="2"/>
      <c r="Q109" s="2"/>
    </row>
    <row r="110" spans="1:28" s="91" customFormat="1" ht="15" thickBot="1" x14ac:dyDescent="0.35">
      <c r="A110" s="83">
        <f t="shared" si="17"/>
        <v>48</v>
      </c>
      <c r="B110" s="83">
        <v>2</v>
      </c>
      <c r="C110" s="84">
        <v>43305.979166666664</v>
      </c>
      <c r="D110" s="85">
        <v>1.6990239389999999</v>
      </c>
      <c r="E110" s="86">
        <f t="shared" si="18"/>
        <v>1.6990239389999999</v>
      </c>
      <c r="F110" s="87">
        <v>1.831472E-3</v>
      </c>
      <c r="G110" s="133">
        <f t="shared" si="20"/>
        <v>0</v>
      </c>
      <c r="H110" s="133">
        <f t="shared" si="21"/>
        <v>0</v>
      </c>
      <c r="I110" s="94">
        <f t="shared" si="15"/>
        <v>0</v>
      </c>
      <c r="J110" s="9">
        <f>IF(F110&gt;VLOOKUP($B$16,$B$2:$F$9,5,FALSE),MAX(N110,-F110*(VLOOKUP(B110,$B$2:$E$9,4,FALSE)),-2*(6-H109),-(VLOOKUP(B110,$B$2:$G$9,6,FALSE)-D110)),0)</f>
        <v>0</v>
      </c>
      <c r="K110" s="92">
        <f t="shared" si="19"/>
        <v>0</v>
      </c>
      <c r="L110" s="88"/>
      <c r="M110" s="88"/>
      <c r="N110" s="89">
        <v>0</v>
      </c>
      <c r="O110" s="89">
        <v>0</v>
      </c>
      <c r="P110" s="90"/>
      <c r="Q110" s="90"/>
    </row>
    <row r="111" spans="1:28" s="122" customFormat="1" x14ac:dyDescent="0.3">
      <c r="A111" s="113">
        <v>1</v>
      </c>
      <c r="B111" s="113">
        <v>3</v>
      </c>
      <c r="C111" s="114">
        <v>43306</v>
      </c>
      <c r="D111" s="115">
        <v>1.7096580219999999</v>
      </c>
      <c r="E111" s="116">
        <f t="shared" si="18"/>
        <v>1.7096580219999999</v>
      </c>
      <c r="F111" s="117">
        <v>1.831472E-3</v>
      </c>
      <c r="G111" s="118">
        <f t="shared" si="20"/>
        <v>0</v>
      </c>
      <c r="H111" s="118">
        <f t="shared" si="21"/>
        <v>0</v>
      </c>
      <c r="I111" s="119">
        <v>0</v>
      </c>
      <c r="J111" s="9">
        <f>IF(F111&gt;VLOOKUP($B$16,$B$2:$F$9,5,FALSE),MAX(N111,-F111*(VLOOKUP(B111,$B$2:$E$9,4,FALSE)),-2*(6-H110),-(VLOOKUP(B111,$B$2:$G$9,6,FALSE)-D111)),0)</f>
        <v>0</v>
      </c>
      <c r="K111" s="119">
        <f t="shared" si="19"/>
        <v>0</v>
      </c>
      <c r="L111" s="119">
        <f t="shared" ref="L111:L141" si="22">MIN(J111,F111)</f>
        <v>0</v>
      </c>
      <c r="M111" s="119">
        <f>J111-L111</f>
        <v>0</v>
      </c>
      <c r="N111" s="120">
        <v>-2.5</v>
      </c>
      <c r="O111" s="120">
        <v>0</v>
      </c>
      <c r="P111" s="121"/>
      <c r="Q111" s="121"/>
    </row>
    <row r="112" spans="1:28" x14ac:dyDescent="0.3">
      <c r="A112" s="35">
        <f>A111+1</f>
        <v>2</v>
      </c>
      <c r="B112" s="35">
        <v>3</v>
      </c>
      <c r="C112" s="14">
        <v>43306.020833333336</v>
      </c>
      <c r="D112" s="18">
        <v>1.6377309980000001</v>
      </c>
      <c r="E112" s="19">
        <f t="shared" si="18"/>
        <v>1.6377309980000001</v>
      </c>
      <c r="F112" s="16">
        <v>1.831472E-3</v>
      </c>
      <c r="G112" s="10">
        <f t="shared" si="20"/>
        <v>0</v>
      </c>
      <c r="H112" s="10">
        <f t="shared" si="21"/>
        <v>0</v>
      </c>
      <c r="I112" s="73">
        <f>MAX(0,MIN(O112,H111*2,(D112-Sheet1!$C$3)))</f>
        <v>0</v>
      </c>
      <c r="J112" s="9">
        <f>IF(F112&gt;VLOOKUP($B$16,$B$2:$F$9,5,FALSE),MAX(N112,-F112*(VLOOKUP(B112,$B$2:$E$9,4,FALSE)),-2*(6-H111),-(VLOOKUP(B112,$B$2:$G$9,6,FALSE)-D112)),0)</f>
        <v>0</v>
      </c>
      <c r="K112" s="9">
        <f t="shared" si="19"/>
        <v>0</v>
      </c>
      <c r="L112" s="9">
        <f t="shared" si="22"/>
        <v>0</v>
      </c>
      <c r="M112" s="9">
        <f t="shared" ref="M112:M141" si="23">J112-L112</f>
        <v>0</v>
      </c>
      <c r="N112" s="8">
        <v>-2.5</v>
      </c>
      <c r="O112" s="8">
        <v>0</v>
      </c>
      <c r="P112" s="2"/>
      <c r="Q112" s="2"/>
    </row>
    <row r="113" spans="1:17" x14ac:dyDescent="0.3">
      <c r="A113" s="35">
        <f t="shared" ref="A113:A158" si="24">A112+1</f>
        <v>3</v>
      </c>
      <c r="B113" s="35">
        <v>3</v>
      </c>
      <c r="C113" s="14">
        <v>43306.041666666664</v>
      </c>
      <c r="D113" s="18">
        <v>1.5499976900000001</v>
      </c>
      <c r="E113" s="19">
        <f t="shared" si="18"/>
        <v>1.5499976900000001</v>
      </c>
      <c r="F113" s="16">
        <v>1.831472E-3</v>
      </c>
      <c r="G113" s="10">
        <f t="shared" si="20"/>
        <v>0</v>
      </c>
      <c r="H113" s="10">
        <f t="shared" si="21"/>
        <v>0</v>
      </c>
      <c r="I113" s="73">
        <f>MAX(0,MIN(O113,H112*2,(D113-Sheet1!$C$3)))</f>
        <v>0</v>
      </c>
      <c r="J113" s="9">
        <f>IF(F113&gt;VLOOKUP($B$16,$B$2:$F$9,5,FALSE),MAX(N113,-F113*(VLOOKUP(B113,$B$2:$E$9,4,FALSE)),-2*(6-H112),-(VLOOKUP(B113,$B$2:$G$9,6,FALSE)-D113)),0)</f>
        <v>0</v>
      </c>
      <c r="K113" s="9">
        <f t="shared" si="19"/>
        <v>0</v>
      </c>
      <c r="L113" s="9">
        <f t="shared" si="22"/>
        <v>0</v>
      </c>
      <c r="M113" s="9">
        <f t="shared" si="23"/>
        <v>0</v>
      </c>
      <c r="N113" s="8">
        <v>-2.5</v>
      </c>
      <c r="O113" s="8">
        <v>0</v>
      </c>
      <c r="P113" s="2"/>
      <c r="Q113" s="2"/>
    </row>
    <row r="114" spans="1:17" x14ac:dyDescent="0.3">
      <c r="A114" s="35">
        <f t="shared" si="24"/>
        <v>4</v>
      </c>
      <c r="B114" s="35">
        <v>3</v>
      </c>
      <c r="C114" s="14">
        <v>43306.0625</v>
      </c>
      <c r="D114" s="18">
        <v>1.5099977710000001</v>
      </c>
      <c r="E114" s="19">
        <f t="shared" si="18"/>
        <v>1.5099977710000001</v>
      </c>
      <c r="F114" s="16">
        <v>1.831472E-3</v>
      </c>
      <c r="G114" s="10">
        <f t="shared" si="20"/>
        <v>0</v>
      </c>
      <c r="H114" s="10">
        <f t="shared" si="21"/>
        <v>0</v>
      </c>
      <c r="I114" s="73">
        <f>MAX(0,MIN(O114,H113*2,(D114-Sheet1!$C$3)))</f>
        <v>0</v>
      </c>
      <c r="J114" s="9">
        <f>IF(F114&gt;VLOOKUP($B$16,$B$2:$F$9,5,FALSE),MAX(N114,-F114*(VLOOKUP(B114,$B$2:$E$9,4,FALSE)),-2*(6-H113),-(VLOOKUP(B114,$B$2:$G$9,6,FALSE)-D114)),0)</f>
        <v>0</v>
      </c>
      <c r="K114" s="9">
        <f t="shared" si="19"/>
        <v>0</v>
      </c>
      <c r="L114" s="9">
        <f t="shared" si="22"/>
        <v>0</v>
      </c>
      <c r="M114" s="9">
        <f t="shared" si="23"/>
        <v>0</v>
      </c>
      <c r="N114" s="8">
        <v>-2.5</v>
      </c>
      <c r="O114" s="8">
        <v>0</v>
      </c>
      <c r="P114" s="2"/>
      <c r="Q114" s="2"/>
    </row>
    <row r="115" spans="1:17" x14ac:dyDescent="0.3">
      <c r="A115" s="35">
        <f t="shared" si="24"/>
        <v>5</v>
      </c>
      <c r="B115" s="35">
        <v>3</v>
      </c>
      <c r="C115" s="14">
        <v>43306.083333333336</v>
      </c>
      <c r="D115" s="18">
        <v>1.505703875</v>
      </c>
      <c r="E115" s="19">
        <f t="shared" si="18"/>
        <v>1.505703875</v>
      </c>
      <c r="F115" s="16">
        <v>1.831472E-3</v>
      </c>
      <c r="G115" s="10">
        <f t="shared" si="20"/>
        <v>0</v>
      </c>
      <c r="H115" s="10">
        <f t="shared" si="21"/>
        <v>0</v>
      </c>
      <c r="I115" s="73">
        <f>MAX(0,MIN(O115,H114*2,(D115-Sheet1!$C$3)))</f>
        <v>0</v>
      </c>
      <c r="J115" s="9">
        <f>IF(F115&gt;VLOOKUP($B$16,$B$2:$F$9,5,FALSE),MAX(N115,-F115*(VLOOKUP(B115,$B$2:$E$9,4,FALSE)),-2*(6-H114),-(VLOOKUP(B115,$B$2:$G$9,6,FALSE)-D115)),0)</f>
        <v>0</v>
      </c>
      <c r="K115" s="9">
        <f t="shared" si="19"/>
        <v>0</v>
      </c>
      <c r="L115" s="9">
        <f t="shared" si="22"/>
        <v>0</v>
      </c>
      <c r="M115" s="9">
        <f t="shared" si="23"/>
        <v>0</v>
      </c>
      <c r="N115" s="8">
        <v>-2.5</v>
      </c>
      <c r="O115" s="8">
        <v>0</v>
      </c>
      <c r="P115" s="2"/>
      <c r="Q115" s="2"/>
    </row>
    <row r="116" spans="1:17" x14ac:dyDescent="0.3">
      <c r="A116" s="35">
        <f t="shared" si="24"/>
        <v>6</v>
      </c>
      <c r="B116" s="35">
        <v>3</v>
      </c>
      <c r="C116" s="14">
        <v>43306.104166666664</v>
      </c>
      <c r="D116" s="18">
        <v>1.471773835</v>
      </c>
      <c r="E116" s="19">
        <f t="shared" si="18"/>
        <v>1.471773835</v>
      </c>
      <c r="F116" s="16">
        <v>1.831472E-3</v>
      </c>
      <c r="G116" s="10">
        <f t="shared" si="20"/>
        <v>0</v>
      </c>
      <c r="H116" s="10">
        <f t="shared" si="21"/>
        <v>0</v>
      </c>
      <c r="I116" s="73">
        <f>MAX(0,MIN(O116,H115*2,(D116-Sheet1!$C$3)))</f>
        <v>0</v>
      </c>
      <c r="J116" s="9">
        <f>IF(F116&gt;VLOOKUP($B$16,$B$2:$F$9,5,FALSE),MAX(N116,-F116*(VLOOKUP(B116,$B$2:$E$9,4,FALSE)),-2*(6-H115),-(VLOOKUP(B116,$B$2:$G$9,6,FALSE)-D116)),0)</f>
        <v>0</v>
      </c>
      <c r="K116" s="9">
        <f t="shared" si="19"/>
        <v>0</v>
      </c>
      <c r="L116" s="9">
        <f t="shared" si="22"/>
        <v>0</v>
      </c>
      <c r="M116" s="9">
        <f t="shared" si="23"/>
        <v>0</v>
      </c>
      <c r="N116" s="8">
        <v>-2.5</v>
      </c>
      <c r="O116" s="8">
        <v>0</v>
      </c>
      <c r="P116" s="2"/>
      <c r="Q116" s="2"/>
    </row>
    <row r="117" spans="1:17" x14ac:dyDescent="0.3">
      <c r="A117" s="35">
        <f t="shared" si="24"/>
        <v>7</v>
      </c>
      <c r="B117" s="35">
        <v>3</v>
      </c>
      <c r="C117" s="14">
        <v>43306.125</v>
      </c>
      <c r="D117" s="18">
        <v>1.4655074859999999</v>
      </c>
      <c r="E117" s="19">
        <f t="shared" si="18"/>
        <v>1.4655074859999999</v>
      </c>
      <c r="F117" s="16">
        <v>1.831472E-3</v>
      </c>
      <c r="G117" s="10">
        <f t="shared" si="20"/>
        <v>0</v>
      </c>
      <c r="H117" s="10">
        <f t="shared" si="21"/>
        <v>0</v>
      </c>
      <c r="I117" s="73">
        <f>MAX(0,MIN(O117,H116*2,(D117-Sheet1!$C$3)))</f>
        <v>0</v>
      </c>
      <c r="J117" s="9">
        <f>IF(F117&gt;VLOOKUP($B$16,$B$2:$F$9,5,FALSE),MAX(N117,-F117*(VLOOKUP(B117,$B$2:$E$9,4,FALSE)),-2*(6-H116),-(VLOOKUP(B117,$B$2:$G$9,6,FALSE)-D117)),0)</f>
        <v>0</v>
      </c>
      <c r="K117" s="9">
        <f t="shared" si="19"/>
        <v>0</v>
      </c>
      <c r="L117" s="9">
        <f t="shared" si="22"/>
        <v>0</v>
      </c>
      <c r="M117" s="9">
        <f t="shared" si="23"/>
        <v>0</v>
      </c>
      <c r="N117" s="8">
        <v>-2.5</v>
      </c>
      <c r="O117" s="8">
        <v>0</v>
      </c>
      <c r="P117" s="2"/>
      <c r="Q117" s="2"/>
    </row>
    <row r="118" spans="1:17" x14ac:dyDescent="0.3">
      <c r="A118" s="35">
        <f t="shared" si="24"/>
        <v>8</v>
      </c>
      <c r="B118" s="35">
        <v>3</v>
      </c>
      <c r="C118" s="14">
        <v>43306.145833333336</v>
      </c>
      <c r="D118" s="18">
        <v>1.4347148860000001</v>
      </c>
      <c r="E118" s="19">
        <f t="shared" si="18"/>
        <v>1.4347148860000001</v>
      </c>
      <c r="F118" s="16">
        <v>1.831472E-3</v>
      </c>
      <c r="G118" s="10">
        <f t="shared" si="20"/>
        <v>0</v>
      </c>
      <c r="H118" s="10">
        <f t="shared" si="21"/>
        <v>0</v>
      </c>
      <c r="I118" s="73">
        <f>MAX(0,MIN(O118,H117*2,(D118-Sheet1!$C$3)))</f>
        <v>0</v>
      </c>
      <c r="J118" s="9">
        <f>IF(F118&gt;VLOOKUP($B$16,$B$2:$F$9,5,FALSE),MAX(N118,-F118*(VLOOKUP(B118,$B$2:$E$9,4,FALSE)),-2*(6-H117),-(VLOOKUP(B118,$B$2:$G$9,6,FALSE)-D118)),0)</f>
        <v>0</v>
      </c>
      <c r="K118" s="9">
        <f t="shared" si="19"/>
        <v>0</v>
      </c>
      <c r="L118" s="9">
        <f t="shared" si="22"/>
        <v>0</v>
      </c>
      <c r="M118" s="9">
        <f t="shared" si="23"/>
        <v>0</v>
      </c>
      <c r="N118" s="8">
        <v>-2.5</v>
      </c>
      <c r="O118" s="8">
        <v>0</v>
      </c>
      <c r="P118" s="2"/>
      <c r="Q118" s="2"/>
    </row>
    <row r="119" spans="1:17" x14ac:dyDescent="0.3">
      <c r="A119" s="35">
        <f t="shared" si="24"/>
        <v>9</v>
      </c>
      <c r="B119" s="35">
        <v>3</v>
      </c>
      <c r="C119" s="14">
        <v>43306.166666666664</v>
      </c>
      <c r="D119" s="18">
        <v>1.5368697280000001</v>
      </c>
      <c r="E119" s="19">
        <f t="shared" si="18"/>
        <v>1.5368697280000001</v>
      </c>
      <c r="F119" s="16">
        <v>9.4638469999999992E-3</v>
      </c>
      <c r="G119" s="10">
        <f t="shared" si="20"/>
        <v>0</v>
      </c>
      <c r="H119" s="10">
        <f t="shared" si="21"/>
        <v>0</v>
      </c>
      <c r="I119" s="73">
        <f>MAX(0,MIN(O119,H118*2,(D119-Sheet1!$C$3)))</f>
        <v>0</v>
      </c>
      <c r="J119" s="9">
        <f>IF(F119&gt;VLOOKUP($B$16,$B$2:$F$9,5,FALSE),MAX(N119,-F119*(VLOOKUP(B119,$B$2:$E$9,4,FALSE)),-2*(6-H118),-(VLOOKUP(B119,$B$2:$G$9,6,FALSE)-D119)),0)</f>
        <v>0</v>
      </c>
      <c r="K119" s="9">
        <f t="shared" si="19"/>
        <v>0</v>
      </c>
      <c r="L119" s="9">
        <f t="shared" si="22"/>
        <v>0</v>
      </c>
      <c r="M119" s="9">
        <f t="shared" si="23"/>
        <v>0</v>
      </c>
      <c r="N119" s="8">
        <v>-2.5</v>
      </c>
      <c r="O119" s="8">
        <v>0</v>
      </c>
      <c r="P119" s="2"/>
      <c r="Q119" s="2"/>
    </row>
    <row r="120" spans="1:17" x14ac:dyDescent="0.3">
      <c r="A120" s="35">
        <f t="shared" si="24"/>
        <v>10</v>
      </c>
      <c r="B120" s="35">
        <v>3</v>
      </c>
      <c r="C120" s="14">
        <v>43306.1875</v>
      </c>
      <c r="D120" s="18">
        <v>1.6675015820000001</v>
      </c>
      <c r="E120" s="19">
        <f t="shared" si="18"/>
        <v>1.6675015820000001</v>
      </c>
      <c r="F120" s="16">
        <v>9.4638469999999992E-3</v>
      </c>
      <c r="G120" s="10">
        <f t="shared" si="20"/>
        <v>0</v>
      </c>
      <c r="H120" s="10">
        <f t="shared" si="21"/>
        <v>0</v>
      </c>
      <c r="I120" s="73">
        <f>MAX(0,MIN(O120,H119*2,(D120-Sheet1!$C$3)))</f>
        <v>0</v>
      </c>
      <c r="J120" s="9">
        <f>IF(F120&gt;VLOOKUP($B$16,$B$2:$F$9,5,FALSE),MAX(N120,-F120*(VLOOKUP(B120,$B$2:$E$9,4,FALSE)),-2*(6-H119),-(VLOOKUP(B120,$B$2:$G$9,6,FALSE)-D120)),0)</f>
        <v>0</v>
      </c>
      <c r="K120" s="9">
        <f t="shared" si="19"/>
        <v>0</v>
      </c>
      <c r="L120" s="9">
        <f t="shared" si="22"/>
        <v>0</v>
      </c>
      <c r="M120" s="9">
        <f t="shared" si="23"/>
        <v>0</v>
      </c>
      <c r="N120" s="8">
        <v>-2.5</v>
      </c>
      <c r="O120" s="8">
        <v>0</v>
      </c>
      <c r="P120" s="2"/>
      <c r="Q120" s="2"/>
    </row>
    <row r="121" spans="1:17" x14ac:dyDescent="0.3">
      <c r="A121" s="35">
        <f t="shared" si="24"/>
        <v>11</v>
      </c>
      <c r="B121" s="35">
        <v>3</v>
      </c>
      <c r="C121" s="14">
        <v>43306.208333333336</v>
      </c>
      <c r="D121" s="18">
        <v>1.9608619540000001</v>
      </c>
      <c r="E121" s="19">
        <f t="shared" si="18"/>
        <v>1.9608619540000001</v>
      </c>
      <c r="F121" s="16">
        <v>0.21371257299999999</v>
      </c>
      <c r="G121" s="10">
        <f t="shared" si="20"/>
        <v>0</v>
      </c>
      <c r="H121" s="10">
        <f t="shared" si="21"/>
        <v>0</v>
      </c>
      <c r="I121" s="73">
        <f>MAX(0,MIN(O121,H120*2,(D121-Sheet1!$C$3)))</f>
        <v>0</v>
      </c>
      <c r="J121" s="9">
        <f>IF(F121&gt;VLOOKUP($B$16,$B$2:$F$9,5,FALSE),MAX(N121,-F121*(VLOOKUP(B121,$B$2:$E$9,4,FALSE)),-2*(6-H120),-(VLOOKUP(B121,$B$2:$G$9,6,FALSE)-D121)),0)</f>
        <v>0</v>
      </c>
      <c r="K121" s="9">
        <f t="shared" si="19"/>
        <v>0</v>
      </c>
      <c r="L121" s="9">
        <f t="shared" si="22"/>
        <v>0</v>
      </c>
      <c r="M121" s="9">
        <f t="shared" si="23"/>
        <v>0</v>
      </c>
      <c r="N121" s="8">
        <v>-2.5</v>
      </c>
      <c r="O121" s="8">
        <v>0</v>
      </c>
      <c r="P121" s="2"/>
      <c r="Q121" s="2"/>
    </row>
    <row r="122" spans="1:17" x14ac:dyDescent="0.3">
      <c r="A122" s="35">
        <f t="shared" si="24"/>
        <v>12</v>
      </c>
      <c r="B122" s="35">
        <v>3</v>
      </c>
      <c r="C122" s="14">
        <v>43306.229166666664</v>
      </c>
      <c r="D122" s="18">
        <v>2.2431104080000002</v>
      </c>
      <c r="E122" s="19">
        <f t="shared" si="18"/>
        <v>2.2431104080000002</v>
      </c>
      <c r="F122" s="16">
        <v>0.21371257299999999</v>
      </c>
      <c r="G122" s="10">
        <f t="shared" si="20"/>
        <v>0</v>
      </c>
      <c r="H122" s="10">
        <f t="shared" si="21"/>
        <v>0</v>
      </c>
      <c r="I122" s="73">
        <f>MAX(0,MIN(O122,H121*2,(D122-Sheet1!$C$3)))</f>
        <v>0</v>
      </c>
      <c r="J122" s="9">
        <f>IF(F122&gt;VLOOKUP($B$16,$B$2:$F$9,5,FALSE),MAX(N122,-F122*(VLOOKUP(B122,$B$2:$E$9,4,FALSE)),-2*(6-H121),-(VLOOKUP(B122,$B$2:$G$9,6,FALSE)-D122)),0)</f>
        <v>0</v>
      </c>
      <c r="K122" s="9">
        <f t="shared" si="19"/>
        <v>0</v>
      </c>
      <c r="L122" s="9">
        <f t="shared" si="22"/>
        <v>0</v>
      </c>
      <c r="M122" s="9">
        <f t="shared" si="23"/>
        <v>0</v>
      </c>
      <c r="N122" s="8">
        <v>-2.5</v>
      </c>
      <c r="O122" s="8">
        <v>0</v>
      </c>
      <c r="P122" s="2"/>
      <c r="Q122" s="2"/>
    </row>
    <row r="123" spans="1:17" x14ac:dyDescent="0.3">
      <c r="A123" s="35">
        <f t="shared" si="24"/>
        <v>13</v>
      </c>
      <c r="B123" s="35">
        <v>3</v>
      </c>
      <c r="C123" s="14">
        <v>43306.25</v>
      </c>
      <c r="D123" s="18">
        <v>2.635247245</v>
      </c>
      <c r="E123" s="19">
        <f t="shared" si="18"/>
        <v>2.635247245</v>
      </c>
      <c r="F123" s="16">
        <v>0.47486701599999998</v>
      </c>
      <c r="G123" s="10">
        <f t="shared" si="20"/>
        <v>0</v>
      </c>
      <c r="H123" s="10">
        <f t="shared" si="21"/>
        <v>0</v>
      </c>
      <c r="I123" s="73">
        <f>MAX(0,MIN(O123,H122*2,(D123-Sheet1!$C$3)))</f>
        <v>0</v>
      </c>
      <c r="J123" s="9">
        <f>IF(F123&gt;VLOOKUP($B$16,$B$2:$F$9,5,FALSE),MAX(N123,-F123*(VLOOKUP(B123,$B$2:$E$9,4,FALSE)),-2*(6-H122),-(VLOOKUP(B123,$B$2:$G$9,6,FALSE)-D123)),0)</f>
        <v>0</v>
      </c>
      <c r="K123" s="9">
        <f t="shared" si="19"/>
        <v>0</v>
      </c>
      <c r="L123" s="9">
        <f t="shared" si="22"/>
        <v>0</v>
      </c>
      <c r="M123" s="9">
        <f t="shared" si="23"/>
        <v>0</v>
      </c>
      <c r="N123" s="8">
        <v>-2.5</v>
      </c>
      <c r="O123" s="8">
        <v>0</v>
      </c>
      <c r="P123" s="2"/>
      <c r="Q123" s="2"/>
    </row>
    <row r="124" spans="1:17" x14ac:dyDescent="0.3">
      <c r="A124" s="35">
        <f t="shared" si="24"/>
        <v>14</v>
      </c>
      <c r="B124" s="35">
        <v>3</v>
      </c>
      <c r="C124" s="14">
        <v>43306.270833333336</v>
      </c>
      <c r="D124" s="18">
        <v>2.76680905</v>
      </c>
      <c r="E124" s="19">
        <f t="shared" si="18"/>
        <v>2.76680905</v>
      </c>
      <c r="F124" s="16">
        <v>0.70431911899999999</v>
      </c>
      <c r="G124" s="10">
        <f t="shared" si="20"/>
        <v>0</v>
      </c>
      <c r="H124" s="10">
        <f t="shared" si="21"/>
        <v>0</v>
      </c>
      <c r="I124" s="73">
        <f>MAX(0,MIN(O124,H123*2,(D124-Sheet1!$C$3)))</f>
        <v>0</v>
      </c>
      <c r="J124" s="9">
        <f>IF(F124&gt;VLOOKUP($B$16,$B$2:$F$9,5,FALSE),MAX(N124,-F124*(VLOOKUP(B124,$B$2:$E$9,4,FALSE)),-2*(6-H123),-(VLOOKUP(B124,$B$2:$G$9,6,FALSE)-D124)),0)</f>
        <v>0</v>
      </c>
      <c r="K124" s="9">
        <f t="shared" si="19"/>
        <v>0</v>
      </c>
      <c r="L124" s="9">
        <f t="shared" si="22"/>
        <v>0</v>
      </c>
      <c r="M124" s="9">
        <f t="shared" si="23"/>
        <v>0</v>
      </c>
      <c r="N124" s="8">
        <v>-2.5</v>
      </c>
      <c r="O124" s="8">
        <v>0</v>
      </c>
      <c r="P124" s="2"/>
      <c r="Q124" s="2"/>
    </row>
    <row r="125" spans="1:17" x14ac:dyDescent="0.3">
      <c r="A125" s="35">
        <f t="shared" si="24"/>
        <v>15</v>
      </c>
      <c r="B125" s="35">
        <v>3</v>
      </c>
      <c r="C125" s="14">
        <v>43306.291666666664</v>
      </c>
      <c r="D125" s="18">
        <v>2.8475052139999999</v>
      </c>
      <c r="E125" s="19">
        <f t="shared" si="18"/>
        <v>3.1615813880000001</v>
      </c>
      <c r="F125" s="16">
        <v>1.1859240529999999</v>
      </c>
      <c r="G125" s="10">
        <f t="shared" si="20"/>
        <v>0.31407617400000021</v>
      </c>
      <c r="H125" s="10">
        <f t="shared" si="21"/>
        <v>0.1570380870000001</v>
      </c>
      <c r="I125" s="73">
        <f>MAX(0,MIN(O125,H124*2,(D125-Sheet1!$C$3)))</f>
        <v>0</v>
      </c>
      <c r="J125" s="9">
        <f>IF(F125&gt;VLOOKUP($B$16,$B$2:$F$9,5,FALSE),MAX(N125,-F125*(VLOOKUP(B125,$B$2:$E$9,4,FALSE)),-2*(6-H124),-(VLOOKUP(B125,$B$2:$G$9,6,FALSE)-D125)),0)</f>
        <v>-0.31407617400000021</v>
      </c>
      <c r="K125" s="9">
        <f t="shared" si="19"/>
        <v>0</v>
      </c>
      <c r="L125" s="9">
        <f t="shared" si="22"/>
        <v>-0.31407617400000021</v>
      </c>
      <c r="M125" s="9">
        <f t="shared" si="23"/>
        <v>0</v>
      </c>
      <c r="N125" s="8">
        <v>-2.5</v>
      </c>
      <c r="O125" s="8">
        <v>0</v>
      </c>
      <c r="P125" s="2"/>
      <c r="Q125" s="2"/>
    </row>
    <row r="126" spans="1:17" x14ac:dyDescent="0.3">
      <c r="A126" s="35">
        <f t="shared" si="24"/>
        <v>16</v>
      </c>
      <c r="B126" s="35">
        <v>3</v>
      </c>
      <c r="C126" s="14">
        <v>43306.3125</v>
      </c>
      <c r="D126" s="18">
        <v>2.8229540439999998</v>
      </c>
      <c r="E126" s="19">
        <f t="shared" si="18"/>
        <v>3.1615813880000001</v>
      </c>
      <c r="F126" s="16">
        <v>1.420078516</v>
      </c>
      <c r="G126" s="10">
        <f t="shared" si="20"/>
        <v>0.33862734400000027</v>
      </c>
      <c r="H126" s="10">
        <f t="shared" si="21"/>
        <v>0.32635175900000024</v>
      </c>
      <c r="I126" s="73">
        <f>MAX(0,MIN(O126,H125*2,(D126-Sheet1!$C$3)))</f>
        <v>0</v>
      </c>
      <c r="J126" s="9">
        <f>IF(F126&gt;VLOOKUP($B$16,$B$2:$F$9,5,FALSE),MAX(N126,-F126*(VLOOKUP(B126,$B$2:$E$9,4,FALSE)),-2*(6-H125),-(VLOOKUP(B126,$B$2:$G$9,6,FALSE)-D126)),0)</f>
        <v>-0.33862734400000027</v>
      </c>
      <c r="K126" s="9">
        <f t="shared" si="19"/>
        <v>0</v>
      </c>
      <c r="L126" s="9">
        <f t="shared" si="22"/>
        <v>-0.33862734400000027</v>
      </c>
      <c r="M126" s="9">
        <f t="shared" si="23"/>
        <v>0</v>
      </c>
      <c r="N126" s="8">
        <v>-2.5</v>
      </c>
      <c r="O126" s="8">
        <v>0</v>
      </c>
      <c r="P126" s="2"/>
      <c r="Q126" s="2"/>
    </row>
    <row r="127" spans="1:17" x14ac:dyDescent="0.3">
      <c r="A127" s="35">
        <f t="shared" si="24"/>
        <v>17</v>
      </c>
      <c r="B127" s="35">
        <v>3</v>
      </c>
      <c r="C127" s="14">
        <v>43306.333333333336</v>
      </c>
      <c r="D127" s="18">
        <v>2.7104884600000001</v>
      </c>
      <c r="E127" s="19">
        <f t="shared" si="18"/>
        <v>3.1615813880000001</v>
      </c>
      <c r="F127" s="16">
        <v>1.81648612</v>
      </c>
      <c r="G127" s="10">
        <f t="shared" si="20"/>
        <v>0.451092928</v>
      </c>
      <c r="H127" s="10">
        <f t="shared" si="21"/>
        <v>0.55189822300000024</v>
      </c>
      <c r="I127" s="73">
        <f>MAX(0,MIN(O127,H126*2,(D127-Sheet1!$C$3)))</f>
        <v>0</v>
      </c>
      <c r="J127" s="9">
        <f>IF(F127&gt;VLOOKUP($B$16,$B$2:$F$9,5,FALSE),MAX(N127,-F127*(VLOOKUP(B127,$B$2:$E$9,4,FALSE)),-2*(6-H126),-(VLOOKUP(B127,$B$2:$G$9,6,FALSE)-D127)),0)</f>
        <v>-0.451092928</v>
      </c>
      <c r="K127" s="9">
        <f t="shared" si="19"/>
        <v>0</v>
      </c>
      <c r="L127" s="9">
        <f t="shared" si="22"/>
        <v>-0.451092928</v>
      </c>
      <c r="M127" s="9">
        <f t="shared" si="23"/>
        <v>0</v>
      </c>
      <c r="N127" s="8">
        <v>-2.5</v>
      </c>
      <c r="O127" s="8">
        <v>0</v>
      </c>
      <c r="P127" s="2"/>
      <c r="Q127" s="2"/>
    </row>
    <row r="128" spans="1:17" x14ac:dyDescent="0.3">
      <c r="A128" s="35">
        <f t="shared" si="24"/>
        <v>18</v>
      </c>
      <c r="B128" s="35">
        <v>3</v>
      </c>
      <c r="C128" s="14">
        <v>43306.354166666664</v>
      </c>
      <c r="D128" s="18">
        <v>2.677557706</v>
      </c>
      <c r="E128" s="19">
        <f t="shared" si="18"/>
        <v>3.1615813880000001</v>
      </c>
      <c r="F128" s="16">
        <v>2.0001134870000001</v>
      </c>
      <c r="G128" s="10">
        <f t="shared" si="20"/>
        <v>0.48402368200000012</v>
      </c>
      <c r="H128" s="10">
        <f t="shared" si="21"/>
        <v>0.7939100640000003</v>
      </c>
      <c r="I128" s="73">
        <f>MAX(0,MIN(O128,H127*2,(D128-Sheet1!$C$3)))</f>
        <v>0</v>
      </c>
      <c r="J128" s="9">
        <f>IF(F128&gt;VLOOKUP($B$16,$B$2:$F$9,5,FALSE),MAX(N128,-F128*(VLOOKUP(B128,$B$2:$E$9,4,FALSE)),-2*(6-H127),-(VLOOKUP(B128,$B$2:$G$9,6,FALSE)-D128)),0)</f>
        <v>-0.48402368200000012</v>
      </c>
      <c r="K128" s="9">
        <f t="shared" si="19"/>
        <v>0</v>
      </c>
      <c r="L128" s="9">
        <f t="shared" si="22"/>
        <v>-0.48402368200000012</v>
      </c>
      <c r="M128" s="9">
        <f t="shared" si="23"/>
        <v>0</v>
      </c>
      <c r="N128" s="8">
        <v>-2.5</v>
      </c>
      <c r="O128" s="8">
        <v>0</v>
      </c>
      <c r="P128" s="2"/>
      <c r="Q128" s="2"/>
    </row>
    <row r="129" spans="1:28" x14ac:dyDescent="0.3">
      <c r="A129" s="35">
        <f t="shared" si="24"/>
        <v>19</v>
      </c>
      <c r="B129" s="35">
        <v>3</v>
      </c>
      <c r="C129" s="14">
        <v>43306.375</v>
      </c>
      <c r="D129" s="18">
        <v>2.5261752020000001</v>
      </c>
      <c r="E129" s="19">
        <f t="shared" si="18"/>
        <v>3.1615813880000001</v>
      </c>
      <c r="F129" s="16">
        <v>2.8479108809999998</v>
      </c>
      <c r="G129" s="10">
        <f t="shared" si="20"/>
        <v>0.63540618599999998</v>
      </c>
      <c r="H129" s="10">
        <f t="shared" si="21"/>
        <v>1.1116131570000003</v>
      </c>
      <c r="I129" s="73">
        <f>MAX(0,MIN(O129,H128*2,(D129-Sheet1!$C$3)))</f>
        <v>0</v>
      </c>
      <c r="J129" s="9">
        <f>IF(F129&gt;VLOOKUP($B$16,$B$2:$F$9,5,FALSE),MAX(N129,-F129*(VLOOKUP(B129,$B$2:$E$9,4,FALSE)),-2*(6-H128),-(VLOOKUP(B129,$B$2:$G$9,6,FALSE)-D129)),0)</f>
        <v>-0.63540618599999998</v>
      </c>
      <c r="K129" s="9">
        <f t="shared" si="19"/>
        <v>0</v>
      </c>
      <c r="L129" s="9">
        <f t="shared" si="22"/>
        <v>-0.63540618599999998</v>
      </c>
      <c r="M129" s="9">
        <f t="shared" si="23"/>
        <v>0</v>
      </c>
      <c r="N129" s="8">
        <v>-2.5</v>
      </c>
      <c r="O129" s="8">
        <v>0</v>
      </c>
      <c r="P129" s="2"/>
      <c r="Q129" s="2"/>
    </row>
    <row r="130" spans="1:28" x14ac:dyDescent="0.3">
      <c r="A130" s="35">
        <f t="shared" si="24"/>
        <v>20</v>
      </c>
      <c r="B130" s="35">
        <v>3</v>
      </c>
      <c r="C130" s="14">
        <v>43306.395833333336</v>
      </c>
      <c r="D130" s="18">
        <v>2.478450397</v>
      </c>
      <c r="E130" s="19">
        <f t="shared" si="18"/>
        <v>3.1615813880000001</v>
      </c>
      <c r="F130" s="16">
        <v>2.9648921490000002</v>
      </c>
      <c r="G130" s="10">
        <f t="shared" si="20"/>
        <v>0.68313099100000008</v>
      </c>
      <c r="H130" s="10">
        <f t="shared" si="21"/>
        <v>1.4531786525000003</v>
      </c>
      <c r="I130" s="73">
        <f>MAX(0,MIN(O130,H129*2,(D130-Sheet1!$C$3)))</f>
        <v>0</v>
      </c>
      <c r="J130" s="9">
        <f>IF(F130&gt;VLOOKUP($B$16,$B$2:$F$9,5,FALSE),MAX(N130,-F130*(VLOOKUP(B130,$B$2:$E$9,4,FALSE)),-2*(6-H129),-(VLOOKUP(B130,$B$2:$G$9,6,FALSE)-D130)),0)</f>
        <v>-0.68313099100000008</v>
      </c>
      <c r="K130" s="9">
        <f t="shared" si="19"/>
        <v>0</v>
      </c>
      <c r="L130" s="9">
        <f t="shared" si="22"/>
        <v>-0.68313099100000008</v>
      </c>
      <c r="M130" s="9">
        <f t="shared" si="23"/>
        <v>0</v>
      </c>
      <c r="N130" s="8">
        <v>-2.5</v>
      </c>
      <c r="O130" s="8">
        <v>0</v>
      </c>
      <c r="P130" s="2"/>
      <c r="Q130" s="2"/>
    </row>
    <row r="131" spans="1:28" x14ac:dyDescent="0.3">
      <c r="A131" s="35">
        <f t="shared" si="24"/>
        <v>21</v>
      </c>
      <c r="B131" s="35">
        <v>3</v>
      </c>
      <c r="C131" s="14">
        <v>43306.416666666664</v>
      </c>
      <c r="D131" s="18">
        <v>2.3407295440000002</v>
      </c>
      <c r="E131" s="19">
        <f t="shared" si="18"/>
        <v>3.1615813880000001</v>
      </c>
      <c r="F131" s="16">
        <v>3.1653351779999999</v>
      </c>
      <c r="G131" s="10">
        <f t="shared" si="20"/>
        <v>0.82085184399999989</v>
      </c>
      <c r="H131" s="10">
        <f t="shared" si="21"/>
        <v>1.8636045745000003</v>
      </c>
      <c r="I131" s="73">
        <f>MAX(0,MIN(O131,H130*2,(D131-Sheet1!$C$3)))</f>
        <v>0</v>
      </c>
      <c r="J131" s="9">
        <f>IF(F131&gt;VLOOKUP($B$16,$B$2:$F$9,5,FALSE),MAX(N131,-F131*(VLOOKUP(B131,$B$2:$E$9,4,FALSE)),-2*(6-H130),-(VLOOKUP(B131,$B$2:$G$9,6,FALSE)-D131)),0)</f>
        <v>-0.82085184399999989</v>
      </c>
      <c r="K131" s="9">
        <f t="shared" si="19"/>
        <v>0</v>
      </c>
      <c r="L131" s="9">
        <f t="shared" si="22"/>
        <v>-0.82085184399999989</v>
      </c>
      <c r="M131" s="9">
        <f t="shared" si="23"/>
        <v>0</v>
      </c>
      <c r="N131" s="8">
        <v>-2.5</v>
      </c>
      <c r="O131" s="8">
        <v>0</v>
      </c>
      <c r="P131" s="2"/>
      <c r="Q131" s="2"/>
    </row>
    <row r="132" spans="1:28" x14ac:dyDescent="0.3">
      <c r="A132" s="35">
        <f t="shared" si="24"/>
        <v>22</v>
      </c>
      <c r="B132" s="35">
        <v>3</v>
      </c>
      <c r="C132" s="14">
        <v>43306.4375</v>
      </c>
      <c r="D132" s="18">
        <v>2.3149936439999999</v>
      </c>
      <c r="E132" s="19">
        <f t="shared" si="18"/>
        <v>3.1615813880000001</v>
      </c>
      <c r="F132" s="16">
        <v>3.21771121</v>
      </c>
      <c r="G132" s="10">
        <f t="shared" si="20"/>
        <v>0.84658774400000025</v>
      </c>
      <c r="H132" s="10">
        <f t="shared" si="21"/>
        <v>2.2868984465000004</v>
      </c>
      <c r="I132" s="73">
        <f>MAX(0,MIN(O132,H131*2,(D132-Sheet1!$C$3)))</f>
        <v>0</v>
      </c>
      <c r="J132" s="9">
        <f>IF(F132&gt;VLOOKUP($B$16,$B$2:$F$9,5,FALSE),MAX(N132,-F132*(VLOOKUP(B132,$B$2:$E$9,4,FALSE)),-2*(6-H131),-(VLOOKUP(B132,$B$2:$G$9,6,FALSE)-D132)),0)</f>
        <v>-0.84658774400000025</v>
      </c>
      <c r="K132" s="9">
        <f t="shared" si="19"/>
        <v>0</v>
      </c>
      <c r="L132" s="9">
        <f t="shared" si="22"/>
        <v>-0.84658774400000025</v>
      </c>
      <c r="M132" s="9">
        <f t="shared" si="23"/>
        <v>0</v>
      </c>
      <c r="N132" s="8">
        <v>-2.5</v>
      </c>
      <c r="O132" s="8">
        <v>0</v>
      </c>
      <c r="P132" s="2"/>
      <c r="Q132" s="2"/>
    </row>
    <row r="133" spans="1:28" x14ac:dyDescent="0.3">
      <c r="A133" s="35">
        <f t="shared" si="24"/>
        <v>23</v>
      </c>
      <c r="B133" s="35">
        <v>3</v>
      </c>
      <c r="C133" s="14">
        <v>43306.458333333336</v>
      </c>
      <c r="D133" s="18">
        <v>2.2981326609999999</v>
      </c>
      <c r="E133" s="19">
        <f t="shared" si="18"/>
        <v>3.1615813880000001</v>
      </c>
      <c r="F133" s="16">
        <v>3.5038995740000001</v>
      </c>
      <c r="G133" s="10">
        <f t="shared" si="20"/>
        <v>0.86344872700000019</v>
      </c>
      <c r="H133" s="10">
        <f t="shared" si="21"/>
        <v>2.7186228100000003</v>
      </c>
      <c r="I133" s="73">
        <f>MAX(0,MIN(O133,H132*2,(D133-Sheet1!$C$3)))</f>
        <v>0</v>
      </c>
      <c r="J133" s="9">
        <f>IF(F133&gt;VLOOKUP($B$16,$B$2:$F$9,5,FALSE),MAX(N133,-F133*(VLOOKUP(B133,$B$2:$E$9,4,FALSE)),-2*(6-H132),-(VLOOKUP(B133,$B$2:$G$9,6,FALSE)-D133)),0)</f>
        <v>-0.86344872700000019</v>
      </c>
      <c r="K133" s="9">
        <f t="shared" si="19"/>
        <v>0</v>
      </c>
      <c r="L133" s="9">
        <f t="shared" si="22"/>
        <v>-0.86344872700000019</v>
      </c>
      <c r="M133" s="9">
        <f t="shared" si="23"/>
        <v>0</v>
      </c>
      <c r="N133" s="8">
        <v>-2.5</v>
      </c>
      <c r="O133" s="8">
        <v>0</v>
      </c>
      <c r="P133" s="2"/>
      <c r="Q133" s="2"/>
    </row>
    <row r="134" spans="1:28" x14ac:dyDescent="0.3">
      <c r="A134" s="35">
        <f t="shared" si="24"/>
        <v>24</v>
      </c>
      <c r="B134" s="35">
        <v>3</v>
      </c>
      <c r="C134" s="14">
        <v>43306.479166666664</v>
      </c>
      <c r="D134" s="18">
        <v>2.2696045659999999</v>
      </c>
      <c r="E134" s="19">
        <f t="shared" si="18"/>
        <v>3.1615813880000001</v>
      </c>
      <c r="F134" s="16">
        <v>3.521219254</v>
      </c>
      <c r="G134" s="10">
        <f t="shared" si="20"/>
        <v>0.89197682200000017</v>
      </c>
      <c r="H134" s="10">
        <f t="shared" si="21"/>
        <v>3.1646112210000004</v>
      </c>
      <c r="I134" s="73">
        <f>MAX(0,MIN(O134,H133*2,(D134-Sheet1!$C$3)))</f>
        <v>0</v>
      </c>
      <c r="J134" s="9">
        <f>IF(F134&gt;VLOOKUP($B$16,$B$2:$F$9,5,FALSE),MAX(N134,-F134*(VLOOKUP(B134,$B$2:$E$9,4,FALSE)),-2*(6-H133),-(VLOOKUP(B134,$B$2:$G$9,6,FALSE)-D134)),0)</f>
        <v>-0.89197682200000017</v>
      </c>
      <c r="K134" s="9">
        <f t="shared" si="19"/>
        <v>0</v>
      </c>
      <c r="L134" s="9">
        <f t="shared" si="22"/>
        <v>-0.89197682200000017</v>
      </c>
      <c r="M134" s="9">
        <f t="shared" si="23"/>
        <v>0</v>
      </c>
      <c r="N134" s="8">
        <v>-2.5</v>
      </c>
      <c r="O134" s="8">
        <v>0</v>
      </c>
      <c r="P134" s="2"/>
      <c r="Q134" s="2"/>
    </row>
    <row r="135" spans="1:28" x14ac:dyDescent="0.3">
      <c r="A135" s="35">
        <f t="shared" si="24"/>
        <v>25</v>
      </c>
      <c r="B135" s="35">
        <v>3</v>
      </c>
      <c r="C135" s="14">
        <v>43306.5</v>
      </c>
      <c r="D135" s="18">
        <v>2.221624104</v>
      </c>
      <c r="E135" s="19">
        <f t="shared" si="18"/>
        <v>3.1615813880000001</v>
      </c>
      <c r="F135" s="16">
        <v>3.6039841180000001</v>
      </c>
      <c r="G135" s="10">
        <f t="shared" si="20"/>
        <v>0.93995728400000012</v>
      </c>
      <c r="H135" s="10">
        <f t="shared" si="21"/>
        <v>3.6345898630000004</v>
      </c>
      <c r="I135" s="73">
        <f>MAX(0,MIN(O135,H134*2,(D135-Sheet1!$C$3)))</f>
        <v>0</v>
      </c>
      <c r="J135" s="9">
        <f>IF(F135&gt;VLOOKUP($B$16,$B$2:$F$9,5,FALSE),MAX(N135,-F135*(VLOOKUP(B135,$B$2:$E$9,4,FALSE)),-2*(6-H134),-(VLOOKUP(B135,$B$2:$G$9,6,FALSE)-D135)),0)</f>
        <v>-0.93995728400000012</v>
      </c>
      <c r="K135" s="9">
        <f t="shared" si="19"/>
        <v>0</v>
      </c>
      <c r="L135" s="9">
        <f t="shared" si="22"/>
        <v>-0.93995728400000012</v>
      </c>
      <c r="M135" s="9">
        <f t="shared" si="23"/>
        <v>0</v>
      </c>
      <c r="N135" s="8">
        <v>-2.5</v>
      </c>
      <c r="O135" s="8">
        <v>0</v>
      </c>
      <c r="P135" s="2"/>
      <c r="Q135" s="2"/>
    </row>
    <row r="136" spans="1:28" x14ac:dyDescent="0.3">
      <c r="A136" s="35">
        <f t="shared" si="24"/>
        <v>26</v>
      </c>
      <c r="B136" s="35">
        <v>3</v>
      </c>
      <c r="C136" s="14">
        <v>43306.520833333336</v>
      </c>
      <c r="D136" s="18">
        <v>2.1622142050000002</v>
      </c>
      <c r="E136" s="19">
        <f t="shared" si="18"/>
        <v>3.1615813880000001</v>
      </c>
      <c r="F136" s="16">
        <v>3.5919110769999998</v>
      </c>
      <c r="G136" s="10">
        <f t="shared" si="20"/>
        <v>0.99936718299999994</v>
      </c>
      <c r="H136" s="10">
        <f t="shared" si="21"/>
        <v>4.1342734545000006</v>
      </c>
      <c r="I136" s="73">
        <f>MAX(0,MIN(O136,H135*2,(D136-Sheet1!$C$3)))</f>
        <v>0</v>
      </c>
      <c r="J136" s="9">
        <f>IF(F136&gt;VLOOKUP($B$16,$B$2:$F$9,5,FALSE),MAX(N136,-F136*(VLOOKUP(B136,$B$2:$E$9,4,FALSE)),-2*(6-H135),-(VLOOKUP(B136,$B$2:$G$9,6,FALSE)-D136)),0)</f>
        <v>-0.99936718299999994</v>
      </c>
      <c r="K136" s="9">
        <f t="shared" si="19"/>
        <v>0</v>
      </c>
      <c r="L136" s="9">
        <f t="shared" si="22"/>
        <v>-0.99936718299999994</v>
      </c>
      <c r="M136" s="9">
        <f t="shared" si="23"/>
        <v>0</v>
      </c>
      <c r="N136" s="8">
        <v>-2.5</v>
      </c>
      <c r="O136" s="8">
        <v>0</v>
      </c>
      <c r="P136" s="2"/>
      <c r="Q136" s="2"/>
    </row>
    <row r="137" spans="1:28" x14ac:dyDescent="0.3">
      <c r="A137" s="35">
        <f t="shared" si="24"/>
        <v>27</v>
      </c>
      <c r="B137" s="35">
        <v>3</v>
      </c>
      <c r="C137" s="14">
        <v>43306.541666666664</v>
      </c>
      <c r="D137" s="18">
        <v>2.1240035530000001</v>
      </c>
      <c r="E137" s="19">
        <f t="shared" si="18"/>
        <v>3.1615813880000001</v>
      </c>
      <c r="F137" s="16">
        <v>3.5945687290000001</v>
      </c>
      <c r="G137" s="10">
        <f t="shared" si="20"/>
        <v>1.037577835</v>
      </c>
      <c r="H137" s="10">
        <f t="shared" si="21"/>
        <v>4.6530623720000008</v>
      </c>
      <c r="I137" s="73">
        <f>MAX(0,MIN(O137,H136*2,(D137-Sheet1!$C$3)))</f>
        <v>0</v>
      </c>
      <c r="J137" s="9">
        <f>IF(F137&gt;VLOOKUP($B$16,$B$2:$F$9,5,FALSE),MAX(N137,-F137*(VLOOKUP(B137,$B$2:$E$9,4,FALSE)),-2*(6-H136),-(VLOOKUP(B137,$B$2:$G$9,6,FALSE)-D137)),0)</f>
        <v>-1.037577835</v>
      </c>
      <c r="K137" s="9">
        <f t="shared" si="19"/>
        <v>0</v>
      </c>
      <c r="L137" s="9">
        <f t="shared" si="22"/>
        <v>-1.037577835</v>
      </c>
      <c r="M137" s="9">
        <f t="shared" si="23"/>
        <v>0</v>
      </c>
      <c r="N137" s="8">
        <v>-2.5</v>
      </c>
      <c r="O137" s="8">
        <v>0</v>
      </c>
      <c r="P137" s="2"/>
      <c r="Q137" s="2"/>
    </row>
    <row r="138" spans="1:28" x14ac:dyDescent="0.3">
      <c r="A138" s="35">
        <f t="shared" si="24"/>
        <v>28</v>
      </c>
      <c r="B138" s="35">
        <v>3</v>
      </c>
      <c r="C138" s="14">
        <v>43306.5625</v>
      </c>
      <c r="D138" s="18">
        <v>2.1084292640000002</v>
      </c>
      <c r="E138" s="19">
        <f t="shared" si="18"/>
        <v>3.1615813880000001</v>
      </c>
      <c r="F138" s="16">
        <v>3.5945687290000001</v>
      </c>
      <c r="G138" s="10">
        <f t="shared" si="20"/>
        <v>1.0531521239999999</v>
      </c>
      <c r="H138" s="10">
        <f t="shared" si="21"/>
        <v>5.179638434000001</v>
      </c>
      <c r="I138" s="73">
        <f>MAX(0,MIN(O138,H137*2,(D138-Sheet1!$C$3)))</f>
        <v>0</v>
      </c>
      <c r="J138" s="9">
        <f>IF(F138&gt;VLOOKUP($B$16,$B$2:$F$9,5,FALSE),MAX(N138,-F138*(VLOOKUP(B138,$B$2:$E$9,4,FALSE)),-2*(6-H137),-(VLOOKUP(B138,$B$2:$G$9,6,FALSE)-D138)),0)</f>
        <v>-1.0531521239999999</v>
      </c>
      <c r="K138" s="9">
        <f t="shared" si="19"/>
        <v>0</v>
      </c>
      <c r="L138" s="9">
        <f t="shared" si="22"/>
        <v>-1.0531521239999999</v>
      </c>
      <c r="M138" s="9">
        <f t="shared" si="23"/>
        <v>0</v>
      </c>
      <c r="N138" s="8">
        <v>-2.5</v>
      </c>
      <c r="O138" s="8">
        <v>0</v>
      </c>
      <c r="P138" s="2"/>
      <c r="Q138" s="2"/>
    </row>
    <row r="139" spans="1:28" x14ac:dyDescent="0.3">
      <c r="A139" s="35">
        <f t="shared" si="24"/>
        <v>29</v>
      </c>
      <c r="B139" s="35">
        <v>3</v>
      </c>
      <c r="C139" s="14">
        <v>43306.583333333336</v>
      </c>
      <c r="D139" s="18">
        <v>2.1596172669999998</v>
      </c>
      <c r="E139" s="19">
        <f t="shared" si="18"/>
        <v>3.1615813880000001</v>
      </c>
      <c r="F139" s="16">
        <v>3.615097284</v>
      </c>
      <c r="G139" s="10">
        <f t="shared" si="20"/>
        <v>1.0019641210000003</v>
      </c>
      <c r="H139" s="10">
        <f t="shared" si="21"/>
        <v>5.6806204945000012</v>
      </c>
      <c r="I139" s="73">
        <f>MAX(0,MIN(O139,H138*2,(D139-Sheet1!$C$3)))</f>
        <v>0</v>
      </c>
      <c r="J139" s="9">
        <f>IF(F139&gt;VLOOKUP($B$16,$B$2:$F$9,5,FALSE),MAX(N139,-F139*(VLOOKUP(B139,$B$2:$E$9,4,FALSE)),-2*(6-H138),-(VLOOKUP(B139,$B$2:$G$9,6,FALSE)-D139)),0)</f>
        <v>-1.0019641210000003</v>
      </c>
      <c r="K139" s="9">
        <f t="shared" si="19"/>
        <v>0</v>
      </c>
      <c r="L139" s="9">
        <f t="shared" si="22"/>
        <v>-1.0019641210000003</v>
      </c>
      <c r="M139" s="9">
        <f t="shared" si="23"/>
        <v>0</v>
      </c>
      <c r="N139" s="8">
        <v>-2.5</v>
      </c>
      <c r="O139" s="8">
        <v>0</v>
      </c>
      <c r="P139" s="2"/>
      <c r="Q139" s="2"/>
    </row>
    <row r="140" spans="1:28" x14ac:dyDescent="0.3">
      <c r="A140" s="37">
        <f t="shared" si="24"/>
        <v>30</v>
      </c>
      <c r="B140" s="37">
        <v>3</v>
      </c>
      <c r="C140" s="24">
        <v>43306.604166666664</v>
      </c>
      <c r="D140" s="25">
        <v>2.2672610679999998</v>
      </c>
      <c r="E140" s="26">
        <f t="shared" si="18"/>
        <v>2.9060200789999975</v>
      </c>
      <c r="F140" s="27">
        <v>3.3771514890000001</v>
      </c>
      <c r="G140" s="10">
        <f t="shared" si="20"/>
        <v>0.63875901099999766</v>
      </c>
      <c r="H140" s="10">
        <f t="shared" si="21"/>
        <v>6</v>
      </c>
      <c r="I140" s="93">
        <f>MAX(0,MIN(O140,H139*2,(D140-Sheet1!$C$3)))</f>
        <v>0</v>
      </c>
      <c r="J140" s="9">
        <f>IF(F140&gt;VLOOKUP($B$16,$B$2:$F$9,5,FALSE),MAX(N140,-F140*(VLOOKUP(B140,$B$2:$E$9,4,FALSE)),-2*(6-H139),-(VLOOKUP(B140,$B$2:$G$9,6,FALSE)-D140)),0)</f>
        <v>-0.63875901099999766</v>
      </c>
      <c r="K140" s="9">
        <f t="shared" si="19"/>
        <v>0</v>
      </c>
      <c r="L140" s="42">
        <f t="shared" si="22"/>
        <v>-0.63875901099999766</v>
      </c>
      <c r="M140" s="42">
        <f t="shared" si="23"/>
        <v>0</v>
      </c>
      <c r="N140" s="23">
        <v>-2.5</v>
      </c>
      <c r="O140" s="23">
        <v>0</v>
      </c>
      <c r="P140" s="2"/>
      <c r="Q140" s="2"/>
    </row>
    <row r="141" spans="1:28" s="64" customFormat="1" ht="15" thickBot="1" x14ac:dyDescent="0.35">
      <c r="A141" s="54">
        <f t="shared" si="24"/>
        <v>31</v>
      </c>
      <c r="B141" s="54">
        <v>3</v>
      </c>
      <c r="C141" s="55">
        <v>43306.625</v>
      </c>
      <c r="D141" s="56">
        <v>2.4882718380000002</v>
      </c>
      <c r="E141" s="57">
        <f t="shared" si="18"/>
        <v>2.4882718380000002</v>
      </c>
      <c r="F141" s="58">
        <v>2.788358927</v>
      </c>
      <c r="G141" s="111">
        <f t="shared" si="20"/>
        <v>0</v>
      </c>
      <c r="H141" s="111">
        <f t="shared" si="21"/>
        <v>6</v>
      </c>
      <c r="I141" s="74">
        <f>MAX(0,MIN(O141,H140*2,(D141-Sheet1!$C$3)))</f>
        <v>0</v>
      </c>
      <c r="J141" s="9">
        <f>IF(F141&gt;VLOOKUP($B$16,$B$2:$F$9,5,FALSE),MAX(N141,-F141*(VLOOKUP(B141,$B$2:$E$9,4,FALSE)),-2*(6-H140),-(VLOOKUP(B141,$B$2:$G$9,6,FALSE)-D141)),0)</f>
        <v>0</v>
      </c>
      <c r="K141" s="60">
        <f t="shared" si="19"/>
        <v>0</v>
      </c>
      <c r="L141" s="60">
        <f t="shared" si="22"/>
        <v>0</v>
      </c>
      <c r="M141" s="60">
        <f t="shared" si="23"/>
        <v>0</v>
      </c>
      <c r="N141" s="61">
        <v>-2.5</v>
      </c>
      <c r="O141" s="61">
        <v>0</v>
      </c>
      <c r="P141" s="62"/>
      <c r="Q141" s="62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x14ac:dyDescent="0.3">
      <c r="A142" s="44">
        <f>A141+1</f>
        <v>32</v>
      </c>
      <c r="B142" s="44">
        <v>3</v>
      </c>
      <c r="C142" s="45">
        <v>43306.645833333336</v>
      </c>
      <c r="D142" s="46">
        <v>2.670857045</v>
      </c>
      <c r="E142" s="33">
        <f t="shared" si="18"/>
        <v>1.9066965960909088</v>
      </c>
      <c r="F142" s="47">
        <v>2.654394388</v>
      </c>
      <c r="G142" s="97">
        <f t="shared" si="20"/>
        <v>-0.76416044890909118</v>
      </c>
      <c r="H142" s="97">
        <f t="shared" si="21"/>
        <v>5.6179197755454542</v>
      </c>
      <c r="I142" s="72">
        <f>MAX(0,MIN(O142,H141*2,(D142-Sheet1!$C$3)))</f>
        <v>0.76416044890909118</v>
      </c>
      <c r="J142" s="9">
        <f>IF(F142&gt;VLOOKUP($B$16,$B$2:$F$9,5,FALSE),MAX(N142,-F142*(VLOOKUP(B142,$B$2:$E$9,4,FALSE)),-2*(6-H141),-(VLOOKUP(B142,$B$2:$G$9,6,FALSE)-D142)),0)</f>
        <v>0</v>
      </c>
      <c r="K142" s="40">
        <f t="shared" si="19"/>
        <v>0</v>
      </c>
      <c r="L142" s="41"/>
      <c r="M142" s="41"/>
      <c r="N142" s="48">
        <v>0</v>
      </c>
      <c r="O142" s="48">
        <v>2.5</v>
      </c>
      <c r="P142" s="2"/>
      <c r="Q142" s="2"/>
    </row>
    <row r="143" spans="1:28" x14ac:dyDescent="0.3">
      <c r="A143" s="36">
        <f t="shared" si="24"/>
        <v>33</v>
      </c>
      <c r="B143" s="36">
        <v>3</v>
      </c>
      <c r="C143" s="15">
        <v>43306.666666666664</v>
      </c>
      <c r="D143" s="20">
        <v>3.0317410480000002</v>
      </c>
      <c r="E143" s="19">
        <f t="shared" ref="E143:E206" si="25">D143-J143-I143</f>
        <v>1.9066965960909088</v>
      </c>
      <c r="F143" s="17">
        <v>2.3552899360000001</v>
      </c>
      <c r="G143" s="10">
        <f t="shared" si="20"/>
        <v>-1.1250444519090914</v>
      </c>
      <c r="H143" s="10">
        <f t="shared" si="21"/>
        <v>5.0553975495909089</v>
      </c>
      <c r="I143" s="73">
        <f>MAX(0,MIN(O143,H142*2,(D143-Sheet1!$C$3)))</f>
        <v>1.1250444519090914</v>
      </c>
      <c r="J143" s="9">
        <f>IF(F143&gt;VLOOKUP($B$16,$B$2:$F$9,5,FALSE),MAX(N143,-F143*(VLOOKUP(B143,$B$2:$E$9,4,FALSE)),-2*(6-H142),-(VLOOKUP(B143,$B$2:$G$9,6,FALSE)-D143)),0)</f>
        <v>0</v>
      </c>
      <c r="K143" s="9">
        <f t="shared" ref="K143:K206" si="26">IF(A143&lt;&gt;31,0,-2*((6-H142+((J143*0.5)))))</f>
        <v>0</v>
      </c>
      <c r="L143" s="12"/>
      <c r="M143" s="12"/>
      <c r="N143" s="13">
        <v>0</v>
      </c>
      <c r="O143" s="13">
        <v>2.5</v>
      </c>
      <c r="P143" s="2"/>
      <c r="Q143" s="2"/>
    </row>
    <row r="144" spans="1:28" x14ac:dyDescent="0.3">
      <c r="A144" s="36">
        <f t="shared" si="24"/>
        <v>34</v>
      </c>
      <c r="B144" s="36">
        <v>3</v>
      </c>
      <c r="C144" s="15">
        <v>43306.6875</v>
      </c>
      <c r="D144" s="20">
        <v>3.0794578220000002</v>
      </c>
      <c r="E144" s="19">
        <f t="shared" si="25"/>
        <v>1.9066965960909088</v>
      </c>
      <c r="F144" s="17">
        <v>2.1658620829999999</v>
      </c>
      <c r="G144" s="10">
        <f t="shared" ref="G144:G207" si="27">-SUM(I144,J144,K144)</f>
        <v>-1.1727612259090914</v>
      </c>
      <c r="H144" s="10">
        <f t="shared" si="21"/>
        <v>4.469016936636363</v>
      </c>
      <c r="I144" s="73">
        <f>MAX(0,MIN(O144,H143*2,(D144-Sheet1!$C$3)))</f>
        <v>1.1727612259090914</v>
      </c>
      <c r="J144" s="9">
        <f>IF(F144&gt;VLOOKUP($B$16,$B$2:$F$9,5,FALSE),MAX(N144,-F144*(VLOOKUP(B144,$B$2:$E$9,4,FALSE)),-2*(6-H143),-(VLOOKUP(B144,$B$2:$G$9,6,FALSE)-D144)),0)</f>
        <v>0</v>
      </c>
      <c r="K144" s="9">
        <f t="shared" si="26"/>
        <v>0</v>
      </c>
      <c r="L144" s="12"/>
      <c r="M144" s="12"/>
      <c r="N144" s="13">
        <v>0</v>
      </c>
      <c r="O144" s="13">
        <v>2.5</v>
      </c>
      <c r="P144" s="2"/>
      <c r="Q144" s="2"/>
    </row>
    <row r="145" spans="1:28" x14ac:dyDescent="0.3">
      <c r="A145" s="36">
        <f t="shared" si="24"/>
        <v>35</v>
      </c>
      <c r="B145" s="36">
        <v>3</v>
      </c>
      <c r="C145" s="15">
        <v>43306.708333333336</v>
      </c>
      <c r="D145" s="20">
        <v>3.1615813880000001</v>
      </c>
      <c r="E145" s="19">
        <f t="shared" si="25"/>
        <v>1.9066965960909088</v>
      </c>
      <c r="F145" s="17">
        <v>1.1721915009999999</v>
      </c>
      <c r="G145" s="10">
        <f t="shared" si="27"/>
        <v>-1.2548847919090913</v>
      </c>
      <c r="H145" s="10">
        <f t="shared" ref="H145:H208" si="28">H144+((G145*0.5))</f>
        <v>3.8415745406818171</v>
      </c>
      <c r="I145" s="73">
        <f>MAX(0,MIN(O145,H144*2,(D145-Sheet1!$C$3)))</f>
        <v>1.2548847919090913</v>
      </c>
      <c r="J145" s="9">
        <f>IF(F145&gt;VLOOKUP($B$16,$B$2:$F$9,5,FALSE),MAX(N145,-F145*(VLOOKUP(B145,$B$2:$E$9,4,FALSE)),-2*(6-H144),-(VLOOKUP(B145,$B$2:$G$9,6,FALSE)-D145)),0)</f>
        <v>0</v>
      </c>
      <c r="K145" s="9">
        <f t="shared" si="26"/>
        <v>0</v>
      </c>
      <c r="L145" s="12"/>
      <c r="M145" s="12"/>
      <c r="N145" s="13">
        <v>0</v>
      </c>
      <c r="O145" s="13">
        <v>2.5</v>
      </c>
      <c r="P145" s="2"/>
      <c r="Q145" s="2"/>
    </row>
    <row r="146" spans="1:28" x14ac:dyDescent="0.3">
      <c r="A146" s="36">
        <f t="shared" si="24"/>
        <v>36</v>
      </c>
      <c r="B146" s="36">
        <v>3</v>
      </c>
      <c r="C146" s="15">
        <v>43306.729166666664</v>
      </c>
      <c r="D146" s="20">
        <v>3.1366805640000002</v>
      </c>
      <c r="E146" s="19">
        <f t="shared" si="25"/>
        <v>1.9066965960909088</v>
      </c>
      <c r="F146" s="17">
        <v>0.98739588300000003</v>
      </c>
      <c r="G146" s="10">
        <f t="shared" si="27"/>
        <v>-1.2299839679090914</v>
      </c>
      <c r="H146" s="10">
        <f t="shared" si="28"/>
        <v>3.2265825567272715</v>
      </c>
      <c r="I146" s="73">
        <f>MAX(0,MIN(O146,H145*2,(D146-Sheet1!$C$3)))</f>
        <v>1.2299839679090914</v>
      </c>
      <c r="J146" s="9">
        <f>IF(F146&gt;VLOOKUP($B$16,$B$2:$F$9,5,FALSE),MAX(N146,-F146*(VLOOKUP(B146,$B$2:$E$9,4,FALSE)),-2*(6-H145),-(VLOOKUP(B146,$B$2:$G$9,6,FALSE)-D146)),0)</f>
        <v>0</v>
      </c>
      <c r="K146" s="9">
        <f t="shared" si="26"/>
        <v>0</v>
      </c>
      <c r="L146" s="12"/>
      <c r="M146" s="12"/>
      <c r="N146" s="13">
        <v>0</v>
      </c>
      <c r="O146" s="13">
        <v>2.5</v>
      </c>
      <c r="P146" s="2"/>
      <c r="Q146" s="2"/>
    </row>
    <row r="147" spans="1:28" x14ac:dyDescent="0.3">
      <c r="A147" s="36">
        <f t="shared" si="24"/>
        <v>37</v>
      </c>
      <c r="B147" s="36">
        <v>3</v>
      </c>
      <c r="C147" s="15">
        <v>43306.75</v>
      </c>
      <c r="D147" s="20">
        <v>3.0935997639999999</v>
      </c>
      <c r="E147" s="19">
        <f t="shared" si="25"/>
        <v>1.9066965960909088</v>
      </c>
      <c r="F147" s="17">
        <v>0.466520816</v>
      </c>
      <c r="G147" s="10">
        <f t="shared" si="27"/>
        <v>-1.1869031679090911</v>
      </c>
      <c r="H147" s="10">
        <f t="shared" si="28"/>
        <v>2.6331309727727259</v>
      </c>
      <c r="I147" s="73">
        <f>MAX(0,MIN(O147,H146*2,(D147-Sheet1!$C$3)))</f>
        <v>1.1869031679090911</v>
      </c>
      <c r="J147" s="9">
        <f>IF(F147&gt;VLOOKUP($B$16,$B$2:$F$9,5,FALSE),MAX(N147,-F147*(VLOOKUP(B147,$B$2:$E$9,4,FALSE)),-2*(6-H146),-(VLOOKUP(B147,$B$2:$G$9,6,FALSE)-D147)),0)</f>
        <v>0</v>
      </c>
      <c r="K147" s="9">
        <f t="shared" si="26"/>
        <v>0</v>
      </c>
      <c r="L147" s="12"/>
      <c r="M147" s="12"/>
      <c r="N147" s="13">
        <v>0</v>
      </c>
      <c r="O147" s="13">
        <v>2.5</v>
      </c>
      <c r="P147" s="2"/>
      <c r="Q147" s="2"/>
    </row>
    <row r="148" spans="1:28" x14ac:dyDescent="0.3">
      <c r="A148" s="36">
        <f t="shared" si="24"/>
        <v>38</v>
      </c>
      <c r="B148" s="36">
        <v>3</v>
      </c>
      <c r="C148" s="15">
        <v>43306.770833333336</v>
      </c>
      <c r="D148" s="20">
        <v>3.058643263</v>
      </c>
      <c r="E148" s="19">
        <f t="shared" si="25"/>
        <v>1.9066965960909088</v>
      </c>
      <c r="F148" s="17">
        <v>0.450036198</v>
      </c>
      <c r="G148" s="10">
        <f t="shared" si="27"/>
        <v>-1.1519466669090912</v>
      </c>
      <c r="H148" s="10">
        <f t="shared" si="28"/>
        <v>2.0571576393181803</v>
      </c>
      <c r="I148" s="73">
        <f>MAX(0,MIN(O148,H147*2,(D148-Sheet1!$C$3)))</f>
        <v>1.1519466669090912</v>
      </c>
      <c r="J148" s="9">
        <f>IF(F148&gt;VLOOKUP($B$16,$B$2:$F$9,5,FALSE),MAX(N148,-F148*(VLOOKUP(B148,$B$2:$E$9,4,FALSE)),-2*(6-H147),-(VLOOKUP(B148,$B$2:$G$9,6,FALSE)-D148)),0)</f>
        <v>0</v>
      </c>
      <c r="K148" s="9">
        <f t="shared" si="26"/>
        <v>0</v>
      </c>
      <c r="L148" s="12"/>
      <c r="M148" s="12"/>
      <c r="N148" s="13">
        <v>0</v>
      </c>
      <c r="O148" s="13">
        <v>2.5</v>
      </c>
      <c r="P148" s="2"/>
      <c r="Q148" s="2"/>
    </row>
    <row r="149" spans="1:28" x14ac:dyDescent="0.3">
      <c r="A149" s="36">
        <f t="shared" si="24"/>
        <v>39</v>
      </c>
      <c r="B149" s="36">
        <v>3</v>
      </c>
      <c r="C149" s="15">
        <v>43306.791666666664</v>
      </c>
      <c r="D149" s="20">
        <v>2.95489757</v>
      </c>
      <c r="E149" s="19">
        <f t="shared" si="25"/>
        <v>1.9066965960909088</v>
      </c>
      <c r="F149" s="17">
        <v>0.123593837</v>
      </c>
      <c r="G149" s="10">
        <f t="shared" si="27"/>
        <v>-1.0482009739090912</v>
      </c>
      <c r="H149" s="10">
        <f t="shared" si="28"/>
        <v>1.5330571523636347</v>
      </c>
      <c r="I149" s="73">
        <f>MAX(0,MIN(O149,H148*2,(D149-Sheet1!$C$3)))</f>
        <v>1.0482009739090912</v>
      </c>
      <c r="J149" s="9">
        <f>IF(F149&gt;VLOOKUP($B$16,$B$2:$F$9,5,FALSE),MAX(N149,-F149*(VLOOKUP(B149,$B$2:$E$9,4,FALSE)),-2*(6-H148),-(VLOOKUP(B149,$B$2:$G$9,6,FALSE)-D149)),0)</f>
        <v>0</v>
      </c>
      <c r="K149" s="9">
        <f t="shared" si="26"/>
        <v>0</v>
      </c>
      <c r="L149" s="12"/>
      <c r="M149" s="12"/>
      <c r="N149" s="13">
        <v>0</v>
      </c>
      <c r="O149" s="13">
        <v>2.5</v>
      </c>
      <c r="P149" s="2"/>
      <c r="Q149" s="2"/>
    </row>
    <row r="150" spans="1:28" x14ac:dyDescent="0.3">
      <c r="A150" s="36">
        <f t="shared" si="24"/>
        <v>40</v>
      </c>
      <c r="B150" s="36">
        <v>3</v>
      </c>
      <c r="C150" s="15">
        <v>43306.8125</v>
      </c>
      <c r="D150" s="20">
        <v>2.913130191</v>
      </c>
      <c r="E150" s="19">
        <f t="shared" si="25"/>
        <v>1.9066965960909088</v>
      </c>
      <c r="F150" s="17">
        <v>0.113556832</v>
      </c>
      <c r="G150" s="10">
        <f t="shared" si="27"/>
        <v>-1.0064335949090912</v>
      </c>
      <c r="H150" s="10">
        <f t="shared" si="28"/>
        <v>1.0298403549090891</v>
      </c>
      <c r="I150" s="73">
        <f>MAX(0,MIN(O150,H149*2,(D150-Sheet1!$C$3)))</f>
        <v>1.0064335949090912</v>
      </c>
      <c r="J150" s="9">
        <f>IF(F150&gt;VLOOKUP($B$16,$B$2:$F$9,5,FALSE),MAX(N150,-F150*(VLOOKUP(B150,$B$2:$E$9,4,FALSE)),-2*(6-H149),-(VLOOKUP(B150,$B$2:$G$9,6,FALSE)-D150)),0)</f>
        <v>0</v>
      </c>
      <c r="K150" s="9">
        <f t="shared" si="26"/>
        <v>0</v>
      </c>
      <c r="L150" s="12"/>
      <c r="M150" s="12"/>
      <c r="N150" s="13">
        <v>0</v>
      </c>
      <c r="O150" s="13">
        <v>2.5</v>
      </c>
      <c r="P150" s="2"/>
      <c r="Q150" s="2"/>
    </row>
    <row r="151" spans="1:28" x14ac:dyDescent="0.3">
      <c r="A151" s="49">
        <f t="shared" si="24"/>
        <v>41</v>
      </c>
      <c r="B151" s="49">
        <v>3</v>
      </c>
      <c r="C151" s="50">
        <v>43306.833333333336</v>
      </c>
      <c r="D151" s="51">
        <v>2.9110120670000001</v>
      </c>
      <c r="E151" s="26">
        <f t="shared" si="25"/>
        <v>1.9066965960909088</v>
      </c>
      <c r="F151" s="52">
        <v>5.3364930000000003E-3</v>
      </c>
      <c r="G151" s="10">
        <f t="shared" si="27"/>
        <v>-1.0043154709090913</v>
      </c>
      <c r="H151" s="10">
        <f t="shared" si="28"/>
        <v>0.52768261945454342</v>
      </c>
      <c r="I151" s="93">
        <f>MAX(0,MIN(O151,H150*2,(D151-Sheet1!$C$3)))</f>
        <v>1.0043154709090913</v>
      </c>
      <c r="J151" s="9">
        <f>IF(F151&gt;VLOOKUP($B$16,$B$2:$F$9,5,FALSE),MAX(N151,-F151*(VLOOKUP(B151,$B$2:$E$9,4,FALSE)),-2*(6-H150),-(VLOOKUP(B151,$B$2:$G$9,6,FALSE)-D151)),0)</f>
        <v>0</v>
      </c>
      <c r="K151" s="9">
        <f t="shared" si="26"/>
        <v>0</v>
      </c>
      <c r="L151" s="29"/>
      <c r="M151" s="29"/>
      <c r="N151" s="53">
        <v>0</v>
      </c>
      <c r="O151" s="53">
        <v>2.5</v>
      </c>
      <c r="P151" s="2"/>
      <c r="Q151" s="2"/>
    </row>
    <row r="152" spans="1:28" s="64" customFormat="1" ht="15" thickBot="1" x14ac:dyDescent="0.35">
      <c r="A152" s="65">
        <f t="shared" si="24"/>
        <v>42</v>
      </c>
      <c r="B152" s="65">
        <v>3</v>
      </c>
      <c r="C152" s="66">
        <v>43306.854166666664</v>
      </c>
      <c r="D152" s="67">
        <v>2.7944461810000001</v>
      </c>
      <c r="E152" s="57">
        <f t="shared" si="25"/>
        <v>1.9066965960909088</v>
      </c>
      <c r="F152" s="68">
        <v>5.3364930000000003E-3</v>
      </c>
      <c r="G152" s="111">
        <f t="shared" si="27"/>
        <v>-0.88774958490909128</v>
      </c>
      <c r="H152" s="111">
        <f t="shared" si="28"/>
        <v>8.3807826999997781E-2</v>
      </c>
      <c r="I152" s="74">
        <f>MAX(0,MIN(O152,H151*2,(D152-Sheet1!$C$3)))</f>
        <v>0.88774958490909128</v>
      </c>
      <c r="J152" s="9">
        <f>IF(F152&gt;VLOOKUP($B$16,$B$2:$F$9,5,FALSE),MAX(N152,-F152*(VLOOKUP(B152,$B$2:$E$9,4,FALSE)),-2*(6-H151),-(VLOOKUP(B152,$B$2:$G$9,6,FALSE)-D152)),0)</f>
        <v>0</v>
      </c>
      <c r="K152" s="60">
        <f t="shared" si="26"/>
        <v>0</v>
      </c>
      <c r="L152" s="59"/>
      <c r="M152" s="59"/>
      <c r="N152" s="69">
        <v>0</v>
      </c>
      <c r="O152" s="69">
        <v>2.5</v>
      </c>
      <c r="P152" s="62"/>
      <c r="Q152" s="62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 spans="1:28" x14ac:dyDescent="0.3">
      <c r="A153" s="38">
        <f t="shared" si="24"/>
        <v>43</v>
      </c>
      <c r="B153" s="38">
        <v>3</v>
      </c>
      <c r="C153" s="31">
        <v>43306.875</v>
      </c>
      <c r="D153" s="32">
        <v>2.6383434549999998</v>
      </c>
      <c r="E153" s="33">
        <f t="shared" si="25"/>
        <v>2.6383434549999998</v>
      </c>
      <c r="F153" s="39">
        <v>5.3364930000000003E-3</v>
      </c>
      <c r="G153" s="97">
        <f t="shared" si="27"/>
        <v>0</v>
      </c>
      <c r="H153" s="97">
        <f t="shared" si="28"/>
        <v>8.3807826999997781E-2</v>
      </c>
      <c r="I153" s="72">
        <f>MAX(0,MIN(O153,H152*2,(D153-Sheet1!$C$3)))</f>
        <v>0</v>
      </c>
      <c r="J153" s="9">
        <f>IF(F153&gt;VLOOKUP($B$16,$B$2:$F$9,5,FALSE),MAX(N153,-F153*(VLOOKUP(B153,$B$2:$E$9,4,FALSE)),-2*(6-H152),-(VLOOKUP(B153,$B$2:$G$9,6,FALSE)-D153)),0)</f>
        <v>0</v>
      </c>
      <c r="K153" s="40">
        <f t="shared" si="26"/>
        <v>0</v>
      </c>
      <c r="L153" s="34"/>
      <c r="M153" s="34"/>
      <c r="N153" s="30">
        <v>0</v>
      </c>
      <c r="O153" s="30">
        <v>0</v>
      </c>
      <c r="P153" s="2"/>
      <c r="Q153" s="2"/>
    </row>
    <row r="154" spans="1:28" x14ac:dyDescent="0.3">
      <c r="A154" s="35">
        <f t="shared" si="24"/>
        <v>44</v>
      </c>
      <c r="B154" s="35">
        <v>3</v>
      </c>
      <c r="C154" s="14">
        <v>43306.895833333336</v>
      </c>
      <c r="D154" s="18">
        <v>2.4431459360000001</v>
      </c>
      <c r="E154" s="19">
        <f t="shared" si="25"/>
        <v>2.4431459360000001</v>
      </c>
      <c r="F154" s="16">
        <v>5.3364930000000003E-3</v>
      </c>
      <c r="G154" s="10">
        <f t="shared" si="27"/>
        <v>0</v>
      </c>
      <c r="H154" s="10">
        <f t="shared" si="28"/>
        <v>8.3807826999997781E-2</v>
      </c>
      <c r="I154" s="73">
        <f>MAX(0,MIN(O154,H153*2,(D154-Sheet1!$C$3)))</f>
        <v>0</v>
      </c>
      <c r="J154" s="9">
        <f>IF(F154&gt;VLOOKUP($B$16,$B$2:$F$9,5,FALSE),MAX(N154,-F154*(VLOOKUP(B154,$B$2:$E$9,4,FALSE)),-2*(6-H153),-(VLOOKUP(B154,$B$2:$G$9,6,FALSE)-D154)),0)</f>
        <v>0</v>
      </c>
      <c r="K154" s="9">
        <f t="shared" si="26"/>
        <v>0</v>
      </c>
      <c r="L154" s="11"/>
      <c r="M154" s="11"/>
      <c r="N154" s="8">
        <v>0</v>
      </c>
      <c r="O154" s="8">
        <v>0</v>
      </c>
      <c r="P154" s="2"/>
      <c r="Q154" s="2"/>
    </row>
    <row r="155" spans="1:28" x14ac:dyDescent="0.3">
      <c r="A155" s="35">
        <f t="shared" si="24"/>
        <v>45</v>
      </c>
      <c r="B155" s="35">
        <v>3</v>
      </c>
      <c r="C155" s="14">
        <v>43306.916666666664</v>
      </c>
      <c r="D155" s="18">
        <v>2.1570547200000001</v>
      </c>
      <c r="E155" s="19">
        <f t="shared" si="25"/>
        <v>2.1570547200000001</v>
      </c>
      <c r="F155" s="16">
        <v>5.3364930000000003E-3</v>
      </c>
      <c r="G155" s="10">
        <f t="shared" si="27"/>
        <v>0</v>
      </c>
      <c r="H155" s="10">
        <f t="shared" si="28"/>
        <v>8.3807826999997781E-2</v>
      </c>
      <c r="I155" s="73">
        <f>MAX(0,MIN(O155,H154*2,(D155-Sheet1!$C$3)))</f>
        <v>0</v>
      </c>
      <c r="J155" s="9">
        <f>IF(F155&gt;VLOOKUP($B$16,$B$2:$F$9,5,FALSE),MAX(N155,-F155*(VLOOKUP(B155,$B$2:$E$9,4,FALSE)),-2*(6-H154),-(VLOOKUP(B155,$B$2:$G$9,6,FALSE)-D155)),0)</f>
        <v>0</v>
      </c>
      <c r="K155" s="9">
        <f t="shared" si="26"/>
        <v>0</v>
      </c>
      <c r="L155" s="11"/>
      <c r="M155" s="11"/>
      <c r="N155" s="8">
        <v>0</v>
      </c>
      <c r="O155" s="8">
        <v>0</v>
      </c>
      <c r="P155" s="2"/>
      <c r="Q155" s="2"/>
    </row>
    <row r="156" spans="1:28" x14ac:dyDescent="0.3">
      <c r="A156" s="35">
        <f t="shared" si="24"/>
        <v>46</v>
      </c>
      <c r="B156" s="35">
        <v>3</v>
      </c>
      <c r="C156" s="14">
        <v>43306.9375</v>
      </c>
      <c r="D156" s="18">
        <v>1.904021966</v>
      </c>
      <c r="E156" s="19">
        <f t="shared" si="25"/>
        <v>1.904021966</v>
      </c>
      <c r="F156" s="16">
        <v>5.3364930000000003E-3</v>
      </c>
      <c r="G156" s="10">
        <f t="shared" si="27"/>
        <v>0</v>
      </c>
      <c r="H156" s="10">
        <f t="shared" si="28"/>
        <v>8.3807826999997781E-2</v>
      </c>
      <c r="I156" s="73">
        <f>MAX(0,MIN(O156,H155*2,(D156-Sheet1!$C$3)))</f>
        <v>0</v>
      </c>
      <c r="J156" s="9">
        <f>IF(F156&gt;VLOOKUP($B$16,$B$2:$F$9,5,FALSE),MAX(N156,-F156*(VLOOKUP(B156,$B$2:$E$9,4,FALSE)),-2*(6-H155),-(VLOOKUP(B156,$B$2:$G$9,6,FALSE)-D156)),0)</f>
        <v>0</v>
      </c>
      <c r="K156" s="9">
        <f t="shared" si="26"/>
        <v>0</v>
      </c>
      <c r="L156" s="11"/>
      <c r="M156" s="11"/>
      <c r="N156" s="8">
        <v>0</v>
      </c>
      <c r="O156" s="8">
        <v>0</v>
      </c>
      <c r="P156" s="2"/>
      <c r="Q156" s="2"/>
    </row>
    <row r="157" spans="1:28" x14ac:dyDescent="0.3">
      <c r="A157" s="37">
        <f t="shared" si="24"/>
        <v>47</v>
      </c>
      <c r="B157" s="37">
        <v>3</v>
      </c>
      <c r="C157" s="24">
        <v>43306.958333333336</v>
      </c>
      <c r="D157" s="25">
        <v>1.8035262750000001</v>
      </c>
      <c r="E157" s="26">
        <f t="shared" si="25"/>
        <v>1.8035262750000001</v>
      </c>
      <c r="F157" s="27">
        <v>1.831472E-3</v>
      </c>
      <c r="G157" s="98">
        <f t="shared" si="27"/>
        <v>0</v>
      </c>
      <c r="H157" s="98">
        <f t="shared" si="28"/>
        <v>8.3807826999997781E-2</v>
      </c>
      <c r="I157" s="93">
        <f>MAX(0,MIN(O157,H156*2,(D157-Sheet1!$C$3)))</f>
        <v>0</v>
      </c>
      <c r="J157" s="9">
        <f>IF(F157&gt;VLOOKUP($B$16,$B$2:$F$9,5,FALSE),MAX(N157,-F157*(VLOOKUP(B157,$B$2:$E$9,4,FALSE)),-2*(6-H156),-(VLOOKUP(B157,$B$2:$G$9,6,FALSE)-D157)),0)</f>
        <v>0</v>
      </c>
      <c r="K157" s="42">
        <f t="shared" si="26"/>
        <v>0</v>
      </c>
      <c r="L157" s="28"/>
      <c r="M157" s="28"/>
      <c r="N157" s="23">
        <v>0</v>
      </c>
      <c r="O157" s="23">
        <v>0</v>
      </c>
      <c r="P157" s="2"/>
      <c r="Q157" s="2"/>
    </row>
    <row r="158" spans="1:28" s="132" customFormat="1" ht="15" thickBot="1" x14ac:dyDescent="0.35">
      <c r="A158" s="123">
        <f t="shared" si="24"/>
        <v>48</v>
      </c>
      <c r="B158" s="123">
        <v>3</v>
      </c>
      <c r="C158" s="124">
        <v>43306.979166666664</v>
      </c>
      <c r="D158" s="125">
        <v>1.706909692</v>
      </c>
      <c r="E158" s="126">
        <f t="shared" si="25"/>
        <v>1.706909692</v>
      </c>
      <c r="F158" s="127">
        <v>1.831472E-3</v>
      </c>
      <c r="G158" s="128">
        <f t="shared" si="27"/>
        <v>0</v>
      </c>
      <c r="H158" s="128">
        <f t="shared" si="28"/>
        <v>8.3807826999997781E-2</v>
      </c>
      <c r="I158" s="129">
        <f>MAX(0,MIN(O158,H157*2,(D158-Sheet1!$C$3)))</f>
        <v>0</v>
      </c>
      <c r="J158" s="9">
        <f>IF(F158&gt;VLOOKUP($B$16,$B$2:$F$9,5,FALSE),MAX(N158,-F158*(VLOOKUP(B158,$B$2:$E$9,4,FALSE)),-2*(6-H157),-(VLOOKUP(B158,$B$2:$G$9,6,FALSE)-D158)),0)</f>
        <v>0</v>
      </c>
      <c r="K158" s="129">
        <f t="shared" si="26"/>
        <v>0</v>
      </c>
      <c r="L158" s="128"/>
      <c r="M158" s="128"/>
      <c r="N158" s="130">
        <v>0</v>
      </c>
      <c r="O158" s="130">
        <v>0</v>
      </c>
      <c r="P158" s="131"/>
      <c r="Q158" s="131"/>
    </row>
    <row r="159" spans="1:28" s="122" customFormat="1" x14ac:dyDescent="0.3">
      <c r="A159" s="113">
        <v>1</v>
      </c>
      <c r="B159" s="113">
        <v>4</v>
      </c>
      <c r="C159" s="114">
        <v>43307</v>
      </c>
      <c r="D159" s="115">
        <v>1.700313626</v>
      </c>
      <c r="E159" s="116">
        <f t="shared" si="25"/>
        <v>1.700313626</v>
      </c>
      <c r="F159" s="117">
        <v>1.831472E-3</v>
      </c>
      <c r="G159" s="118">
        <f t="shared" si="27"/>
        <v>0</v>
      </c>
      <c r="H159" s="118">
        <v>0</v>
      </c>
      <c r="I159" s="119">
        <v>0</v>
      </c>
      <c r="J159" s="9">
        <f>IF(F159&gt;VLOOKUP($B$16,$B$2:$F$9,5,FALSE),MAX(N159,-F159*(VLOOKUP(B159,$B$2:$E$9,4,FALSE)),-2*(6-H158),-(VLOOKUP(B159,$B$2:$G$9,6,FALSE)-D159)),0)</f>
        <v>0</v>
      </c>
      <c r="K159" s="119">
        <f t="shared" si="26"/>
        <v>0</v>
      </c>
      <c r="L159" s="119">
        <f t="shared" ref="L159:L189" si="29">MIN(J159,F159)</f>
        <v>0</v>
      </c>
      <c r="M159" s="119">
        <f>J159-L159</f>
        <v>0</v>
      </c>
      <c r="N159" s="120">
        <v>-2.5</v>
      </c>
      <c r="O159" s="120">
        <v>0</v>
      </c>
      <c r="P159" s="121"/>
      <c r="Q159" s="121"/>
    </row>
    <row r="160" spans="1:28" x14ac:dyDescent="0.3">
      <c r="A160" s="35">
        <f>A159+1</f>
        <v>2</v>
      </c>
      <c r="B160" s="35">
        <v>4</v>
      </c>
      <c r="C160" s="14">
        <v>43307.020833333336</v>
      </c>
      <c r="D160" s="18">
        <v>1.6287947650000001</v>
      </c>
      <c r="E160" s="19">
        <f t="shared" si="25"/>
        <v>1.6287947650000001</v>
      </c>
      <c r="F160" s="16">
        <v>1.831472E-3</v>
      </c>
      <c r="G160" s="10">
        <f t="shared" si="27"/>
        <v>0</v>
      </c>
      <c r="H160" s="10">
        <f t="shared" si="28"/>
        <v>0</v>
      </c>
      <c r="I160" s="73">
        <f>MAX(0,MIN(O160,H159*2,(D160-Sheet1!$C$3)))</f>
        <v>0</v>
      </c>
      <c r="J160" s="9">
        <f>IF(F160&gt;VLOOKUP($B$16,$B$2:$F$9,5,FALSE),MAX(N160,-F160*(VLOOKUP(B160,$B$2:$E$9,4,FALSE)),-2*(6-H159),-(VLOOKUP(B160,$B$2:$G$9,6,FALSE)-D160)),0)</f>
        <v>0</v>
      </c>
      <c r="K160" s="9">
        <f t="shared" si="26"/>
        <v>0</v>
      </c>
      <c r="L160" s="9">
        <f t="shared" si="29"/>
        <v>0</v>
      </c>
      <c r="M160" s="9">
        <f t="shared" ref="M160:M189" si="30">J160-L160</f>
        <v>0</v>
      </c>
      <c r="N160" s="8">
        <v>-2.5</v>
      </c>
      <c r="O160" s="8">
        <v>0</v>
      </c>
      <c r="P160" s="2"/>
      <c r="Q160" s="2"/>
    </row>
    <row r="161" spans="1:17" x14ac:dyDescent="0.3">
      <c r="A161" s="35">
        <f t="shared" ref="A161:A206" si="31">A160+1</f>
        <v>3</v>
      </c>
      <c r="B161" s="35">
        <v>4</v>
      </c>
      <c r="C161" s="14">
        <v>43307.041666666664</v>
      </c>
      <c r="D161" s="18">
        <v>1.5478088889999999</v>
      </c>
      <c r="E161" s="19">
        <f t="shared" si="25"/>
        <v>1.5478088889999999</v>
      </c>
      <c r="F161" s="16">
        <v>1.831472E-3</v>
      </c>
      <c r="G161" s="10">
        <f t="shared" si="27"/>
        <v>0</v>
      </c>
      <c r="H161" s="10">
        <f t="shared" si="28"/>
        <v>0</v>
      </c>
      <c r="I161" s="73">
        <f>MAX(0,MIN(O161,H160*2,(D161-Sheet1!$C$3)))</f>
        <v>0</v>
      </c>
      <c r="J161" s="9">
        <f>IF(F161&gt;VLOOKUP($B$16,$B$2:$F$9,5,FALSE),MAX(N161,-F161*(VLOOKUP(B161,$B$2:$E$9,4,FALSE)),-2*(6-H160),-(VLOOKUP(B161,$B$2:$G$9,6,FALSE)-D161)),0)</f>
        <v>0</v>
      </c>
      <c r="K161" s="9">
        <f t="shared" si="26"/>
        <v>0</v>
      </c>
      <c r="L161" s="9">
        <f t="shared" si="29"/>
        <v>0</v>
      </c>
      <c r="M161" s="9">
        <f t="shared" si="30"/>
        <v>0</v>
      </c>
      <c r="N161" s="8">
        <v>-2.5</v>
      </c>
      <c r="O161" s="8">
        <v>0</v>
      </c>
      <c r="P161" s="2"/>
      <c r="Q161" s="2"/>
    </row>
    <row r="162" spans="1:17" x14ac:dyDescent="0.3">
      <c r="A162" s="35">
        <f t="shared" si="31"/>
        <v>4</v>
      </c>
      <c r="B162" s="35">
        <v>4</v>
      </c>
      <c r="C162" s="14">
        <v>43307.0625</v>
      </c>
      <c r="D162" s="18">
        <v>1.5078089690000001</v>
      </c>
      <c r="E162" s="19">
        <f t="shared" si="25"/>
        <v>1.5078089690000001</v>
      </c>
      <c r="F162" s="16">
        <v>1.831472E-3</v>
      </c>
      <c r="G162" s="10">
        <f t="shared" si="27"/>
        <v>0</v>
      </c>
      <c r="H162" s="10">
        <f t="shared" si="28"/>
        <v>0</v>
      </c>
      <c r="I162" s="73">
        <f>MAX(0,MIN(O162,H161*2,(D162-Sheet1!$C$3)))</f>
        <v>0</v>
      </c>
      <c r="J162" s="9">
        <f>IF(F162&gt;VLOOKUP($B$16,$B$2:$F$9,5,FALSE),MAX(N162,-F162*(VLOOKUP(B162,$B$2:$E$9,4,FALSE)),-2*(6-H161),-(VLOOKUP(B162,$B$2:$G$9,6,FALSE)-D162)),0)</f>
        <v>0</v>
      </c>
      <c r="K162" s="9">
        <f t="shared" si="26"/>
        <v>0</v>
      </c>
      <c r="L162" s="9">
        <f t="shared" si="29"/>
        <v>0</v>
      </c>
      <c r="M162" s="9">
        <f t="shared" si="30"/>
        <v>0</v>
      </c>
      <c r="N162" s="8">
        <v>-2.5</v>
      </c>
      <c r="O162" s="8">
        <v>0</v>
      </c>
      <c r="P162" s="2"/>
      <c r="Q162" s="2"/>
    </row>
    <row r="163" spans="1:17" x14ac:dyDescent="0.3">
      <c r="A163" s="35">
        <f t="shared" si="31"/>
        <v>5</v>
      </c>
      <c r="B163" s="35">
        <v>4</v>
      </c>
      <c r="C163" s="14">
        <v>43307.083333333336</v>
      </c>
      <c r="D163" s="18">
        <v>1.5035148920000001</v>
      </c>
      <c r="E163" s="19">
        <f t="shared" si="25"/>
        <v>1.5035148920000001</v>
      </c>
      <c r="F163" s="16">
        <v>1.831472E-3</v>
      </c>
      <c r="G163" s="10">
        <f t="shared" si="27"/>
        <v>0</v>
      </c>
      <c r="H163" s="10">
        <f t="shared" si="28"/>
        <v>0</v>
      </c>
      <c r="I163" s="73">
        <f>MAX(0,MIN(O163,H162*2,(D163-Sheet1!$C$3)))</f>
        <v>0</v>
      </c>
      <c r="J163" s="9">
        <f>IF(F163&gt;VLOOKUP($B$16,$B$2:$F$9,5,FALSE),MAX(N163,-F163*(VLOOKUP(B163,$B$2:$E$9,4,FALSE)),-2*(6-H162),-(VLOOKUP(B163,$B$2:$G$9,6,FALSE)-D163)),0)</f>
        <v>0</v>
      </c>
      <c r="K163" s="9">
        <f t="shared" si="26"/>
        <v>0</v>
      </c>
      <c r="L163" s="9">
        <f t="shared" si="29"/>
        <v>0</v>
      </c>
      <c r="M163" s="9">
        <f t="shared" si="30"/>
        <v>0</v>
      </c>
      <c r="N163" s="8">
        <v>-2.5</v>
      </c>
      <c r="O163" s="8">
        <v>0</v>
      </c>
      <c r="P163" s="2"/>
      <c r="Q163" s="2"/>
    </row>
    <row r="164" spans="1:17" x14ac:dyDescent="0.3">
      <c r="A164" s="35">
        <f t="shared" si="31"/>
        <v>6</v>
      </c>
      <c r="B164" s="35">
        <v>4</v>
      </c>
      <c r="C164" s="14">
        <v>43307.104166666664</v>
      </c>
      <c r="D164" s="18">
        <v>1.4695851200000001</v>
      </c>
      <c r="E164" s="19">
        <f t="shared" si="25"/>
        <v>1.4695851200000001</v>
      </c>
      <c r="F164" s="16">
        <v>1.831472E-3</v>
      </c>
      <c r="G164" s="10">
        <f t="shared" si="27"/>
        <v>0</v>
      </c>
      <c r="H164" s="10">
        <f t="shared" si="28"/>
        <v>0</v>
      </c>
      <c r="I164" s="73">
        <f>MAX(0,MIN(O164,H163*2,(D164-Sheet1!$C$3)))</f>
        <v>0</v>
      </c>
      <c r="J164" s="9">
        <f>IF(F164&gt;VLOOKUP($B$16,$B$2:$F$9,5,FALSE),MAX(N164,-F164*(VLOOKUP(B164,$B$2:$E$9,4,FALSE)),-2*(6-H163),-(VLOOKUP(B164,$B$2:$G$9,6,FALSE)-D164)),0)</f>
        <v>0</v>
      </c>
      <c r="K164" s="9">
        <f t="shared" si="26"/>
        <v>0</v>
      </c>
      <c r="L164" s="9">
        <f t="shared" si="29"/>
        <v>0</v>
      </c>
      <c r="M164" s="9">
        <f t="shared" si="30"/>
        <v>0</v>
      </c>
      <c r="N164" s="8">
        <v>-2.5</v>
      </c>
      <c r="O164" s="8">
        <v>0</v>
      </c>
      <c r="P164" s="2"/>
      <c r="Q164" s="2"/>
    </row>
    <row r="165" spans="1:17" x14ac:dyDescent="0.3">
      <c r="A165" s="35">
        <f t="shared" si="31"/>
        <v>7</v>
      </c>
      <c r="B165" s="35">
        <v>4</v>
      </c>
      <c r="C165" s="14">
        <v>43307.125</v>
      </c>
      <c r="D165" s="18">
        <v>1.471375758</v>
      </c>
      <c r="E165" s="19">
        <f t="shared" si="25"/>
        <v>1.471375758</v>
      </c>
      <c r="F165" s="16">
        <v>1.831472E-3</v>
      </c>
      <c r="G165" s="10">
        <f t="shared" si="27"/>
        <v>0</v>
      </c>
      <c r="H165" s="10">
        <f t="shared" si="28"/>
        <v>0</v>
      </c>
      <c r="I165" s="73">
        <f>MAX(0,MIN(O165,H164*2,(D165-Sheet1!$C$3)))</f>
        <v>0</v>
      </c>
      <c r="J165" s="9">
        <f>IF(F165&gt;VLOOKUP($B$16,$B$2:$F$9,5,FALSE),MAX(N165,-F165*(VLOOKUP(B165,$B$2:$E$9,4,FALSE)),-2*(6-H164),-(VLOOKUP(B165,$B$2:$G$9,6,FALSE)-D165)),0)</f>
        <v>0</v>
      </c>
      <c r="K165" s="9">
        <f t="shared" si="26"/>
        <v>0</v>
      </c>
      <c r="L165" s="9">
        <f t="shared" si="29"/>
        <v>0</v>
      </c>
      <c r="M165" s="9">
        <f t="shared" si="30"/>
        <v>0</v>
      </c>
      <c r="N165" s="8">
        <v>-2.5</v>
      </c>
      <c r="O165" s="8">
        <v>0</v>
      </c>
      <c r="P165" s="2"/>
      <c r="Q165" s="2"/>
    </row>
    <row r="166" spans="1:17" x14ac:dyDescent="0.3">
      <c r="A166" s="35">
        <f t="shared" si="31"/>
        <v>8</v>
      </c>
      <c r="B166" s="35">
        <v>4</v>
      </c>
      <c r="C166" s="14">
        <v>43307.145833333336</v>
      </c>
      <c r="D166" s="18">
        <v>1.4393763900000001</v>
      </c>
      <c r="E166" s="19">
        <f t="shared" si="25"/>
        <v>1.4393763900000001</v>
      </c>
      <c r="F166" s="16">
        <v>1.831472E-3</v>
      </c>
      <c r="G166" s="10">
        <f t="shared" si="27"/>
        <v>0</v>
      </c>
      <c r="H166" s="10">
        <f t="shared" si="28"/>
        <v>0</v>
      </c>
      <c r="I166" s="73">
        <f>MAX(0,MIN(O166,H165*2,(D166-Sheet1!$C$3)))</f>
        <v>0</v>
      </c>
      <c r="J166" s="9">
        <f>IF(F166&gt;VLOOKUP($B$16,$B$2:$F$9,5,FALSE),MAX(N166,-F166*(VLOOKUP(B166,$B$2:$E$9,4,FALSE)),-2*(6-H165),-(VLOOKUP(B166,$B$2:$G$9,6,FALSE)-D166)),0)</f>
        <v>0</v>
      </c>
      <c r="K166" s="9">
        <f t="shared" si="26"/>
        <v>0</v>
      </c>
      <c r="L166" s="9">
        <f t="shared" si="29"/>
        <v>0</v>
      </c>
      <c r="M166" s="9">
        <f t="shared" si="30"/>
        <v>0</v>
      </c>
      <c r="N166" s="8">
        <v>-2.5</v>
      </c>
      <c r="O166" s="8">
        <v>0</v>
      </c>
      <c r="P166" s="2"/>
      <c r="Q166" s="2"/>
    </row>
    <row r="167" spans="1:17" x14ac:dyDescent="0.3">
      <c r="A167" s="35">
        <f t="shared" si="31"/>
        <v>9</v>
      </c>
      <c r="B167" s="35">
        <v>4</v>
      </c>
      <c r="C167" s="14">
        <v>43307.166666666664</v>
      </c>
      <c r="D167" s="18">
        <v>1.521176106</v>
      </c>
      <c r="E167" s="19">
        <f t="shared" si="25"/>
        <v>1.521176106</v>
      </c>
      <c r="F167" s="16">
        <v>1.2332022E-2</v>
      </c>
      <c r="G167" s="10">
        <f t="shared" si="27"/>
        <v>0</v>
      </c>
      <c r="H167" s="10">
        <f t="shared" si="28"/>
        <v>0</v>
      </c>
      <c r="I167" s="73">
        <f>MAX(0,MIN(O167,H166*2,(D167-Sheet1!$C$3)))</f>
        <v>0</v>
      </c>
      <c r="J167" s="9">
        <f>IF(F167&gt;VLOOKUP($B$16,$B$2:$F$9,5,FALSE),MAX(N167,-F167*(VLOOKUP(B167,$B$2:$E$9,4,FALSE)),-2*(6-H166),-(VLOOKUP(B167,$B$2:$G$9,6,FALSE)-D167)),0)</f>
        <v>0</v>
      </c>
      <c r="K167" s="9">
        <f t="shared" si="26"/>
        <v>0</v>
      </c>
      <c r="L167" s="9">
        <f t="shared" si="29"/>
        <v>0</v>
      </c>
      <c r="M167" s="9">
        <f t="shared" si="30"/>
        <v>0</v>
      </c>
      <c r="N167" s="8">
        <v>-2.5</v>
      </c>
      <c r="O167" s="8">
        <v>0</v>
      </c>
      <c r="P167" s="2"/>
      <c r="Q167" s="2"/>
    </row>
    <row r="168" spans="1:17" x14ac:dyDescent="0.3">
      <c r="A168" s="35">
        <f t="shared" si="31"/>
        <v>10</v>
      </c>
      <c r="B168" s="35">
        <v>4</v>
      </c>
      <c r="C168" s="14">
        <v>43307.1875</v>
      </c>
      <c r="D168" s="18">
        <v>1.6476078110000001</v>
      </c>
      <c r="E168" s="19">
        <f t="shared" si="25"/>
        <v>1.6476078110000001</v>
      </c>
      <c r="F168" s="16">
        <v>1.2332022E-2</v>
      </c>
      <c r="G168" s="10">
        <f t="shared" si="27"/>
        <v>0</v>
      </c>
      <c r="H168" s="10">
        <f t="shared" si="28"/>
        <v>0</v>
      </c>
      <c r="I168" s="73">
        <f>MAX(0,MIN(O168,H167*2,(D168-Sheet1!$C$3)))</f>
        <v>0</v>
      </c>
      <c r="J168" s="9">
        <f>IF(F168&gt;VLOOKUP($B$16,$B$2:$F$9,5,FALSE),MAX(N168,-F168*(VLOOKUP(B168,$B$2:$E$9,4,FALSE)),-2*(6-H167),-(VLOOKUP(B168,$B$2:$G$9,6,FALSE)-D168)),0)</f>
        <v>0</v>
      </c>
      <c r="K168" s="9">
        <f t="shared" si="26"/>
        <v>0</v>
      </c>
      <c r="L168" s="9">
        <f t="shared" si="29"/>
        <v>0</v>
      </c>
      <c r="M168" s="9">
        <f t="shared" si="30"/>
        <v>0</v>
      </c>
      <c r="N168" s="8">
        <v>-2.5</v>
      </c>
      <c r="O168" s="8">
        <v>0</v>
      </c>
      <c r="P168" s="2"/>
      <c r="Q168" s="2"/>
    </row>
    <row r="169" spans="1:17" x14ac:dyDescent="0.3">
      <c r="A169" s="35">
        <f t="shared" si="31"/>
        <v>11</v>
      </c>
      <c r="B169" s="35">
        <v>4</v>
      </c>
      <c r="C169" s="14">
        <v>43307.208333333336</v>
      </c>
      <c r="D169" s="18">
        <v>1.9450540329999999</v>
      </c>
      <c r="E169" s="19">
        <f t="shared" si="25"/>
        <v>1.9450540329999999</v>
      </c>
      <c r="F169" s="16">
        <v>0.235431314</v>
      </c>
      <c r="G169" s="10">
        <f t="shared" si="27"/>
        <v>0</v>
      </c>
      <c r="H169" s="10">
        <f t="shared" si="28"/>
        <v>0</v>
      </c>
      <c r="I169" s="73">
        <f>MAX(0,MIN(O169,H168*2,(D169-Sheet1!$C$3)))</f>
        <v>0</v>
      </c>
      <c r="J169" s="9">
        <f>IF(F169&gt;VLOOKUP($B$16,$B$2:$F$9,5,FALSE),MAX(N169,-F169*(VLOOKUP(B169,$B$2:$E$9,4,FALSE)),-2*(6-H168),-(VLOOKUP(B169,$B$2:$G$9,6,FALSE)-D169)),0)</f>
        <v>0</v>
      </c>
      <c r="K169" s="9">
        <f t="shared" si="26"/>
        <v>0</v>
      </c>
      <c r="L169" s="9">
        <f t="shared" si="29"/>
        <v>0</v>
      </c>
      <c r="M169" s="9">
        <f t="shared" si="30"/>
        <v>0</v>
      </c>
      <c r="N169" s="8">
        <v>-2.5</v>
      </c>
      <c r="O169" s="8">
        <v>0</v>
      </c>
      <c r="P169" s="2"/>
      <c r="Q169" s="2"/>
    </row>
    <row r="170" spans="1:17" x14ac:dyDescent="0.3">
      <c r="A170" s="35">
        <f t="shared" si="31"/>
        <v>12</v>
      </c>
      <c r="B170" s="35">
        <v>4</v>
      </c>
      <c r="C170" s="14">
        <v>43307.229166666664</v>
      </c>
      <c r="D170" s="18">
        <v>2.2284026510000001</v>
      </c>
      <c r="E170" s="19">
        <f t="shared" si="25"/>
        <v>2.2284026510000001</v>
      </c>
      <c r="F170" s="16">
        <v>0.235431314</v>
      </c>
      <c r="G170" s="10">
        <f t="shared" si="27"/>
        <v>0</v>
      </c>
      <c r="H170" s="10">
        <f t="shared" si="28"/>
        <v>0</v>
      </c>
      <c r="I170" s="73">
        <f>MAX(0,MIN(O170,H169*2,(D170-Sheet1!$C$3)))</f>
        <v>0</v>
      </c>
      <c r="J170" s="9">
        <f>IF(F170&gt;VLOOKUP($B$16,$B$2:$F$9,5,FALSE),MAX(N170,-F170*(VLOOKUP(B170,$B$2:$E$9,4,FALSE)),-2*(6-H169),-(VLOOKUP(B170,$B$2:$G$9,6,FALSE)-D170)),0)</f>
        <v>0</v>
      </c>
      <c r="K170" s="9">
        <f t="shared" si="26"/>
        <v>0</v>
      </c>
      <c r="L170" s="9">
        <f t="shared" si="29"/>
        <v>0</v>
      </c>
      <c r="M170" s="9">
        <f t="shared" si="30"/>
        <v>0</v>
      </c>
      <c r="N170" s="8">
        <v>-2.5</v>
      </c>
      <c r="O170" s="8">
        <v>0</v>
      </c>
      <c r="P170" s="2"/>
      <c r="Q170" s="2"/>
    </row>
    <row r="171" spans="1:17" x14ac:dyDescent="0.3">
      <c r="A171" s="35">
        <f t="shared" si="31"/>
        <v>13</v>
      </c>
      <c r="B171" s="35">
        <v>4</v>
      </c>
      <c r="C171" s="14">
        <v>43307.25</v>
      </c>
      <c r="D171" s="18">
        <v>2.6167831399999999</v>
      </c>
      <c r="E171" s="19">
        <f t="shared" si="25"/>
        <v>2.6167831399999999</v>
      </c>
      <c r="F171" s="16">
        <v>0.48470419599999998</v>
      </c>
      <c r="G171" s="10">
        <f t="shared" si="27"/>
        <v>0</v>
      </c>
      <c r="H171" s="10">
        <f t="shared" si="28"/>
        <v>0</v>
      </c>
      <c r="I171" s="73">
        <f>MAX(0,MIN(O171,H170*2,(D171-Sheet1!$C$3)))</f>
        <v>0</v>
      </c>
      <c r="J171" s="9">
        <f>IF(F171&gt;VLOOKUP($B$16,$B$2:$F$9,5,FALSE),MAX(N171,-F171*(VLOOKUP(B171,$B$2:$E$9,4,FALSE)),-2*(6-H170),-(VLOOKUP(B171,$B$2:$G$9,6,FALSE)-D171)),0)</f>
        <v>0</v>
      </c>
      <c r="K171" s="9">
        <f t="shared" si="26"/>
        <v>0</v>
      </c>
      <c r="L171" s="9">
        <f t="shared" si="29"/>
        <v>0</v>
      </c>
      <c r="M171" s="9">
        <f t="shared" si="30"/>
        <v>0</v>
      </c>
      <c r="N171" s="8">
        <v>-2.5</v>
      </c>
      <c r="O171" s="8">
        <v>0</v>
      </c>
      <c r="P171" s="2"/>
      <c r="Q171" s="2"/>
    </row>
    <row r="172" spans="1:17" x14ac:dyDescent="0.3">
      <c r="A172" s="35">
        <f t="shared" si="31"/>
        <v>14</v>
      </c>
      <c r="B172" s="35">
        <v>4</v>
      </c>
      <c r="C172" s="14">
        <v>43307.270833333336</v>
      </c>
      <c r="D172" s="18">
        <v>2.7393697399999999</v>
      </c>
      <c r="E172" s="19">
        <f t="shared" si="25"/>
        <v>2.7393697399999999</v>
      </c>
      <c r="F172" s="16">
        <v>0.65905720000000001</v>
      </c>
      <c r="G172" s="10">
        <f t="shared" si="27"/>
        <v>0</v>
      </c>
      <c r="H172" s="10">
        <f t="shared" si="28"/>
        <v>0</v>
      </c>
      <c r="I172" s="73">
        <f>MAX(0,MIN(O172,H171*2,(D172-Sheet1!$C$3)))</f>
        <v>0</v>
      </c>
      <c r="J172" s="9">
        <f>IF(F172&gt;VLOOKUP($B$16,$B$2:$F$9,5,FALSE),MAX(N172,-F172*(VLOOKUP(B172,$B$2:$E$9,4,FALSE)),-2*(6-H171),-(VLOOKUP(B172,$B$2:$G$9,6,FALSE)-D172)),0)</f>
        <v>0</v>
      </c>
      <c r="K172" s="9">
        <f t="shared" si="26"/>
        <v>0</v>
      </c>
      <c r="L172" s="9">
        <f t="shared" si="29"/>
        <v>0</v>
      </c>
      <c r="M172" s="9">
        <f t="shared" si="30"/>
        <v>0</v>
      </c>
      <c r="N172" s="8">
        <v>-2.5</v>
      </c>
      <c r="O172" s="8">
        <v>0</v>
      </c>
      <c r="P172" s="2"/>
      <c r="Q172" s="2"/>
    </row>
    <row r="173" spans="1:17" x14ac:dyDescent="0.3">
      <c r="A173" s="35">
        <f t="shared" si="31"/>
        <v>15</v>
      </c>
      <c r="B173" s="35">
        <v>4</v>
      </c>
      <c r="C173" s="14">
        <v>43307.291666666664</v>
      </c>
      <c r="D173" s="18">
        <v>2.8342047560000001</v>
      </c>
      <c r="E173" s="19">
        <f t="shared" si="25"/>
        <v>3.4307331540072887</v>
      </c>
      <c r="F173" s="16">
        <v>1.144121647</v>
      </c>
      <c r="G173" s="10">
        <f t="shared" si="27"/>
        <v>0.59652839800728841</v>
      </c>
      <c r="H173" s="10">
        <f t="shared" si="28"/>
        <v>0.2982641990036442</v>
      </c>
      <c r="I173" s="73">
        <f>MAX(0,MIN(O173,H172*2,(D173-Sheet1!$C$3)))</f>
        <v>0</v>
      </c>
      <c r="J173" s="9">
        <f>IF(F173&gt;VLOOKUP($B$16,$B$2:$F$9,5,FALSE),MAX(N173,-F173*(VLOOKUP(B173,$B$2:$E$9,4,FALSE)),-2*(6-H172),-(VLOOKUP(B173,$B$2:$G$9,6,FALSE)-D173)),0)</f>
        <v>-0.59652839800728841</v>
      </c>
      <c r="K173" s="9">
        <f t="shared" si="26"/>
        <v>0</v>
      </c>
      <c r="L173" s="9">
        <f t="shared" si="29"/>
        <v>-0.59652839800728841</v>
      </c>
      <c r="M173" s="9">
        <f t="shared" si="30"/>
        <v>0</v>
      </c>
      <c r="N173" s="8">
        <v>-2.5</v>
      </c>
      <c r="O173" s="8">
        <v>0</v>
      </c>
      <c r="P173" s="2"/>
      <c r="Q173" s="2"/>
    </row>
    <row r="174" spans="1:17" x14ac:dyDescent="0.3">
      <c r="A174" s="35">
        <f t="shared" si="31"/>
        <v>16</v>
      </c>
      <c r="B174" s="35">
        <v>4</v>
      </c>
      <c r="C174" s="14">
        <v>43307.3125</v>
      </c>
      <c r="D174" s="18">
        <v>2.809653586</v>
      </c>
      <c r="E174" s="19">
        <f t="shared" si="25"/>
        <v>3.4359646101000005</v>
      </c>
      <c r="F174" s="16">
        <v>1.392318964</v>
      </c>
      <c r="G174" s="10">
        <f t="shared" si="27"/>
        <v>0.6263110241000005</v>
      </c>
      <c r="H174" s="10">
        <f t="shared" si="28"/>
        <v>0.61141971105364445</v>
      </c>
      <c r="I174" s="73">
        <f>MAX(0,MIN(O174,H173*2,(D174-Sheet1!$C$3)))</f>
        <v>0</v>
      </c>
      <c r="J174" s="9">
        <f>IF(F174&gt;VLOOKUP($B$16,$B$2:$F$9,5,FALSE),MAX(N174,-F174*(VLOOKUP(B174,$B$2:$E$9,4,FALSE)),-2*(6-H173),-(VLOOKUP(B174,$B$2:$G$9,6,FALSE)-D174)),0)</f>
        <v>-0.6263110241000005</v>
      </c>
      <c r="K174" s="9">
        <f t="shared" si="26"/>
        <v>0</v>
      </c>
      <c r="L174" s="9">
        <f t="shared" si="29"/>
        <v>-0.6263110241000005</v>
      </c>
      <c r="M174" s="9">
        <f t="shared" si="30"/>
        <v>0</v>
      </c>
      <c r="N174" s="8">
        <v>-2.5</v>
      </c>
      <c r="O174" s="8">
        <v>0</v>
      </c>
      <c r="P174" s="2"/>
      <c r="Q174" s="2"/>
    </row>
    <row r="175" spans="1:17" x14ac:dyDescent="0.3">
      <c r="A175" s="35">
        <f t="shared" si="31"/>
        <v>17</v>
      </c>
      <c r="B175" s="35">
        <v>4</v>
      </c>
      <c r="C175" s="14">
        <v>43307.333333333336</v>
      </c>
      <c r="D175" s="18">
        <v>2.6512152410000001</v>
      </c>
      <c r="E175" s="19">
        <f t="shared" si="25"/>
        <v>3.4359646101000005</v>
      </c>
      <c r="F175" s="16">
        <v>1.770438671</v>
      </c>
      <c r="G175" s="10">
        <f t="shared" si="27"/>
        <v>0.78474936910000048</v>
      </c>
      <c r="H175" s="10">
        <f t="shared" si="28"/>
        <v>1.0037943956036446</v>
      </c>
      <c r="I175" s="73">
        <f>MAX(0,MIN(O175,H174*2,(D175-Sheet1!$C$3)))</f>
        <v>0</v>
      </c>
      <c r="J175" s="9">
        <f>IF(F175&gt;VLOOKUP($B$16,$B$2:$F$9,5,FALSE),MAX(N175,-F175*(VLOOKUP(B175,$B$2:$E$9,4,FALSE)),-2*(6-H174),-(VLOOKUP(B175,$B$2:$G$9,6,FALSE)-D175)),0)</f>
        <v>-0.78474936910000048</v>
      </c>
      <c r="K175" s="9">
        <f t="shared" si="26"/>
        <v>0</v>
      </c>
      <c r="L175" s="9">
        <f t="shared" si="29"/>
        <v>-0.78474936910000048</v>
      </c>
      <c r="M175" s="9">
        <f t="shared" si="30"/>
        <v>0</v>
      </c>
      <c r="N175" s="8">
        <v>-2.5</v>
      </c>
      <c r="O175" s="8">
        <v>0</v>
      </c>
      <c r="P175" s="2"/>
      <c r="Q175" s="2"/>
    </row>
    <row r="176" spans="1:17" x14ac:dyDescent="0.3">
      <c r="A176" s="35">
        <f t="shared" si="31"/>
        <v>18</v>
      </c>
      <c r="B176" s="35">
        <v>4</v>
      </c>
      <c r="C176" s="14">
        <v>43307.354166666664</v>
      </c>
      <c r="D176" s="18">
        <v>2.6211196220000001</v>
      </c>
      <c r="E176" s="19">
        <f t="shared" si="25"/>
        <v>3.4359646101000005</v>
      </c>
      <c r="F176" s="16">
        <v>2.0474381450000001</v>
      </c>
      <c r="G176" s="10">
        <f t="shared" si="27"/>
        <v>0.81484498810000039</v>
      </c>
      <c r="H176" s="10">
        <f t="shared" si="28"/>
        <v>1.4112168896536448</v>
      </c>
      <c r="I176" s="73">
        <f>MAX(0,MIN(O176,H175*2,(D176-Sheet1!$C$3)))</f>
        <v>0</v>
      </c>
      <c r="J176" s="9">
        <f>IF(F176&gt;VLOOKUP($B$16,$B$2:$F$9,5,FALSE),MAX(N176,-F176*(VLOOKUP(B176,$B$2:$E$9,4,FALSE)),-2*(6-H175),-(VLOOKUP(B176,$B$2:$G$9,6,FALSE)-D176)),0)</f>
        <v>-0.81484498810000039</v>
      </c>
      <c r="K176" s="9">
        <f t="shared" si="26"/>
        <v>0</v>
      </c>
      <c r="L176" s="9">
        <f t="shared" si="29"/>
        <v>-0.81484498810000039</v>
      </c>
      <c r="M176" s="9">
        <f t="shared" si="30"/>
        <v>0</v>
      </c>
      <c r="N176" s="8">
        <v>-2.5</v>
      </c>
      <c r="O176" s="8">
        <v>0</v>
      </c>
      <c r="P176" s="2"/>
      <c r="Q176" s="2"/>
    </row>
    <row r="177" spans="1:28" x14ac:dyDescent="0.3">
      <c r="A177" s="35">
        <f t="shared" si="31"/>
        <v>19</v>
      </c>
      <c r="B177" s="35">
        <v>4</v>
      </c>
      <c r="C177" s="14">
        <v>43307.375</v>
      </c>
      <c r="D177" s="18">
        <v>2.584165284</v>
      </c>
      <c r="E177" s="19">
        <f t="shared" si="25"/>
        <v>3.4359646101000005</v>
      </c>
      <c r="F177" s="16">
        <v>2.7007791999999999</v>
      </c>
      <c r="G177" s="10">
        <f t="shared" si="27"/>
        <v>0.85179932610000053</v>
      </c>
      <c r="H177" s="10">
        <f t="shared" si="28"/>
        <v>1.837116552703645</v>
      </c>
      <c r="I177" s="73">
        <f>MAX(0,MIN(O177,H176*2,(D177-Sheet1!$C$3)))</f>
        <v>0</v>
      </c>
      <c r="J177" s="9">
        <f>IF(F177&gt;VLOOKUP($B$16,$B$2:$F$9,5,FALSE),MAX(N177,-F177*(VLOOKUP(B177,$B$2:$E$9,4,FALSE)),-2*(6-H176),-(VLOOKUP(B177,$B$2:$G$9,6,FALSE)-D177)),0)</f>
        <v>-0.85179932610000053</v>
      </c>
      <c r="K177" s="9">
        <f t="shared" si="26"/>
        <v>0</v>
      </c>
      <c r="L177" s="9">
        <f t="shared" si="29"/>
        <v>-0.85179932610000053</v>
      </c>
      <c r="M177" s="9">
        <f t="shared" si="30"/>
        <v>0</v>
      </c>
      <c r="N177" s="8">
        <v>-2.5</v>
      </c>
      <c r="O177" s="8">
        <v>0</v>
      </c>
      <c r="P177" s="2"/>
      <c r="Q177" s="2"/>
    </row>
    <row r="178" spans="1:28" x14ac:dyDescent="0.3">
      <c r="A178" s="35">
        <f t="shared" si="31"/>
        <v>20</v>
      </c>
      <c r="B178" s="35">
        <v>4</v>
      </c>
      <c r="C178" s="14">
        <v>43307.395833333336</v>
      </c>
      <c r="D178" s="18">
        <v>2.5290564469999999</v>
      </c>
      <c r="E178" s="19">
        <f t="shared" si="25"/>
        <v>3.4359646101000005</v>
      </c>
      <c r="F178" s="16">
        <v>2.8177604679999999</v>
      </c>
      <c r="G178" s="10">
        <f t="shared" si="27"/>
        <v>0.90690816310000066</v>
      </c>
      <c r="H178" s="10">
        <f t="shared" si="28"/>
        <v>2.2905706342536454</v>
      </c>
      <c r="I178" s="73">
        <f>MAX(0,MIN(O178,H177*2,(D178-Sheet1!$C$3)))</f>
        <v>0</v>
      </c>
      <c r="J178" s="9">
        <f>IF(F178&gt;VLOOKUP($B$16,$B$2:$F$9,5,FALSE),MAX(N178,-F178*(VLOOKUP(B178,$B$2:$E$9,4,FALSE)),-2*(6-H177),-(VLOOKUP(B178,$B$2:$G$9,6,FALSE)-D178)),0)</f>
        <v>-0.90690816310000066</v>
      </c>
      <c r="K178" s="9">
        <f t="shared" si="26"/>
        <v>0</v>
      </c>
      <c r="L178" s="9">
        <f t="shared" si="29"/>
        <v>-0.90690816310000066</v>
      </c>
      <c r="M178" s="9">
        <f t="shared" si="30"/>
        <v>0</v>
      </c>
      <c r="N178" s="8">
        <v>-2.5</v>
      </c>
      <c r="O178" s="8">
        <v>0</v>
      </c>
      <c r="P178" s="2"/>
      <c r="Q178" s="2"/>
    </row>
    <row r="179" spans="1:28" x14ac:dyDescent="0.3">
      <c r="A179" s="35">
        <f t="shared" si="31"/>
        <v>21</v>
      </c>
      <c r="B179" s="35">
        <v>4</v>
      </c>
      <c r="C179" s="14">
        <v>43307.416666666664</v>
      </c>
      <c r="D179" s="18">
        <v>2.4411957809999998</v>
      </c>
      <c r="E179" s="19">
        <f t="shared" si="25"/>
        <v>3.4359646101000005</v>
      </c>
      <c r="F179" s="16">
        <v>3.0296885969999998</v>
      </c>
      <c r="G179" s="10">
        <f t="shared" si="27"/>
        <v>0.99476882910000075</v>
      </c>
      <c r="H179" s="10">
        <f t="shared" si="28"/>
        <v>2.7879550488036458</v>
      </c>
      <c r="I179" s="73">
        <f>MAX(0,MIN(O179,H178*2,(D179-Sheet1!$C$3)))</f>
        <v>0</v>
      </c>
      <c r="J179" s="9">
        <f>IF(F179&gt;VLOOKUP($B$16,$B$2:$F$9,5,FALSE),MAX(N179,-F179*(VLOOKUP(B179,$B$2:$E$9,4,FALSE)),-2*(6-H178),-(VLOOKUP(B179,$B$2:$G$9,6,FALSE)-D179)),0)</f>
        <v>-0.99476882910000075</v>
      </c>
      <c r="K179" s="9">
        <f t="shared" si="26"/>
        <v>0</v>
      </c>
      <c r="L179" s="9">
        <f t="shared" si="29"/>
        <v>-0.99476882910000075</v>
      </c>
      <c r="M179" s="9">
        <f t="shared" si="30"/>
        <v>0</v>
      </c>
      <c r="N179" s="8">
        <v>-2.5</v>
      </c>
      <c r="O179" s="8">
        <v>0</v>
      </c>
      <c r="P179" s="2"/>
      <c r="Q179" s="2"/>
    </row>
    <row r="180" spans="1:28" x14ac:dyDescent="0.3">
      <c r="A180" s="35">
        <f t="shared" si="31"/>
        <v>22</v>
      </c>
      <c r="B180" s="35">
        <v>4</v>
      </c>
      <c r="C180" s="14">
        <v>43307.4375</v>
      </c>
      <c r="D180" s="18">
        <v>2.4208019919999999</v>
      </c>
      <c r="E180" s="19">
        <f t="shared" si="25"/>
        <v>3.4359646101000005</v>
      </c>
      <c r="F180" s="16">
        <v>3.082064629</v>
      </c>
      <c r="G180" s="10">
        <f t="shared" si="27"/>
        <v>1.0151626181000006</v>
      </c>
      <c r="H180" s="10">
        <f t="shared" si="28"/>
        <v>3.2955363578536461</v>
      </c>
      <c r="I180" s="73">
        <f>MAX(0,MIN(O180,H179*2,(D180-Sheet1!$C$3)))</f>
        <v>0</v>
      </c>
      <c r="J180" s="9">
        <f>IF(F180&gt;VLOOKUP($B$16,$B$2:$F$9,5,FALSE),MAX(N180,-F180*(VLOOKUP(B180,$B$2:$E$9,4,FALSE)),-2*(6-H179),-(VLOOKUP(B180,$B$2:$G$9,6,FALSE)-D180)),0)</f>
        <v>-1.0151626181000006</v>
      </c>
      <c r="K180" s="9">
        <f t="shared" si="26"/>
        <v>0</v>
      </c>
      <c r="L180" s="9">
        <f t="shared" si="29"/>
        <v>-1.0151626181000006</v>
      </c>
      <c r="M180" s="9">
        <f t="shared" si="30"/>
        <v>0</v>
      </c>
      <c r="N180" s="8">
        <v>-2.5</v>
      </c>
      <c r="O180" s="8">
        <v>0</v>
      </c>
      <c r="P180" s="2"/>
      <c r="Q180" s="2"/>
    </row>
    <row r="181" spans="1:28" x14ac:dyDescent="0.3">
      <c r="A181" s="35">
        <f t="shared" si="31"/>
        <v>23</v>
      </c>
      <c r="B181" s="35">
        <v>4</v>
      </c>
      <c r="C181" s="14">
        <v>43307.458333333336</v>
      </c>
      <c r="D181" s="18">
        <v>2.3520801910000002</v>
      </c>
      <c r="E181" s="19">
        <f t="shared" si="25"/>
        <v>3.4359646101000005</v>
      </c>
      <c r="F181" s="16">
        <v>3.1302683349999998</v>
      </c>
      <c r="G181" s="10">
        <f t="shared" si="27"/>
        <v>1.0838844191000003</v>
      </c>
      <c r="H181" s="10">
        <f t="shared" si="28"/>
        <v>3.8374785674036462</v>
      </c>
      <c r="I181" s="73">
        <f>MAX(0,MIN(O181,H180*2,(D181-Sheet1!$C$3)))</f>
        <v>0</v>
      </c>
      <c r="J181" s="9">
        <f>IF(F181&gt;VLOOKUP($B$16,$B$2:$F$9,5,FALSE),MAX(N181,-F181*(VLOOKUP(B181,$B$2:$E$9,4,FALSE)),-2*(6-H180),-(VLOOKUP(B181,$B$2:$G$9,6,FALSE)-D181)),0)</f>
        <v>-1.0838844191000003</v>
      </c>
      <c r="K181" s="9">
        <f t="shared" si="26"/>
        <v>0</v>
      </c>
      <c r="L181" s="9">
        <f t="shared" si="29"/>
        <v>-1.0838844191000003</v>
      </c>
      <c r="M181" s="9">
        <f t="shared" si="30"/>
        <v>0</v>
      </c>
      <c r="N181" s="8">
        <v>-2.5</v>
      </c>
      <c r="O181" s="8">
        <v>0</v>
      </c>
      <c r="P181" s="2"/>
      <c r="Q181" s="2"/>
    </row>
    <row r="182" spans="1:28" x14ac:dyDescent="0.3">
      <c r="A182" s="35">
        <f t="shared" si="31"/>
        <v>24</v>
      </c>
      <c r="B182" s="35">
        <v>4</v>
      </c>
      <c r="C182" s="14">
        <v>43307.479166666664</v>
      </c>
      <c r="D182" s="18">
        <v>2.313610943</v>
      </c>
      <c r="E182" s="19">
        <f t="shared" si="25"/>
        <v>3.4359646101000005</v>
      </c>
      <c r="F182" s="16">
        <v>3.1475880150000002</v>
      </c>
      <c r="G182" s="10">
        <f t="shared" si="27"/>
        <v>1.1223536671000005</v>
      </c>
      <c r="H182" s="10">
        <f t="shared" si="28"/>
        <v>4.3986554009536469</v>
      </c>
      <c r="I182" s="73">
        <f>MAX(0,MIN(O182,H181*2,(D182-Sheet1!$C$3)))</f>
        <v>0</v>
      </c>
      <c r="J182" s="9">
        <f>IF(F182&gt;VLOOKUP($B$16,$B$2:$F$9,5,FALSE),MAX(N182,-F182*(VLOOKUP(B182,$B$2:$E$9,4,FALSE)),-2*(6-H181),-(VLOOKUP(B182,$B$2:$G$9,6,FALSE)-D182)),0)</f>
        <v>-1.1223536671000005</v>
      </c>
      <c r="K182" s="9">
        <f t="shared" si="26"/>
        <v>0</v>
      </c>
      <c r="L182" s="9">
        <f t="shared" si="29"/>
        <v>-1.1223536671000005</v>
      </c>
      <c r="M182" s="9">
        <f t="shared" si="30"/>
        <v>0</v>
      </c>
      <c r="N182" s="8">
        <v>-2.5</v>
      </c>
      <c r="O182" s="8">
        <v>0</v>
      </c>
      <c r="P182" s="2"/>
      <c r="Q182" s="2"/>
    </row>
    <row r="183" spans="1:28" x14ac:dyDescent="0.3">
      <c r="A183" s="35">
        <f t="shared" si="31"/>
        <v>25</v>
      </c>
      <c r="B183" s="35">
        <v>4</v>
      </c>
      <c r="C183" s="14">
        <v>43307.5</v>
      </c>
      <c r="D183" s="18">
        <v>2.262037377</v>
      </c>
      <c r="E183" s="19">
        <f t="shared" si="25"/>
        <v>3.4359646101000005</v>
      </c>
      <c r="F183" s="16">
        <v>2.7828764920000002</v>
      </c>
      <c r="G183" s="10">
        <f t="shared" si="27"/>
        <v>1.1739272331000006</v>
      </c>
      <c r="H183" s="10">
        <f t="shared" si="28"/>
        <v>4.9856190175036472</v>
      </c>
      <c r="I183" s="73">
        <f>MAX(0,MIN(O183,H182*2,(D183-Sheet1!$C$3)))</f>
        <v>0</v>
      </c>
      <c r="J183" s="9">
        <f>IF(F183&gt;VLOOKUP($B$16,$B$2:$F$9,5,FALSE),MAX(N183,-F183*(VLOOKUP(B183,$B$2:$E$9,4,FALSE)),-2*(6-H182),-(VLOOKUP(B183,$B$2:$G$9,6,FALSE)-D183)),0)</f>
        <v>-1.1739272331000006</v>
      </c>
      <c r="K183" s="9">
        <f t="shared" si="26"/>
        <v>0</v>
      </c>
      <c r="L183" s="9">
        <f t="shared" si="29"/>
        <v>-1.1739272331000006</v>
      </c>
      <c r="M183" s="9">
        <f t="shared" si="30"/>
        <v>0</v>
      </c>
      <c r="N183" s="8">
        <v>-2.5</v>
      </c>
      <c r="O183" s="8">
        <v>0</v>
      </c>
      <c r="P183" s="2"/>
      <c r="Q183" s="2"/>
    </row>
    <row r="184" spans="1:28" x14ac:dyDescent="0.3">
      <c r="A184" s="35">
        <f t="shared" si="31"/>
        <v>26</v>
      </c>
      <c r="B184" s="35">
        <v>4</v>
      </c>
      <c r="C184" s="14">
        <v>43307.520833333336</v>
      </c>
      <c r="D184" s="18">
        <v>2.2419795379999998</v>
      </c>
      <c r="E184" s="19">
        <f t="shared" si="25"/>
        <v>3.4359646101000005</v>
      </c>
      <c r="F184" s="16">
        <v>2.6863272189999998</v>
      </c>
      <c r="G184" s="10">
        <f t="shared" si="27"/>
        <v>1.1939850721000007</v>
      </c>
      <c r="H184" s="10">
        <f t="shared" si="28"/>
        <v>5.5826115535536474</v>
      </c>
      <c r="I184" s="73">
        <f>MAX(0,MIN(O184,H183*2,(D184-Sheet1!$C$3)))</f>
        <v>0</v>
      </c>
      <c r="J184" s="9">
        <f>IF(F184&gt;VLOOKUP($B$16,$B$2:$F$9,5,FALSE),MAX(N184,-F184*(VLOOKUP(B184,$B$2:$E$9,4,FALSE)),-2*(6-H183),-(VLOOKUP(B184,$B$2:$G$9,6,FALSE)-D184)),0)</f>
        <v>-1.1939850721000007</v>
      </c>
      <c r="K184" s="9">
        <f t="shared" si="26"/>
        <v>0</v>
      </c>
      <c r="L184" s="9">
        <f t="shared" si="29"/>
        <v>-1.1939850721000007</v>
      </c>
      <c r="M184" s="9">
        <f t="shared" si="30"/>
        <v>0</v>
      </c>
      <c r="N184" s="8">
        <v>-2.5</v>
      </c>
      <c r="O184" s="8">
        <v>0</v>
      </c>
      <c r="P184" s="2"/>
      <c r="Q184" s="2"/>
    </row>
    <row r="185" spans="1:28" x14ac:dyDescent="0.3">
      <c r="A185" s="35">
        <f t="shared" si="31"/>
        <v>27</v>
      </c>
      <c r="B185" s="35">
        <v>4</v>
      </c>
      <c r="C185" s="14">
        <v>43307.541666666664</v>
      </c>
      <c r="D185" s="18">
        <v>2.1839509079999999</v>
      </c>
      <c r="E185" s="19">
        <f t="shared" si="25"/>
        <v>3.0187278008927052</v>
      </c>
      <c r="F185" s="16">
        <v>2.7143638129999998</v>
      </c>
      <c r="G185" s="10">
        <f t="shared" si="27"/>
        <v>0.83477689289270529</v>
      </c>
      <c r="H185" s="10">
        <f t="shared" si="28"/>
        <v>6</v>
      </c>
      <c r="I185" s="73">
        <f>MAX(0,MIN(O185,H184*2,(D185-Sheet1!$C$3)))</f>
        <v>0</v>
      </c>
      <c r="J185" s="9">
        <f>IF(F185&gt;VLOOKUP($B$16,$B$2:$F$9,5,FALSE),MAX(N185,-F185*(VLOOKUP(B185,$B$2:$E$9,4,FALSE)),-2*(6-H184),-(VLOOKUP(B185,$B$2:$G$9,6,FALSE)-D185)),0)</f>
        <v>-0.83477689289270529</v>
      </c>
      <c r="K185" s="9">
        <f t="shared" si="26"/>
        <v>0</v>
      </c>
      <c r="L185" s="9">
        <f t="shared" si="29"/>
        <v>-0.83477689289270529</v>
      </c>
      <c r="M185" s="9">
        <f t="shared" si="30"/>
        <v>0</v>
      </c>
      <c r="N185" s="8">
        <v>-2.5</v>
      </c>
      <c r="O185" s="8">
        <v>0</v>
      </c>
      <c r="P185" s="2"/>
      <c r="Q185" s="2"/>
    </row>
    <row r="186" spans="1:28" x14ac:dyDescent="0.3">
      <c r="A186" s="35">
        <f t="shared" si="31"/>
        <v>28</v>
      </c>
      <c r="B186" s="35">
        <v>4</v>
      </c>
      <c r="C186" s="14">
        <v>43307.5625</v>
      </c>
      <c r="D186" s="18">
        <v>2.179418756</v>
      </c>
      <c r="E186" s="19">
        <f t="shared" si="25"/>
        <v>2.179418756</v>
      </c>
      <c r="F186" s="16">
        <v>2.7143638129999998</v>
      </c>
      <c r="G186" s="10">
        <f t="shared" si="27"/>
        <v>0</v>
      </c>
      <c r="H186" s="10">
        <f t="shared" si="28"/>
        <v>6</v>
      </c>
      <c r="I186" s="73">
        <f>MAX(0,MIN(O186,H185*2,(D186-Sheet1!$C$3)))</f>
        <v>0</v>
      </c>
      <c r="J186" s="9">
        <f>IF(F186&gt;VLOOKUP($B$16,$B$2:$F$9,5,FALSE),MAX(N186,-F186*(VLOOKUP(B186,$B$2:$E$9,4,FALSE)),-2*(6-H185),-(VLOOKUP(B186,$B$2:$G$9,6,FALSE)-D186)),0)</f>
        <v>0</v>
      </c>
      <c r="K186" s="9">
        <f t="shared" si="26"/>
        <v>0</v>
      </c>
      <c r="L186" s="9">
        <f t="shared" si="29"/>
        <v>0</v>
      </c>
      <c r="M186" s="9">
        <f t="shared" si="30"/>
        <v>0</v>
      </c>
      <c r="N186" s="8">
        <v>-2.5</v>
      </c>
      <c r="O186" s="8">
        <v>0</v>
      </c>
      <c r="P186" s="2"/>
      <c r="Q186" s="2"/>
    </row>
    <row r="187" spans="1:28" x14ac:dyDescent="0.3">
      <c r="A187" s="35">
        <f t="shared" si="31"/>
        <v>29</v>
      </c>
      <c r="B187" s="35">
        <v>4</v>
      </c>
      <c r="C187" s="14">
        <v>43307.583333333336</v>
      </c>
      <c r="D187" s="18">
        <v>2.1586336629999998</v>
      </c>
      <c r="E187" s="19">
        <f t="shared" si="25"/>
        <v>2.1586336629999998</v>
      </c>
      <c r="F187" s="16">
        <v>2.752275467</v>
      </c>
      <c r="G187" s="10">
        <f t="shared" si="27"/>
        <v>0</v>
      </c>
      <c r="H187" s="10">
        <f t="shared" si="28"/>
        <v>6</v>
      </c>
      <c r="I187" s="73">
        <f>MAX(0,MIN(O187,H186*2,(D187-Sheet1!$C$3)))</f>
        <v>0</v>
      </c>
      <c r="J187" s="9">
        <f>IF(F187&gt;VLOOKUP($B$16,$B$2:$F$9,5,FALSE),MAX(N187,-F187*(VLOOKUP(B187,$B$2:$E$9,4,FALSE)),-2*(6-H186),-(VLOOKUP(B187,$B$2:$G$9,6,FALSE)-D187)),0)</f>
        <v>0</v>
      </c>
      <c r="K187" s="9">
        <f t="shared" si="26"/>
        <v>0</v>
      </c>
      <c r="L187" s="9">
        <f t="shared" si="29"/>
        <v>0</v>
      </c>
      <c r="M187" s="9">
        <f t="shared" si="30"/>
        <v>0</v>
      </c>
      <c r="N187" s="8">
        <v>-2.5</v>
      </c>
      <c r="O187" s="8">
        <v>0</v>
      </c>
      <c r="P187" s="2"/>
      <c r="Q187" s="2"/>
    </row>
    <row r="188" spans="1:28" x14ac:dyDescent="0.3">
      <c r="A188" s="37">
        <f t="shared" si="31"/>
        <v>30</v>
      </c>
      <c r="B188" s="37">
        <v>4</v>
      </c>
      <c r="C188" s="24">
        <v>43307.604166666664</v>
      </c>
      <c r="D188" s="25">
        <v>2.2830140229999998</v>
      </c>
      <c r="E188" s="26">
        <f t="shared" si="25"/>
        <v>2.2830140229999998</v>
      </c>
      <c r="F188" s="27">
        <v>2.548749924</v>
      </c>
      <c r="G188" s="10">
        <f t="shared" si="27"/>
        <v>0</v>
      </c>
      <c r="H188" s="10">
        <f t="shared" si="28"/>
        <v>6</v>
      </c>
      <c r="I188" s="93">
        <f>MAX(0,MIN(O188,H187*2,(D188-Sheet1!$C$3)))</f>
        <v>0</v>
      </c>
      <c r="J188" s="9">
        <f>IF(F188&gt;VLOOKUP($B$16,$B$2:$F$9,5,FALSE),MAX(N188,-F188*(VLOOKUP(B188,$B$2:$E$9,4,FALSE)),-2*(6-H187),-(VLOOKUP(B188,$B$2:$G$9,6,FALSE)-D188)),0)</f>
        <v>0</v>
      </c>
      <c r="K188" s="9">
        <f t="shared" si="26"/>
        <v>0</v>
      </c>
      <c r="L188" s="42">
        <f t="shared" si="29"/>
        <v>0</v>
      </c>
      <c r="M188" s="42">
        <f t="shared" si="30"/>
        <v>0</v>
      </c>
      <c r="N188" s="23">
        <v>-2.5</v>
      </c>
      <c r="O188" s="23">
        <v>0</v>
      </c>
      <c r="P188" s="2"/>
      <c r="Q188" s="2"/>
    </row>
    <row r="189" spans="1:28" s="64" customFormat="1" ht="15" thickBot="1" x14ac:dyDescent="0.35">
      <c r="A189" s="54">
        <f t="shared" si="31"/>
        <v>31</v>
      </c>
      <c r="B189" s="54">
        <v>4</v>
      </c>
      <c r="C189" s="55">
        <v>43307.625</v>
      </c>
      <c r="D189" s="56">
        <v>2.5406143590000001</v>
      </c>
      <c r="E189" s="57">
        <f t="shared" si="25"/>
        <v>2.5406143590000001</v>
      </c>
      <c r="F189" s="58">
        <v>2.1021852490000001</v>
      </c>
      <c r="G189" s="111">
        <f t="shared" si="27"/>
        <v>0</v>
      </c>
      <c r="H189" s="111">
        <f t="shared" si="28"/>
        <v>6</v>
      </c>
      <c r="I189" s="74">
        <f>MAX(0,MIN(O189,H188*2,(D189-Sheet1!$C$3)))</f>
        <v>0</v>
      </c>
      <c r="J189" s="9">
        <f>IF(F189&gt;VLOOKUP($B$16,$B$2:$F$9,5,FALSE),MAX(N189,-F189*(VLOOKUP(B189,$B$2:$E$9,4,FALSE)),-2*(6-H188),-(VLOOKUP(B189,$B$2:$G$9,6,FALSE)-D189)),0)</f>
        <v>0</v>
      </c>
      <c r="K189" s="60">
        <f t="shared" si="26"/>
        <v>0</v>
      </c>
      <c r="L189" s="60">
        <f t="shared" si="29"/>
        <v>0</v>
      </c>
      <c r="M189" s="60">
        <f t="shared" si="30"/>
        <v>0</v>
      </c>
      <c r="N189" s="61">
        <v>-2.5</v>
      </c>
      <c r="O189" s="61">
        <v>0</v>
      </c>
      <c r="P189" s="62"/>
      <c r="Q189" s="62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 spans="1:28" x14ac:dyDescent="0.3">
      <c r="A190" s="44">
        <f>A189+1</f>
        <v>32</v>
      </c>
      <c r="B190" s="44">
        <v>4</v>
      </c>
      <c r="C190" s="45">
        <v>43307.645833333336</v>
      </c>
      <c r="D190" s="46">
        <v>2.7741862560000001</v>
      </c>
      <c r="E190" s="33">
        <f t="shared" si="25"/>
        <v>1.9066965960909088</v>
      </c>
      <c r="F190" s="47">
        <v>2.0359897610000002</v>
      </c>
      <c r="G190" s="97">
        <f t="shared" si="27"/>
        <v>-0.86748965990909133</v>
      </c>
      <c r="H190" s="97">
        <f t="shared" si="28"/>
        <v>5.5662551700454541</v>
      </c>
      <c r="I190" s="72">
        <f>MAX(0,MIN(O190,H189*2,(D190-Sheet1!$C$3)))</f>
        <v>0.86748965990909133</v>
      </c>
      <c r="J190" s="9">
        <f>IF(F190&gt;VLOOKUP($B$16,$B$2:$F$9,5,FALSE),MAX(N190,-F190*(VLOOKUP(B190,$B$2:$E$9,4,FALSE)),-2*(6-H189),-(VLOOKUP(B190,$B$2:$G$9,6,FALSE)-D190)),0)</f>
        <v>0</v>
      </c>
      <c r="K190" s="40">
        <f t="shared" si="26"/>
        <v>0</v>
      </c>
      <c r="L190" s="41"/>
      <c r="M190" s="41"/>
      <c r="N190" s="48">
        <v>0</v>
      </c>
      <c r="O190" s="48">
        <v>2.5</v>
      </c>
      <c r="P190" s="2"/>
      <c r="Q190" s="2"/>
    </row>
    <row r="191" spans="1:28" x14ac:dyDescent="0.3">
      <c r="A191" s="36">
        <f t="shared" si="31"/>
        <v>33</v>
      </c>
      <c r="B191" s="36">
        <v>4</v>
      </c>
      <c r="C191" s="15">
        <v>43307.666666666664</v>
      </c>
      <c r="D191" s="20">
        <v>3.0404015960000002</v>
      </c>
      <c r="E191" s="19">
        <f t="shared" si="25"/>
        <v>1.9066965960909088</v>
      </c>
      <c r="F191" s="17">
        <v>1.9608589409999999</v>
      </c>
      <c r="G191" s="10">
        <f t="shared" si="27"/>
        <v>-1.1337049999090913</v>
      </c>
      <c r="H191" s="10">
        <f t="shared" si="28"/>
        <v>4.9994026700909089</v>
      </c>
      <c r="I191" s="73">
        <f>MAX(0,MIN(O191,H190*2,(D191-Sheet1!$C$3)))</f>
        <v>1.1337049999090913</v>
      </c>
      <c r="J191" s="9">
        <f>IF(F191&gt;VLOOKUP($B$16,$B$2:$F$9,5,FALSE),MAX(N191,-F191*(VLOOKUP(B191,$B$2:$E$9,4,FALSE)),-2*(6-H190),-(VLOOKUP(B191,$B$2:$G$9,6,FALSE)-D191)),0)</f>
        <v>0</v>
      </c>
      <c r="K191" s="9">
        <f t="shared" si="26"/>
        <v>0</v>
      </c>
      <c r="L191" s="12"/>
      <c r="M191" s="12"/>
      <c r="N191" s="13">
        <v>0</v>
      </c>
      <c r="O191" s="13">
        <v>2.5</v>
      </c>
      <c r="P191" s="2"/>
      <c r="Q191" s="2"/>
    </row>
    <row r="192" spans="1:28" x14ac:dyDescent="0.3">
      <c r="A192" s="36">
        <f t="shared" si="31"/>
        <v>34</v>
      </c>
      <c r="B192" s="36">
        <v>4</v>
      </c>
      <c r="C192" s="15">
        <v>43307.6875</v>
      </c>
      <c r="D192" s="20">
        <v>3.077442445</v>
      </c>
      <c r="E192" s="19">
        <f t="shared" si="25"/>
        <v>1.9066965960909088</v>
      </c>
      <c r="F192" s="17">
        <v>1.7714309690000001</v>
      </c>
      <c r="G192" s="10">
        <f t="shared" si="27"/>
        <v>-1.1707458489090912</v>
      </c>
      <c r="H192" s="10">
        <f t="shared" si="28"/>
        <v>4.4140297456363635</v>
      </c>
      <c r="I192" s="73">
        <f>MAX(0,MIN(O192,H191*2,(D192-Sheet1!$C$3)))</f>
        <v>1.1707458489090912</v>
      </c>
      <c r="J192" s="9">
        <f>IF(F192&gt;VLOOKUP($B$16,$B$2:$F$9,5,FALSE),MAX(N192,-F192*(VLOOKUP(B192,$B$2:$E$9,4,FALSE)),-2*(6-H191),-(VLOOKUP(B192,$B$2:$G$9,6,FALSE)-D192)),0)</f>
        <v>0</v>
      </c>
      <c r="K192" s="9">
        <f t="shared" si="26"/>
        <v>0</v>
      </c>
      <c r="L192" s="12"/>
      <c r="M192" s="12"/>
      <c r="N192" s="13">
        <v>0</v>
      </c>
      <c r="O192" s="13">
        <v>2.5</v>
      </c>
      <c r="P192" s="2"/>
      <c r="Q192" s="2"/>
    </row>
    <row r="193" spans="1:28" x14ac:dyDescent="0.3">
      <c r="A193" s="36">
        <f t="shared" si="31"/>
        <v>35</v>
      </c>
      <c r="B193" s="36">
        <v>4</v>
      </c>
      <c r="C193" s="15">
        <v>43307.708333333336</v>
      </c>
      <c r="D193" s="20">
        <v>3.1236041910000001</v>
      </c>
      <c r="E193" s="19">
        <f t="shared" si="25"/>
        <v>1.9066965960909088</v>
      </c>
      <c r="F193" s="17">
        <v>1.1545821430000001</v>
      </c>
      <c r="G193" s="10">
        <f t="shared" si="27"/>
        <v>-1.2169075949090913</v>
      </c>
      <c r="H193" s="10">
        <f t="shared" si="28"/>
        <v>3.8055759481818177</v>
      </c>
      <c r="I193" s="73">
        <f>MAX(0,MIN(O193,H192*2,(D193-Sheet1!$C$3)))</f>
        <v>1.2169075949090913</v>
      </c>
      <c r="J193" s="9">
        <f>IF(F193&gt;VLOOKUP($B$16,$B$2:$F$9,5,FALSE),MAX(N193,-F193*(VLOOKUP(B193,$B$2:$E$9,4,FALSE)),-2*(6-H192),-(VLOOKUP(B193,$B$2:$G$9,6,FALSE)-D193)),0)</f>
        <v>0</v>
      </c>
      <c r="K193" s="9">
        <f t="shared" si="26"/>
        <v>0</v>
      </c>
      <c r="L193" s="12"/>
      <c r="M193" s="12"/>
      <c r="N193" s="13">
        <v>0</v>
      </c>
      <c r="O193" s="13">
        <v>2.5</v>
      </c>
      <c r="P193" s="2"/>
      <c r="Q193" s="2"/>
    </row>
    <row r="194" spans="1:28" x14ac:dyDescent="0.3">
      <c r="A194" s="36">
        <f t="shared" si="31"/>
        <v>36</v>
      </c>
      <c r="B194" s="36">
        <v>4</v>
      </c>
      <c r="C194" s="15">
        <v>43307.729166666664</v>
      </c>
      <c r="D194" s="20">
        <v>3.1091372050000001</v>
      </c>
      <c r="E194" s="19">
        <f t="shared" si="25"/>
        <v>1.9066965960909088</v>
      </c>
      <c r="F194" s="17">
        <v>0.95374614000000002</v>
      </c>
      <c r="G194" s="10">
        <f t="shared" si="27"/>
        <v>-1.2024406089090913</v>
      </c>
      <c r="H194" s="10">
        <f t="shared" si="28"/>
        <v>3.204355643727272</v>
      </c>
      <c r="I194" s="73">
        <f>MAX(0,MIN(O194,H193*2,(D194-Sheet1!$C$3)))</f>
        <v>1.2024406089090913</v>
      </c>
      <c r="J194" s="9">
        <f>IF(F194&gt;VLOOKUP($B$16,$B$2:$F$9,5,FALSE),MAX(N194,-F194*(VLOOKUP(B194,$B$2:$E$9,4,FALSE)),-2*(6-H193),-(VLOOKUP(B194,$B$2:$G$9,6,FALSE)-D194)),0)</f>
        <v>0</v>
      </c>
      <c r="K194" s="9">
        <f t="shared" si="26"/>
        <v>0</v>
      </c>
      <c r="L194" s="12"/>
      <c r="M194" s="12"/>
      <c r="N194" s="13">
        <v>0</v>
      </c>
      <c r="O194" s="13">
        <v>2.5</v>
      </c>
      <c r="P194" s="2"/>
      <c r="Q194" s="2"/>
    </row>
    <row r="195" spans="1:28" x14ac:dyDescent="0.3">
      <c r="A195" s="36">
        <f t="shared" si="31"/>
        <v>37</v>
      </c>
      <c r="B195" s="36">
        <v>4</v>
      </c>
      <c r="C195" s="15">
        <v>43307.75</v>
      </c>
      <c r="D195" s="20">
        <v>3.0797057460000001</v>
      </c>
      <c r="E195" s="19">
        <f t="shared" si="25"/>
        <v>1.9066965960909088</v>
      </c>
      <c r="F195" s="17">
        <v>0.42437762000000001</v>
      </c>
      <c r="G195" s="10">
        <f t="shared" si="27"/>
        <v>-1.1730091499090913</v>
      </c>
      <c r="H195" s="10">
        <f t="shared" si="28"/>
        <v>2.6178510687727261</v>
      </c>
      <c r="I195" s="73">
        <f>MAX(0,MIN(O195,H194*2,(D195-Sheet1!$C$3)))</f>
        <v>1.1730091499090913</v>
      </c>
      <c r="J195" s="9">
        <f>IF(F195&gt;VLOOKUP($B$16,$B$2:$F$9,5,FALSE),MAX(N195,-F195*(VLOOKUP(B195,$B$2:$E$9,4,FALSE)),-2*(6-H194),-(VLOOKUP(B195,$B$2:$G$9,6,FALSE)-D195)),0)</f>
        <v>0</v>
      </c>
      <c r="K195" s="9">
        <f t="shared" si="26"/>
        <v>0</v>
      </c>
      <c r="L195" s="12"/>
      <c r="M195" s="12"/>
      <c r="N195" s="13">
        <v>0</v>
      </c>
      <c r="O195" s="13">
        <v>2.5</v>
      </c>
      <c r="P195" s="2"/>
      <c r="Q195" s="2"/>
    </row>
    <row r="196" spans="1:28" x14ac:dyDescent="0.3">
      <c r="A196" s="36">
        <f t="shared" si="31"/>
        <v>38</v>
      </c>
      <c r="B196" s="36">
        <v>4</v>
      </c>
      <c r="C196" s="15">
        <v>43307.770833333336</v>
      </c>
      <c r="D196" s="20">
        <v>3.0261925879999998</v>
      </c>
      <c r="E196" s="19">
        <f t="shared" si="25"/>
        <v>1.9066965960909088</v>
      </c>
      <c r="F196" s="17">
        <v>0.410805792</v>
      </c>
      <c r="G196" s="10">
        <f t="shared" si="27"/>
        <v>-1.119495991909091</v>
      </c>
      <c r="H196" s="10">
        <f t="shared" si="28"/>
        <v>2.0581030728181808</v>
      </c>
      <c r="I196" s="73">
        <f>MAX(0,MIN(O196,H195*2,(D196-Sheet1!$C$3)))</f>
        <v>1.119495991909091</v>
      </c>
      <c r="J196" s="9">
        <f>IF(F196&gt;VLOOKUP($B$16,$B$2:$F$9,5,FALSE),MAX(N196,-F196*(VLOOKUP(B196,$B$2:$E$9,4,FALSE)),-2*(6-H195),-(VLOOKUP(B196,$B$2:$G$9,6,FALSE)-D196)),0)</f>
        <v>0</v>
      </c>
      <c r="K196" s="9">
        <f t="shared" si="26"/>
        <v>0</v>
      </c>
      <c r="L196" s="12"/>
      <c r="M196" s="12"/>
      <c r="N196" s="13">
        <v>0</v>
      </c>
      <c r="O196" s="13">
        <v>2.5</v>
      </c>
      <c r="P196" s="2"/>
      <c r="Q196" s="2"/>
    </row>
    <row r="197" spans="1:28" x14ac:dyDescent="0.3">
      <c r="A197" s="36">
        <f t="shared" si="31"/>
        <v>39</v>
      </c>
      <c r="B197" s="36">
        <v>4</v>
      </c>
      <c r="C197" s="15">
        <v>43307.791666666664</v>
      </c>
      <c r="D197" s="20">
        <v>2.919739163</v>
      </c>
      <c r="E197" s="19">
        <f t="shared" si="25"/>
        <v>1.9066965960909088</v>
      </c>
      <c r="F197" s="17">
        <v>9.2441648000000001E-2</v>
      </c>
      <c r="G197" s="10">
        <f t="shared" si="27"/>
        <v>-1.0130425669090912</v>
      </c>
      <c r="H197" s="10">
        <f t="shared" si="28"/>
        <v>1.5515817893636352</v>
      </c>
      <c r="I197" s="73">
        <f>MAX(0,MIN(O197,H196*2,(D197-Sheet1!$C$3)))</f>
        <v>1.0130425669090912</v>
      </c>
      <c r="J197" s="9">
        <f>IF(F197&gt;VLOOKUP($B$16,$B$2:$F$9,5,FALSE),MAX(N197,-F197*(VLOOKUP(B197,$B$2:$E$9,4,FALSE)),-2*(6-H196),-(VLOOKUP(B197,$B$2:$G$9,6,FALSE)-D197)),0)</f>
        <v>0</v>
      </c>
      <c r="K197" s="9">
        <f t="shared" si="26"/>
        <v>0</v>
      </c>
      <c r="L197" s="12"/>
      <c r="M197" s="12"/>
      <c r="N197" s="13">
        <v>0</v>
      </c>
      <c r="O197" s="13">
        <v>2.5</v>
      </c>
      <c r="P197" s="2"/>
      <c r="Q197" s="2"/>
    </row>
    <row r="198" spans="1:28" x14ac:dyDescent="0.3">
      <c r="A198" s="36">
        <f t="shared" si="31"/>
        <v>40</v>
      </c>
      <c r="B198" s="36">
        <v>4</v>
      </c>
      <c r="C198" s="15">
        <v>43307.8125</v>
      </c>
      <c r="D198" s="20">
        <v>2.8761650940000001</v>
      </c>
      <c r="E198" s="19">
        <f t="shared" si="25"/>
        <v>1.9066965960909088</v>
      </c>
      <c r="F198" s="17">
        <v>8.2404613000000002E-2</v>
      </c>
      <c r="G198" s="10">
        <f t="shared" si="27"/>
        <v>-0.96946849790909129</v>
      </c>
      <c r="H198" s="10">
        <f t="shared" si="28"/>
        <v>1.0668475404090896</v>
      </c>
      <c r="I198" s="73">
        <f>MAX(0,MIN(O198,H197*2,(D198-Sheet1!$C$3)))</f>
        <v>0.96946849790909129</v>
      </c>
      <c r="J198" s="9">
        <f>IF(F198&gt;VLOOKUP($B$16,$B$2:$F$9,5,FALSE),MAX(N198,-F198*(VLOOKUP(B198,$B$2:$E$9,4,FALSE)),-2*(6-H197),-(VLOOKUP(B198,$B$2:$G$9,6,FALSE)-D198)),0)</f>
        <v>0</v>
      </c>
      <c r="K198" s="9">
        <f t="shared" si="26"/>
        <v>0</v>
      </c>
      <c r="L198" s="12"/>
      <c r="M198" s="12"/>
      <c r="N198" s="13">
        <v>0</v>
      </c>
      <c r="O198" s="13">
        <v>2.5</v>
      </c>
      <c r="P198" s="2"/>
      <c r="Q198" s="2"/>
    </row>
    <row r="199" spans="1:28" x14ac:dyDescent="0.3">
      <c r="A199" s="49">
        <f t="shared" si="31"/>
        <v>41</v>
      </c>
      <c r="B199" s="49">
        <v>4</v>
      </c>
      <c r="C199" s="50">
        <v>43307.833333333336</v>
      </c>
      <c r="D199" s="51">
        <v>2.768338264</v>
      </c>
      <c r="E199" s="26">
        <f t="shared" si="25"/>
        <v>1.9066965960909088</v>
      </c>
      <c r="F199" s="52">
        <v>5.3364930000000003E-3</v>
      </c>
      <c r="G199" s="10">
        <f t="shared" si="27"/>
        <v>-0.86164166790909125</v>
      </c>
      <c r="H199" s="10">
        <f t="shared" si="28"/>
        <v>0.63602670645454396</v>
      </c>
      <c r="I199" s="93">
        <f>MAX(0,MIN(O199,H198*2,(D199-Sheet1!$C$3)))</f>
        <v>0.86164166790909125</v>
      </c>
      <c r="J199" s="9">
        <f>IF(F199&gt;VLOOKUP($B$16,$B$2:$F$9,5,FALSE),MAX(N199,-F199*(VLOOKUP(B199,$B$2:$E$9,4,FALSE)),-2*(6-H198),-(VLOOKUP(B199,$B$2:$G$9,6,FALSE)-D199)),0)</f>
        <v>0</v>
      </c>
      <c r="K199" s="9">
        <f t="shared" si="26"/>
        <v>0</v>
      </c>
      <c r="L199" s="29"/>
      <c r="M199" s="29"/>
      <c r="N199" s="53">
        <v>0</v>
      </c>
      <c r="O199" s="53">
        <v>2.5</v>
      </c>
      <c r="P199" s="2"/>
      <c r="Q199" s="2"/>
    </row>
    <row r="200" spans="1:28" s="64" customFormat="1" ht="15" thickBot="1" x14ac:dyDescent="0.35">
      <c r="A200" s="65">
        <f t="shared" si="31"/>
        <v>42</v>
      </c>
      <c r="B200" s="65">
        <v>4</v>
      </c>
      <c r="C200" s="66">
        <v>43307.854166666664</v>
      </c>
      <c r="D200" s="67">
        <v>2.614222759</v>
      </c>
      <c r="E200" s="57">
        <f t="shared" si="25"/>
        <v>1.9066965960909088</v>
      </c>
      <c r="F200" s="68">
        <v>5.3364930000000003E-3</v>
      </c>
      <c r="G200" s="111">
        <f t="shared" si="27"/>
        <v>-0.70752616290909121</v>
      </c>
      <c r="H200" s="111">
        <f t="shared" si="28"/>
        <v>0.28226362499999835</v>
      </c>
      <c r="I200" s="74">
        <f>MAX(0,MIN(O200,H199*2,(D200-Sheet1!$C$3)))</f>
        <v>0.70752616290909121</v>
      </c>
      <c r="J200" s="9">
        <f>IF(F200&gt;VLOOKUP($B$16,$B$2:$F$9,5,FALSE),MAX(N200,-F200*(VLOOKUP(B200,$B$2:$E$9,4,FALSE)),-2*(6-H199),-(VLOOKUP(B200,$B$2:$G$9,6,FALSE)-D200)),0)</f>
        <v>0</v>
      </c>
      <c r="K200" s="60">
        <f t="shared" si="26"/>
        <v>0</v>
      </c>
      <c r="L200" s="59"/>
      <c r="M200" s="59"/>
      <c r="N200" s="69">
        <v>0</v>
      </c>
      <c r="O200" s="69">
        <v>2.5</v>
      </c>
      <c r="P200" s="62"/>
      <c r="Q200" s="62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 spans="1:28" x14ac:dyDescent="0.3">
      <c r="A201" s="38">
        <f t="shared" si="31"/>
        <v>43</v>
      </c>
      <c r="B201" s="38">
        <v>4</v>
      </c>
      <c r="C201" s="31">
        <v>43307.875</v>
      </c>
      <c r="D201" s="32">
        <v>2.6057340450000002</v>
      </c>
      <c r="E201" s="33">
        <f t="shared" si="25"/>
        <v>2.6057340450000002</v>
      </c>
      <c r="F201" s="39">
        <v>5.3364930000000003E-3</v>
      </c>
      <c r="G201" s="97">
        <f t="shared" si="27"/>
        <v>0</v>
      </c>
      <c r="H201" s="97">
        <f t="shared" si="28"/>
        <v>0.28226362499999835</v>
      </c>
      <c r="I201" s="72">
        <f>MAX(0,MIN(O201,H200*2,(D201-Sheet1!$C$3)))</f>
        <v>0</v>
      </c>
      <c r="J201" s="9">
        <f>IF(F201&gt;VLOOKUP($B$16,$B$2:$F$9,5,FALSE),MAX(N201,-F201*(VLOOKUP(B201,$B$2:$E$9,4,FALSE)),-2*(6-H200),-(VLOOKUP(B201,$B$2:$G$9,6,FALSE)-D201)),0)</f>
        <v>0</v>
      </c>
      <c r="K201" s="40">
        <f t="shared" si="26"/>
        <v>0</v>
      </c>
      <c r="L201" s="34"/>
      <c r="M201" s="34"/>
      <c r="N201" s="30">
        <v>0</v>
      </c>
      <c r="O201" s="30">
        <v>0</v>
      </c>
      <c r="P201" s="2"/>
      <c r="Q201" s="2"/>
    </row>
    <row r="202" spans="1:28" x14ac:dyDescent="0.3">
      <c r="A202" s="35">
        <f t="shared" si="31"/>
        <v>44</v>
      </c>
      <c r="B202" s="35">
        <v>4</v>
      </c>
      <c r="C202" s="14">
        <v>43307.895833333336</v>
      </c>
      <c r="D202" s="18">
        <v>2.4085157189999999</v>
      </c>
      <c r="E202" s="19">
        <f t="shared" si="25"/>
        <v>2.4085157189999999</v>
      </c>
      <c r="F202" s="16">
        <v>5.3364930000000003E-3</v>
      </c>
      <c r="G202" s="10">
        <f t="shared" si="27"/>
        <v>0</v>
      </c>
      <c r="H202" s="10">
        <f t="shared" si="28"/>
        <v>0.28226362499999835</v>
      </c>
      <c r="I202" s="73">
        <f>MAX(0,MIN(O202,H201*2,(D202-Sheet1!$C$3)))</f>
        <v>0</v>
      </c>
      <c r="J202" s="9">
        <f>IF(F202&gt;VLOOKUP($B$16,$B$2:$F$9,5,FALSE),MAX(N202,-F202*(VLOOKUP(B202,$B$2:$E$9,4,FALSE)),-2*(6-H201),-(VLOOKUP(B202,$B$2:$G$9,6,FALSE)-D202)),0)</f>
        <v>0</v>
      </c>
      <c r="K202" s="9">
        <f t="shared" si="26"/>
        <v>0</v>
      </c>
      <c r="L202" s="11"/>
      <c r="M202" s="11"/>
      <c r="N202" s="8">
        <v>0</v>
      </c>
      <c r="O202" s="8">
        <v>0</v>
      </c>
      <c r="P202" s="2"/>
      <c r="Q202" s="2"/>
    </row>
    <row r="203" spans="1:28" x14ac:dyDescent="0.3">
      <c r="A203" s="35">
        <f t="shared" si="31"/>
        <v>45</v>
      </c>
      <c r="B203" s="35">
        <v>4</v>
      </c>
      <c r="C203" s="14">
        <v>43307.916666666664</v>
      </c>
      <c r="D203" s="18">
        <v>2.1611400559999998</v>
      </c>
      <c r="E203" s="19">
        <f t="shared" si="25"/>
        <v>2.1611400559999998</v>
      </c>
      <c r="F203" s="16">
        <v>5.3364930000000003E-3</v>
      </c>
      <c r="G203" s="10">
        <f t="shared" si="27"/>
        <v>0</v>
      </c>
      <c r="H203" s="10">
        <f t="shared" si="28"/>
        <v>0.28226362499999835</v>
      </c>
      <c r="I203" s="73">
        <f>MAX(0,MIN(O203,H202*2,(D203-Sheet1!$C$3)))</f>
        <v>0</v>
      </c>
      <c r="J203" s="9">
        <f>IF(F203&gt;VLOOKUP($B$16,$B$2:$F$9,5,FALSE),MAX(N203,-F203*(VLOOKUP(B203,$B$2:$E$9,4,FALSE)),-2*(6-H202),-(VLOOKUP(B203,$B$2:$G$9,6,FALSE)-D203)),0)</f>
        <v>0</v>
      </c>
      <c r="K203" s="9">
        <f t="shared" si="26"/>
        <v>0</v>
      </c>
      <c r="L203" s="11"/>
      <c r="M203" s="11"/>
      <c r="N203" s="8">
        <v>0</v>
      </c>
      <c r="O203" s="8">
        <v>0</v>
      </c>
      <c r="P203" s="2"/>
      <c r="Q203" s="2"/>
    </row>
    <row r="204" spans="1:28" x14ac:dyDescent="0.3">
      <c r="A204" s="35">
        <f t="shared" si="31"/>
        <v>46</v>
      </c>
      <c r="B204" s="35">
        <v>4</v>
      </c>
      <c r="C204" s="14">
        <v>43307.9375</v>
      </c>
      <c r="D204" s="18">
        <v>1.910334253</v>
      </c>
      <c r="E204" s="19">
        <f t="shared" si="25"/>
        <v>1.910334253</v>
      </c>
      <c r="F204" s="16">
        <v>5.3364930000000003E-3</v>
      </c>
      <c r="G204" s="10">
        <f t="shared" si="27"/>
        <v>0</v>
      </c>
      <c r="H204" s="10">
        <f t="shared" si="28"/>
        <v>0.28226362499999835</v>
      </c>
      <c r="I204" s="73">
        <f>MAX(0,MIN(O204,H203*2,(D204-Sheet1!$C$3)))</f>
        <v>0</v>
      </c>
      <c r="J204" s="9">
        <f>IF(F204&gt;VLOOKUP($B$16,$B$2:$F$9,5,FALSE),MAX(N204,-F204*(VLOOKUP(B204,$B$2:$E$9,4,FALSE)),-2*(6-H203),-(VLOOKUP(B204,$B$2:$G$9,6,FALSE)-D204)),0)</f>
        <v>0</v>
      </c>
      <c r="K204" s="9">
        <f t="shared" si="26"/>
        <v>0</v>
      </c>
      <c r="L204" s="11"/>
      <c r="M204" s="11"/>
      <c r="N204" s="8">
        <v>0</v>
      </c>
      <c r="O204" s="8">
        <v>0</v>
      </c>
      <c r="P204" s="2"/>
      <c r="Q204" s="2"/>
    </row>
    <row r="205" spans="1:28" x14ac:dyDescent="0.3">
      <c r="A205" s="37">
        <f t="shared" si="31"/>
        <v>47</v>
      </c>
      <c r="B205" s="37">
        <v>4</v>
      </c>
      <c r="C205" s="24">
        <v>43307.958333333336</v>
      </c>
      <c r="D205" s="25">
        <v>1.8047480220000001</v>
      </c>
      <c r="E205" s="26">
        <f t="shared" si="25"/>
        <v>1.8047480220000001</v>
      </c>
      <c r="F205" s="27">
        <v>1.831472E-3</v>
      </c>
      <c r="G205" s="98">
        <f t="shared" si="27"/>
        <v>0</v>
      </c>
      <c r="H205" s="98">
        <f t="shared" si="28"/>
        <v>0.28226362499999835</v>
      </c>
      <c r="I205" s="93">
        <f>MAX(0,MIN(O205,H204*2,(D205-Sheet1!$C$3)))</f>
        <v>0</v>
      </c>
      <c r="J205" s="9">
        <f>IF(F205&gt;VLOOKUP($B$16,$B$2:$F$9,5,FALSE),MAX(N205,-F205*(VLOOKUP(B205,$B$2:$E$9,4,FALSE)),-2*(6-H204),-(VLOOKUP(B205,$B$2:$G$9,6,FALSE)-D205)),0)</f>
        <v>0</v>
      </c>
      <c r="K205" s="42">
        <f t="shared" si="26"/>
        <v>0</v>
      </c>
      <c r="L205" s="28"/>
      <c r="M205" s="28"/>
      <c r="N205" s="23">
        <v>0</v>
      </c>
      <c r="O205" s="23">
        <v>0</v>
      </c>
      <c r="P205" s="2"/>
      <c r="Q205" s="2"/>
    </row>
    <row r="206" spans="1:28" s="110" customFormat="1" ht="15" thickBot="1" x14ac:dyDescent="0.35">
      <c r="A206" s="99">
        <f t="shared" si="31"/>
        <v>48</v>
      </c>
      <c r="B206" s="99">
        <v>4</v>
      </c>
      <c r="C206" s="100">
        <v>43307.979166666664</v>
      </c>
      <c r="D206" s="101">
        <v>1.70698478</v>
      </c>
      <c r="E206" s="102">
        <f t="shared" si="25"/>
        <v>1.70698478</v>
      </c>
      <c r="F206" s="103">
        <v>1.831472E-3</v>
      </c>
      <c r="G206" s="104">
        <f t="shared" si="27"/>
        <v>0</v>
      </c>
      <c r="H206" s="104">
        <f t="shared" si="28"/>
        <v>0.28226362499999835</v>
      </c>
      <c r="I206" s="105">
        <f>MAX(0,MIN(O206,H205*2,(D206-Sheet1!$C$3)))</f>
        <v>0</v>
      </c>
      <c r="J206" s="9">
        <f>IF(F206&gt;VLOOKUP($B$16,$B$2:$F$9,5,FALSE),MAX(N206,-F206*(VLOOKUP(B206,$B$2:$E$9,4,FALSE)),-2*(6-H205),-(VLOOKUP(B206,$B$2:$G$9,6,FALSE)-D206)),0)</f>
        <v>0</v>
      </c>
      <c r="K206" s="106">
        <f t="shared" si="26"/>
        <v>0</v>
      </c>
      <c r="L206" s="107"/>
      <c r="M206" s="107"/>
      <c r="N206" s="108">
        <v>0</v>
      </c>
      <c r="O206" s="108">
        <v>0</v>
      </c>
      <c r="P206" s="109"/>
      <c r="Q206" s="109"/>
    </row>
    <row r="207" spans="1:28" s="122" customFormat="1" x14ac:dyDescent="0.3">
      <c r="A207" s="113">
        <v>1</v>
      </c>
      <c r="B207" s="113">
        <v>5</v>
      </c>
      <c r="C207" s="114">
        <v>43308</v>
      </c>
      <c r="D207" s="115">
        <v>1.7165617099999999</v>
      </c>
      <c r="E207" s="116">
        <f t="shared" ref="E207:E270" si="32">D207-J207-I207</f>
        <v>1.7165617099999999</v>
      </c>
      <c r="F207" s="117">
        <v>1.831472E-3</v>
      </c>
      <c r="G207" s="118">
        <f t="shared" si="27"/>
        <v>0</v>
      </c>
      <c r="H207" s="118">
        <v>0</v>
      </c>
      <c r="I207" s="119">
        <v>0</v>
      </c>
      <c r="J207" s="9">
        <f>IF(F207&gt;VLOOKUP($B$16,$B$2:$F$9,5,FALSE),MAX(N207,-F207*(VLOOKUP(B207,$B$2:$E$9,4,FALSE)),-2*(6-H206),-(VLOOKUP(B207,$B$2:$G$9,6,FALSE)-D207)),0)</f>
        <v>0</v>
      </c>
      <c r="K207" s="119">
        <f t="shared" ref="K207:K270" si="33">IF(A207&lt;&gt;31,0,-2*((6-H206+((J207*0.5)))))</f>
        <v>0</v>
      </c>
      <c r="L207" s="119">
        <f t="shared" ref="L207:L237" si="34">MIN(J207,F207)</f>
        <v>0</v>
      </c>
      <c r="M207" s="119">
        <f>J207-L207</f>
        <v>0</v>
      </c>
      <c r="N207" s="120">
        <v>-2.5</v>
      </c>
      <c r="O207" s="120">
        <v>0</v>
      </c>
      <c r="P207" s="121"/>
      <c r="Q207" s="121"/>
    </row>
    <row r="208" spans="1:28" x14ac:dyDescent="0.3">
      <c r="A208" s="35">
        <f>A207+1</f>
        <v>2</v>
      </c>
      <c r="B208" s="35">
        <v>5</v>
      </c>
      <c r="C208" s="14">
        <v>43308.020833333336</v>
      </c>
      <c r="D208" s="18">
        <v>1.64595582</v>
      </c>
      <c r="E208" s="19">
        <f t="shared" si="32"/>
        <v>1.64595582</v>
      </c>
      <c r="F208" s="16">
        <v>1.831472E-3</v>
      </c>
      <c r="G208" s="10">
        <f t="shared" ref="G208:G271" si="35">-SUM(I208,J208,K208)</f>
        <v>0</v>
      </c>
      <c r="H208" s="10">
        <f t="shared" si="28"/>
        <v>0</v>
      </c>
      <c r="I208" s="73">
        <f>MAX(0,MIN(O208,H207*2,(D208-Sheet1!$C$3)))</f>
        <v>0</v>
      </c>
      <c r="J208" s="9">
        <f>IF(F208&gt;VLOOKUP($B$16,$B$2:$F$9,5,FALSE),MAX(N208,-F208*(VLOOKUP(B208,$B$2:$E$9,4,FALSE)),-2*(6-H207),-(VLOOKUP(B208,$B$2:$G$9,6,FALSE)-D208)),0)</f>
        <v>0</v>
      </c>
      <c r="K208" s="9">
        <f t="shared" si="33"/>
        <v>0</v>
      </c>
      <c r="L208" s="9">
        <f t="shared" si="34"/>
        <v>0</v>
      </c>
      <c r="M208" s="9">
        <f t="shared" ref="M208:M237" si="36">J208-L208</f>
        <v>0</v>
      </c>
      <c r="N208" s="8">
        <v>-2.5</v>
      </c>
      <c r="O208" s="8">
        <v>0</v>
      </c>
      <c r="P208" s="2"/>
      <c r="Q208" s="2"/>
    </row>
    <row r="209" spans="1:17" x14ac:dyDescent="0.3">
      <c r="A209" s="35">
        <f t="shared" ref="A209:A254" si="37">A208+1</f>
        <v>3</v>
      </c>
      <c r="B209" s="35">
        <v>5</v>
      </c>
      <c r="C209" s="14">
        <v>43308.041666666664</v>
      </c>
      <c r="D209" s="18">
        <v>1.565598748</v>
      </c>
      <c r="E209" s="19">
        <f t="shared" si="32"/>
        <v>1.565598748</v>
      </c>
      <c r="F209" s="16">
        <v>1.831472E-3</v>
      </c>
      <c r="G209" s="10">
        <f t="shared" si="35"/>
        <v>0</v>
      </c>
      <c r="H209" s="10">
        <f t="shared" ref="H209:H272" si="38">H208+((G209*0.5))</f>
        <v>0</v>
      </c>
      <c r="I209" s="73">
        <f>MAX(0,MIN(O209,H208*2,(D209-Sheet1!$C$3)))</f>
        <v>0</v>
      </c>
      <c r="J209" s="9">
        <f>IF(F209&gt;VLOOKUP($B$16,$B$2:$F$9,5,FALSE),MAX(N209,-F209*(VLOOKUP(B209,$B$2:$E$9,4,FALSE)),-2*(6-H208),-(VLOOKUP(B209,$B$2:$G$9,6,FALSE)-D209)),0)</f>
        <v>0</v>
      </c>
      <c r="K209" s="9">
        <f t="shared" si="33"/>
        <v>0</v>
      </c>
      <c r="L209" s="9">
        <f t="shared" si="34"/>
        <v>0</v>
      </c>
      <c r="M209" s="9">
        <f t="shared" si="36"/>
        <v>0</v>
      </c>
      <c r="N209" s="8">
        <v>-2.5</v>
      </c>
      <c r="O209" s="8">
        <v>0</v>
      </c>
      <c r="P209" s="2"/>
      <c r="Q209" s="2"/>
    </row>
    <row r="210" spans="1:17" x14ac:dyDescent="0.3">
      <c r="A210" s="35">
        <f t="shared" si="37"/>
        <v>4</v>
      </c>
      <c r="B210" s="35">
        <v>5</v>
      </c>
      <c r="C210" s="14">
        <v>43308.0625</v>
      </c>
      <c r="D210" s="18">
        <v>1.526511824</v>
      </c>
      <c r="E210" s="19">
        <f t="shared" si="32"/>
        <v>1.526511824</v>
      </c>
      <c r="F210" s="16">
        <v>1.831472E-3</v>
      </c>
      <c r="G210" s="10">
        <f t="shared" si="35"/>
        <v>0</v>
      </c>
      <c r="H210" s="10">
        <f t="shared" si="38"/>
        <v>0</v>
      </c>
      <c r="I210" s="73">
        <f>MAX(0,MIN(O210,H209*2,(D210-Sheet1!$C$3)))</f>
        <v>0</v>
      </c>
      <c r="J210" s="9">
        <f>IF(F210&gt;VLOOKUP($B$16,$B$2:$F$9,5,FALSE),MAX(N210,-F210*(VLOOKUP(B210,$B$2:$E$9,4,FALSE)),-2*(6-H209),-(VLOOKUP(B210,$B$2:$G$9,6,FALSE)-D210)),0)</f>
        <v>0</v>
      </c>
      <c r="K210" s="9">
        <f t="shared" si="33"/>
        <v>0</v>
      </c>
      <c r="L210" s="9">
        <f t="shared" si="34"/>
        <v>0</v>
      </c>
      <c r="M210" s="9">
        <f t="shared" si="36"/>
        <v>0</v>
      </c>
      <c r="N210" s="8">
        <v>-2.5</v>
      </c>
      <c r="O210" s="8">
        <v>0</v>
      </c>
      <c r="P210" s="2"/>
      <c r="Q210" s="2"/>
    </row>
    <row r="211" spans="1:17" x14ac:dyDescent="0.3">
      <c r="A211" s="35">
        <f t="shared" si="37"/>
        <v>5</v>
      </c>
      <c r="B211" s="35">
        <v>5</v>
      </c>
      <c r="C211" s="14">
        <v>43308.083333333336</v>
      </c>
      <c r="D211" s="18">
        <v>1.516453802</v>
      </c>
      <c r="E211" s="19">
        <f t="shared" si="32"/>
        <v>1.516453802</v>
      </c>
      <c r="F211" s="16">
        <v>1.831472E-3</v>
      </c>
      <c r="G211" s="10">
        <f t="shared" si="35"/>
        <v>0</v>
      </c>
      <c r="H211" s="10">
        <f t="shared" si="38"/>
        <v>0</v>
      </c>
      <c r="I211" s="73">
        <f>MAX(0,MIN(O211,H210*2,(D211-Sheet1!$C$3)))</f>
        <v>0</v>
      </c>
      <c r="J211" s="9">
        <f>IF(F211&gt;VLOOKUP($B$16,$B$2:$F$9,5,FALSE),MAX(N211,-F211*(VLOOKUP(B211,$B$2:$E$9,4,FALSE)),-2*(6-H210),-(VLOOKUP(B211,$B$2:$G$9,6,FALSE)-D211)),0)</f>
        <v>0</v>
      </c>
      <c r="K211" s="9">
        <f t="shared" si="33"/>
        <v>0</v>
      </c>
      <c r="L211" s="9">
        <f t="shared" si="34"/>
        <v>0</v>
      </c>
      <c r="M211" s="9">
        <f t="shared" si="36"/>
        <v>0</v>
      </c>
      <c r="N211" s="8">
        <v>-2.5</v>
      </c>
      <c r="O211" s="8">
        <v>0</v>
      </c>
      <c r="P211" s="2"/>
      <c r="Q211" s="2"/>
    </row>
    <row r="212" spans="1:17" x14ac:dyDescent="0.3">
      <c r="A212" s="35">
        <f t="shared" si="37"/>
        <v>6</v>
      </c>
      <c r="B212" s="35">
        <v>5</v>
      </c>
      <c r="C212" s="14">
        <v>43308.104166666664</v>
      </c>
      <c r="D212" s="18">
        <v>1.4834369060000001</v>
      </c>
      <c r="E212" s="19">
        <f t="shared" si="32"/>
        <v>1.4834369060000001</v>
      </c>
      <c r="F212" s="16">
        <v>1.831472E-3</v>
      </c>
      <c r="G212" s="10">
        <f t="shared" si="35"/>
        <v>0</v>
      </c>
      <c r="H212" s="10">
        <f t="shared" si="38"/>
        <v>0</v>
      </c>
      <c r="I212" s="73">
        <f>MAX(0,MIN(O212,H211*2,(D212-Sheet1!$C$3)))</f>
        <v>0</v>
      </c>
      <c r="J212" s="9">
        <f>IF(F212&gt;VLOOKUP($B$16,$B$2:$F$9,5,FALSE),MAX(N212,-F212*(VLOOKUP(B212,$B$2:$E$9,4,FALSE)),-2*(6-H211),-(VLOOKUP(B212,$B$2:$G$9,6,FALSE)-D212)),0)</f>
        <v>0</v>
      </c>
      <c r="K212" s="9">
        <f t="shared" si="33"/>
        <v>0</v>
      </c>
      <c r="L212" s="9">
        <f t="shared" si="34"/>
        <v>0</v>
      </c>
      <c r="M212" s="9">
        <f t="shared" si="36"/>
        <v>0</v>
      </c>
      <c r="N212" s="8">
        <v>-2.5</v>
      </c>
      <c r="O212" s="8">
        <v>0</v>
      </c>
      <c r="P212" s="2"/>
      <c r="Q212" s="2"/>
    </row>
    <row r="213" spans="1:17" x14ac:dyDescent="0.3">
      <c r="A213" s="35">
        <f t="shared" si="37"/>
        <v>7</v>
      </c>
      <c r="B213" s="35">
        <v>5</v>
      </c>
      <c r="C213" s="14">
        <v>43308.125</v>
      </c>
      <c r="D213" s="18">
        <v>1.4843148020000001</v>
      </c>
      <c r="E213" s="19">
        <f t="shared" si="32"/>
        <v>1.4843148020000001</v>
      </c>
      <c r="F213" s="16">
        <v>1.831472E-3</v>
      </c>
      <c r="G213" s="10">
        <f t="shared" si="35"/>
        <v>0</v>
      </c>
      <c r="H213" s="10">
        <f t="shared" si="38"/>
        <v>0</v>
      </c>
      <c r="I213" s="73">
        <f>MAX(0,MIN(O213,H212*2,(D213-Sheet1!$C$3)))</f>
        <v>0</v>
      </c>
      <c r="J213" s="9">
        <f>IF(F213&gt;VLOOKUP($B$16,$B$2:$F$9,5,FALSE),MAX(N213,-F213*(VLOOKUP(B213,$B$2:$E$9,4,FALSE)),-2*(6-H212),-(VLOOKUP(B213,$B$2:$G$9,6,FALSE)-D213)),0)</f>
        <v>0</v>
      </c>
      <c r="K213" s="9">
        <f t="shared" si="33"/>
        <v>0</v>
      </c>
      <c r="L213" s="9">
        <f t="shared" si="34"/>
        <v>0</v>
      </c>
      <c r="M213" s="9">
        <f t="shared" si="36"/>
        <v>0</v>
      </c>
      <c r="N213" s="8">
        <v>-2.5</v>
      </c>
      <c r="O213" s="8">
        <v>0</v>
      </c>
      <c r="P213" s="2"/>
      <c r="Q213" s="2"/>
    </row>
    <row r="214" spans="1:17" x14ac:dyDescent="0.3">
      <c r="A214" s="35">
        <f t="shared" si="37"/>
        <v>8</v>
      </c>
      <c r="B214" s="35">
        <v>5</v>
      </c>
      <c r="C214" s="14">
        <v>43308.145833333336</v>
      </c>
      <c r="D214" s="18">
        <v>1.4548538499999999</v>
      </c>
      <c r="E214" s="19">
        <f t="shared" si="32"/>
        <v>1.4548538499999999</v>
      </c>
      <c r="F214" s="16">
        <v>1.831472E-3</v>
      </c>
      <c r="G214" s="10">
        <f t="shared" si="35"/>
        <v>0</v>
      </c>
      <c r="H214" s="10">
        <f t="shared" si="38"/>
        <v>0</v>
      </c>
      <c r="I214" s="73">
        <f>MAX(0,MIN(O214,H213*2,(D214-Sheet1!$C$3)))</f>
        <v>0</v>
      </c>
      <c r="J214" s="9">
        <f>IF(F214&gt;VLOOKUP($B$16,$B$2:$F$9,5,FALSE),MAX(N214,-F214*(VLOOKUP(B214,$B$2:$E$9,4,FALSE)),-2*(6-H213),-(VLOOKUP(B214,$B$2:$G$9,6,FALSE)-D214)),0)</f>
        <v>0</v>
      </c>
      <c r="K214" s="9">
        <f t="shared" si="33"/>
        <v>0</v>
      </c>
      <c r="L214" s="9">
        <f t="shared" si="34"/>
        <v>0</v>
      </c>
      <c r="M214" s="9">
        <f t="shared" si="36"/>
        <v>0</v>
      </c>
      <c r="N214" s="8">
        <v>-2.5</v>
      </c>
      <c r="O214" s="8">
        <v>0</v>
      </c>
      <c r="P214" s="2"/>
      <c r="Q214" s="2"/>
    </row>
    <row r="215" spans="1:17" x14ac:dyDescent="0.3">
      <c r="A215" s="35">
        <f t="shared" si="37"/>
        <v>9</v>
      </c>
      <c r="B215" s="35">
        <v>5</v>
      </c>
      <c r="C215" s="14">
        <v>43308.166666666664</v>
      </c>
      <c r="D215" s="18">
        <v>1.515329261</v>
      </c>
      <c r="E215" s="19">
        <f t="shared" si="32"/>
        <v>1.515329261</v>
      </c>
      <c r="F215" s="16">
        <v>1.831472E-3</v>
      </c>
      <c r="G215" s="10">
        <f t="shared" si="35"/>
        <v>0</v>
      </c>
      <c r="H215" s="10">
        <f t="shared" si="38"/>
        <v>0</v>
      </c>
      <c r="I215" s="73">
        <f>MAX(0,MIN(O215,H214*2,(D215-Sheet1!$C$3)))</f>
        <v>0</v>
      </c>
      <c r="J215" s="9">
        <f>IF(F215&gt;VLOOKUP($B$16,$B$2:$F$9,5,FALSE),MAX(N215,-F215*(VLOOKUP(B215,$B$2:$E$9,4,FALSE)),-2*(6-H214),-(VLOOKUP(B215,$B$2:$G$9,6,FALSE)-D215)),0)</f>
        <v>0</v>
      </c>
      <c r="K215" s="9">
        <f t="shared" si="33"/>
        <v>0</v>
      </c>
      <c r="L215" s="9">
        <f t="shared" si="34"/>
        <v>0</v>
      </c>
      <c r="M215" s="9">
        <f t="shared" si="36"/>
        <v>0</v>
      </c>
      <c r="N215" s="8">
        <v>-2.5</v>
      </c>
      <c r="O215" s="8">
        <v>0</v>
      </c>
      <c r="P215" s="2"/>
      <c r="Q215" s="2"/>
    </row>
    <row r="216" spans="1:17" x14ac:dyDescent="0.3">
      <c r="A216" s="35">
        <f t="shared" si="37"/>
        <v>10</v>
      </c>
      <c r="B216" s="35">
        <v>5</v>
      </c>
      <c r="C216" s="14">
        <v>43308.1875</v>
      </c>
      <c r="D216" s="18">
        <v>1.632531167</v>
      </c>
      <c r="E216" s="19">
        <f t="shared" si="32"/>
        <v>1.632531167</v>
      </c>
      <c r="F216" s="16">
        <v>1.831472E-3</v>
      </c>
      <c r="G216" s="10">
        <f t="shared" si="35"/>
        <v>0</v>
      </c>
      <c r="H216" s="10">
        <f t="shared" si="38"/>
        <v>0</v>
      </c>
      <c r="I216" s="73">
        <f>MAX(0,MIN(O216,H215*2,(D216-Sheet1!$C$3)))</f>
        <v>0</v>
      </c>
      <c r="J216" s="9">
        <f>IF(F216&gt;VLOOKUP($B$16,$B$2:$F$9,5,FALSE),MAX(N216,-F216*(VLOOKUP(B216,$B$2:$E$9,4,FALSE)),-2*(6-H215),-(VLOOKUP(B216,$B$2:$G$9,6,FALSE)-D216)),0)</f>
        <v>0</v>
      </c>
      <c r="K216" s="9">
        <f t="shared" si="33"/>
        <v>0</v>
      </c>
      <c r="L216" s="9">
        <f t="shared" si="34"/>
        <v>0</v>
      </c>
      <c r="M216" s="9">
        <f t="shared" si="36"/>
        <v>0</v>
      </c>
      <c r="N216" s="8">
        <v>-2.5</v>
      </c>
      <c r="O216" s="8">
        <v>0</v>
      </c>
      <c r="P216" s="2"/>
      <c r="Q216" s="2"/>
    </row>
    <row r="217" spans="1:17" x14ac:dyDescent="0.3">
      <c r="A217" s="35">
        <f t="shared" si="37"/>
        <v>11</v>
      </c>
      <c r="B217" s="35">
        <v>5</v>
      </c>
      <c r="C217" s="14">
        <v>43308.208333333336</v>
      </c>
      <c r="D217" s="18">
        <v>1.9388243089999999</v>
      </c>
      <c r="E217" s="19">
        <f t="shared" si="32"/>
        <v>1.9388243089999999</v>
      </c>
      <c r="F217" s="16">
        <v>0.196674556</v>
      </c>
      <c r="G217" s="10">
        <f t="shared" si="35"/>
        <v>0</v>
      </c>
      <c r="H217" s="10">
        <f t="shared" si="38"/>
        <v>0</v>
      </c>
      <c r="I217" s="73">
        <f>MAX(0,MIN(O217,H216*2,(D217-Sheet1!$C$3)))</f>
        <v>0</v>
      </c>
      <c r="J217" s="9">
        <f>IF(F217&gt;VLOOKUP($B$16,$B$2:$F$9,5,FALSE),MAX(N217,-F217*(VLOOKUP(B217,$B$2:$E$9,4,FALSE)),-2*(6-H216),-(VLOOKUP(B217,$B$2:$G$9,6,FALSE)-D217)),0)</f>
        <v>0</v>
      </c>
      <c r="K217" s="9">
        <f t="shared" si="33"/>
        <v>0</v>
      </c>
      <c r="L217" s="9">
        <f t="shared" si="34"/>
        <v>0</v>
      </c>
      <c r="M217" s="9">
        <f t="shared" si="36"/>
        <v>0</v>
      </c>
      <c r="N217" s="8">
        <v>-2.5</v>
      </c>
      <c r="O217" s="8">
        <v>0</v>
      </c>
      <c r="P217" s="2"/>
      <c r="Q217" s="2"/>
    </row>
    <row r="218" spans="1:17" x14ac:dyDescent="0.3">
      <c r="A218" s="35">
        <f t="shared" si="37"/>
        <v>12</v>
      </c>
      <c r="B218" s="35">
        <v>5</v>
      </c>
      <c r="C218" s="14">
        <v>43308.229166666664</v>
      </c>
      <c r="D218" s="18">
        <v>2.2258448369999999</v>
      </c>
      <c r="E218" s="19">
        <f t="shared" si="32"/>
        <v>2.2258448369999999</v>
      </c>
      <c r="F218" s="16">
        <v>0.196674556</v>
      </c>
      <c r="G218" s="10">
        <f t="shared" si="35"/>
        <v>0</v>
      </c>
      <c r="H218" s="10">
        <f t="shared" si="38"/>
        <v>0</v>
      </c>
      <c r="I218" s="73">
        <f>MAX(0,MIN(O218,H217*2,(D218-Sheet1!$C$3)))</f>
        <v>0</v>
      </c>
      <c r="J218" s="9">
        <f>IF(F218&gt;VLOOKUP($B$16,$B$2:$F$9,5,FALSE),MAX(N218,-F218*(VLOOKUP(B218,$B$2:$E$9,4,FALSE)),-2*(6-H217),-(VLOOKUP(B218,$B$2:$G$9,6,FALSE)-D218)),0)</f>
        <v>0</v>
      </c>
      <c r="K218" s="9">
        <f t="shared" si="33"/>
        <v>0</v>
      </c>
      <c r="L218" s="9">
        <f t="shared" si="34"/>
        <v>0</v>
      </c>
      <c r="M218" s="9">
        <f t="shared" si="36"/>
        <v>0</v>
      </c>
      <c r="N218" s="8">
        <v>-2.5</v>
      </c>
      <c r="O218" s="8">
        <v>0</v>
      </c>
      <c r="P218" s="2"/>
      <c r="Q218" s="2"/>
    </row>
    <row r="219" spans="1:17" x14ac:dyDescent="0.3">
      <c r="A219" s="35">
        <f t="shared" si="37"/>
        <v>13</v>
      </c>
      <c r="B219" s="35">
        <v>5</v>
      </c>
      <c r="C219" s="14">
        <v>43308.25</v>
      </c>
      <c r="D219" s="18">
        <v>2.5505628250000001</v>
      </c>
      <c r="E219" s="19">
        <f t="shared" si="32"/>
        <v>2.5505628250000001</v>
      </c>
      <c r="F219" s="16">
        <v>0.38428458599999998</v>
      </c>
      <c r="G219" s="10">
        <f t="shared" si="35"/>
        <v>0</v>
      </c>
      <c r="H219" s="10">
        <f t="shared" si="38"/>
        <v>0</v>
      </c>
      <c r="I219" s="73">
        <f>MAX(0,MIN(O219,H218*2,(D219-Sheet1!$C$3)))</f>
        <v>0</v>
      </c>
      <c r="J219" s="9">
        <f>IF(F219&gt;VLOOKUP($B$16,$B$2:$F$9,5,FALSE),MAX(N219,-F219*(VLOOKUP(B219,$B$2:$E$9,4,FALSE)),-2*(6-H218),-(VLOOKUP(B219,$B$2:$G$9,6,FALSE)-D219)),0)</f>
        <v>0</v>
      </c>
      <c r="K219" s="9">
        <f t="shared" si="33"/>
        <v>0</v>
      </c>
      <c r="L219" s="9">
        <f t="shared" si="34"/>
        <v>0</v>
      </c>
      <c r="M219" s="9">
        <f t="shared" si="36"/>
        <v>0</v>
      </c>
      <c r="N219" s="8">
        <v>-2.5</v>
      </c>
      <c r="O219" s="8">
        <v>0</v>
      </c>
      <c r="P219" s="2"/>
      <c r="Q219" s="2"/>
    </row>
    <row r="220" spans="1:17" x14ac:dyDescent="0.3">
      <c r="A220" s="35">
        <f t="shared" si="37"/>
        <v>14</v>
      </c>
      <c r="B220" s="35">
        <v>5</v>
      </c>
      <c r="C220" s="14">
        <v>43308.270833333336</v>
      </c>
      <c r="D220" s="18">
        <v>2.695242973</v>
      </c>
      <c r="E220" s="19">
        <f t="shared" si="32"/>
        <v>2.695242973</v>
      </c>
      <c r="F220" s="16">
        <v>0.55863750000000001</v>
      </c>
      <c r="G220" s="10">
        <f t="shared" si="35"/>
        <v>0</v>
      </c>
      <c r="H220" s="10">
        <f t="shared" si="38"/>
        <v>0</v>
      </c>
      <c r="I220" s="73">
        <f>MAX(0,MIN(O220,H219*2,(D220-Sheet1!$C$3)))</f>
        <v>0</v>
      </c>
      <c r="J220" s="9">
        <f>IF(F220&gt;VLOOKUP($B$16,$B$2:$F$9,5,FALSE),MAX(N220,-F220*(VLOOKUP(B220,$B$2:$E$9,4,FALSE)),-2*(6-H219),-(VLOOKUP(B220,$B$2:$G$9,6,FALSE)-D220)),0)</f>
        <v>0</v>
      </c>
      <c r="K220" s="9">
        <f t="shared" si="33"/>
        <v>0</v>
      </c>
      <c r="L220" s="9">
        <f t="shared" si="34"/>
        <v>0</v>
      </c>
      <c r="M220" s="9">
        <f t="shared" si="36"/>
        <v>0</v>
      </c>
      <c r="N220" s="8">
        <v>-2.5</v>
      </c>
      <c r="O220" s="8">
        <v>0</v>
      </c>
      <c r="P220" s="2"/>
      <c r="Q220" s="2"/>
    </row>
    <row r="221" spans="1:17" x14ac:dyDescent="0.3">
      <c r="A221" s="35">
        <f t="shared" si="37"/>
        <v>15</v>
      </c>
      <c r="B221" s="35">
        <v>5</v>
      </c>
      <c r="C221" s="14">
        <v>43308.291666666664</v>
      </c>
      <c r="D221" s="18">
        <v>2.7254347000000001</v>
      </c>
      <c r="E221" s="19">
        <f t="shared" si="32"/>
        <v>2.7254347000000001</v>
      </c>
      <c r="F221" s="16">
        <v>0.97047066699999995</v>
      </c>
      <c r="G221" s="10">
        <f t="shared" si="35"/>
        <v>0</v>
      </c>
      <c r="H221" s="10">
        <f t="shared" si="38"/>
        <v>0</v>
      </c>
      <c r="I221" s="73">
        <f>MAX(0,MIN(O221,H220*2,(D221-Sheet1!$C$3)))</f>
        <v>0</v>
      </c>
      <c r="J221" s="9">
        <f>IF(F221&gt;VLOOKUP($B$16,$B$2:$F$9,5,FALSE),MAX(N221,-F221*(VLOOKUP(B221,$B$2:$E$9,4,FALSE)),-2*(6-H220),-(VLOOKUP(B221,$B$2:$G$9,6,FALSE)-D221)),0)</f>
        <v>0</v>
      </c>
      <c r="K221" s="9">
        <f t="shared" si="33"/>
        <v>0</v>
      </c>
      <c r="L221" s="9">
        <f t="shared" si="34"/>
        <v>0</v>
      </c>
      <c r="M221" s="9">
        <f t="shared" si="36"/>
        <v>0</v>
      </c>
      <c r="N221" s="8">
        <v>-2.5</v>
      </c>
      <c r="O221" s="8">
        <v>0</v>
      </c>
      <c r="P221" s="2"/>
      <c r="Q221" s="2"/>
    </row>
    <row r="222" spans="1:17" x14ac:dyDescent="0.3">
      <c r="A222" s="35">
        <f t="shared" si="37"/>
        <v>16</v>
      </c>
      <c r="B222" s="35">
        <v>5</v>
      </c>
      <c r="C222" s="14">
        <v>43308.3125</v>
      </c>
      <c r="D222" s="18">
        <v>2.703791866</v>
      </c>
      <c r="E222" s="19">
        <f t="shared" si="32"/>
        <v>3.4440231849753795</v>
      </c>
      <c r="F222" s="16">
        <v>1.133478999</v>
      </c>
      <c r="G222" s="10">
        <f t="shared" si="35"/>
        <v>0.74023131897537964</v>
      </c>
      <c r="H222" s="10">
        <f t="shared" si="38"/>
        <v>0.37011565948768982</v>
      </c>
      <c r="I222" s="73">
        <f>MAX(0,MIN(O222,H221*2,(D222-Sheet1!$C$3)))</f>
        <v>0</v>
      </c>
      <c r="J222" s="9">
        <f>IF(F222&gt;VLOOKUP($B$16,$B$2:$F$9,5,FALSE),MAX(N222,-F222*(VLOOKUP(B222,$B$2:$E$9,4,FALSE)),-2*(6-H221),-(VLOOKUP(B222,$B$2:$G$9,6,FALSE)-D222)),0)</f>
        <v>-0.74023131897537964</v>
      </c>
      <c r="K222" s="9">
        <f t="shared" si="33"/>
        <v>0</v>
      </c>
      <c r="L222" s="9">
        <f t="shared" si="34"/>
        <v>-0.74023131897537964</v>
      </c>
      <c r="M222" s="9">
        <f t="shared" si="36"/>
        <v>0</v>
      </c>
      <c r="N222" s="8">
        <v>-2.5</v>
      </c>
      <c r="O222" s="8">
        <v>0</v>
      </c>
      <c r="P222" s="2"/>
      <c r="Q222" s="2"/>
    </row>
    <row r="223" spans="1:17" x14ac:dyDescent="0.3">
      <c r="A223" s="35">
        <f t="shared" si="37"/>
        <v>17</v>
      </c>
      <c r="B223" s="35">
        <v>5</v>
      </c>
      <c r="C223" s="14">
        <v>43308.333333333336</v>
      </c>
      <c r="D223" s="18">
        <v>2.6831395640000002</v>
      </c>
      <c r="E223" s="19">
        <f t="shared" si="32"/>
        <v>3.5431423564018414</v>
      </c>
      <c r="F223" s="16">
        <v>1.3168790340000001</v>
      </c>
      <c r="G223" s="10">
        <f t="shared" si="35"/>
        <v>0.86000279240184119</v>
      </c>
      <c r="H223" s="10">
        <f t="shared" si="38"/>
        <v>0.80011705568861036</v>
      </c>
      <c r="I223" s="73">
        <f>MAX(0,MIN(O223,H222*2,(D223-Sheet1!$C$3)))</f>
        <v>0</v>
      </c>
      <c r="J223" s="9">
        <f>IF(F223&gt;VLOOKUP($B$16,$B$2:$F$9,5,FALSE),MAX(N223,-F223*(VLOOKUP(B223,$B$2:$E$9,4,FALSE)),-2*(6-H222),-(VLOOKUP(B223,$B$2:$G$9,6,FALSE)-D223)),0)</f>
        <v>-0.86000279240184119</v>
      </c>
      <c r="K223" s="9">
        <f t="shared" si="33"/>
        <v>0</v>
      </c>
      <c r="L223" s="9">
        <f t="shared" si="34"/>
        <v>-0.86000279240184119</v>
      </c>
      <c r="M223" s="9">
        <f t="shared" si="36"/>
        <v>0</v>
      </c>
      <c r="N223" s="8">
        <v>-2.5</v>
      </c>
      <c r="O223" s="8">
        <v>0</v>
      </c>
      <c r="P223" s="2"/>
      <c r="Q223" s="2"/>
    </row>
    <row r="224" spans="1:17" x14ac:dyDescent="0.3">
      <c r="A224" s="35">
        <f t="shared" si="37"/>
        <v>18</v>
      </c>
      <c r="B224" s="35">
        <v>5</v>
      </c>
      <c r="C224" s="14">
        <v>43308.354166666664</v>
      </c>
      <c r="D224" s="18">
        <v>2.6499164199999998</v>
      </c>
      <c r="E224" s="19">
        <f t="shared" si="32"/>
        <v>3.6649039291937204</v>
      </c>
      <c r="F224" s="16">
        <v>1.5541993380000001</v>
      </c>
      <c r="G224" s="10">
        <f t="shared" si="35"/>
        <v>1.0149875091937206</v>
      </c>
      <c r="H224" s="10">
        <f t="shared" si="38"/>
        <v>1.3076108102854707</v>
      </c>
      <c r="I224" s="73">
        <f>MAX(0,MIN(O224,H223*2,(D224-Sheet1!$C$3)))</f>
        <v>0</v>
      </c>
      <c r="J224" s="9">
        <f>IF(F224&gt;VLOOKUP($B$16,$B$2:$F$9,5,FALSE),MAX(N224,-F224*(VLOOKUP(B224,$B$2:$E$9,4,FALSE)),-2*(6-H223),-(VLOOKUP(B224,$B$2:$G$9,6,FALSE)-D224)),0)</f>
        <v>-1.0149875091937206</v>
      </c>
      <c r="K224" s="9">
        <f t="shared" si="33"/>
        <v>0</v>
      </c>
      <c r="L224" s="9">
        <f t="shared" si="34"/>
        <v>-1.0149875091937206</v>
      </c>
      <c r="M224" s="9">
        <f t="shared" si="36"/>
        <v>0</v>
      </c>
      <c r="N224" s="8">
        <v>-2.5</v>
      </c>
      <c r="O224" s="8">
        <v>0</v>
      </c>
      <c r="P224" s="2"/>
      <c r="Q224" s="2"/>
    </row>
    <row r="225" spans="1:28" x14ac:dyDescent="0.3">
      <c r="A225" s="35">
        <f t="shared" si="37"/>
        <v>19</v>
      </c>
      <c r="B225" s="35">
        <v>5</v>
      </c>
      <c r="C225" s="14">
        <v>43308.375</v>
      </c>
      <c r="D225" s="18">
        <v>2.591374879</v>
      </c>
      <c r="E225" s="19">
        <f t="shared" si="32"/>
        <v>3.8424134487499999</v>
      </c>
      <c r="F225" s="16">
        <v>2.1940832139999999</v>
      </c>
      <c r="G225" s="10">
        <f t="shared" si="35"/>
        <v>1.2510385697499999</v>
      </c>
      <c r="H225" s="10">
        <f t="shared" si="38"/>
        <v>1.9331300951604706</v>
      </c>
      <c r="I225" s="73">
        <f>MAX(0,MIN(O225,H224*2,(D225-Sheet1!$C$3)))</f>
        <v>0</v>
      </c>
      <c r="J225" s="9">
        <f>IF(F225&gt;VLOOKUP($B$16,$B$2:$F$9,5,FALSE),MAX(N225,-F225*(VLOOKUP(B225,$B$2:$E$9,4,FALSE)),-2*(6-H224),-(VLOOKUP(B225,$B$2:$G$9,6,FALSE)-D225)),0)</f>
        <v>-1.2510385697499999</v>
      </c>
      <c r="K225" s="9">
        <f t="shared" si="33"/>
        <v>0</v>
      </c>
      <c r="L225" s="9">
        <f t="shared" si="34"/>
        <v>-1.2510385697499999</v>
      </c>
      <c r="M225" s="9">
        <f t="shared" si="36"/>
        <v>0</v>
      </c>
      <c r="N225" s="8">
        <v>-2.5</v>
      </c>
      <c r="O225" s="8">
        <v>0</v>
      </c>
      <c r="P225" s="2"/>
      <c r="Q225" s="2"/>
    </row>
    <row r="226" spans="1:28" x14ac:dyDescent="0.3">
      <c r="A226" s="35">
        <f t="shared" si="37"/>
        <v>20</v>
      </c>
      <c r="B226" s="35">
        <v>5</v>
      </c>
      <c r="C226" s="14">
        <v>43308.395833333336</v>
      </c>
      <c r="D226" s="18">
        <v>2.5499498150000002</v>
      </c>
      <c r="E226" s="19">
        <f t="shared" si="32"/>
        <v>3.8424134487499999</v>
      </c>
      <c r="F226" s="16">
        <v>2.3110649589999999</v>
      </c>
      <c r="G226" s="10">
        <f t="shared" si="35"/>
        <v>1.2924636337499997</v>
      </c>
      <c r="H226" s="10">
        <f t="shared" si="38"/>
        <v>2.5793619120354707</v>
      </c>
      <c r="I226" s="73">
        <f>MAX(0,MIN(O226,H225*2,(D226-Sheet1!$C$3)))</f>
        <v>0</v>
      </c>
      <c r="J226" s="9">
        <f>IF(F226&gt;VLOOKUP($B$16,$B$2:$F$9,5,FALSE),MAX(N226,-F226*(VLOOKUP(B226,$B$2:$E$9,4,FALSE)),-2*(6-H225),-(VLOOKUP(B226,$B$2:$G$9,6,FALSE)-D226)),0)</f>
        <v>-1.2924636337499997</v>
      </c>
      <c r="K226" s="9">
        <f t="shared" si="33"/>
        <v>0</v>
      </c>
      <c r="L226" s="9">
        <f t="shared" si="34"/>
        <v>-1.2924636337499997</v>
      </c>
      <c r="M226" s="9">
        <f t="shared" si="36"/>
        <v>0</v>
      </c>
      <c r="N226" s="8">
        <v>-2.5</v>
      </c>
      <c r="O226" s="8">
        <v>0</v>
      </c>
      <c r="P226" s="2"/>
      <c r="Q226" s="2"/>
    </row>
    <row r="227" spans="1:28" x14ac:dyDescent="0.3">
      <c r="A227" s="35">
        <f t="shared" si="37"/>
        <v>21</v>
      </c>
      <c r="B227" s="35">
        <v>5</v>
      </c>
      <c r="C227" s="14">
        <v>43308.416666666664</v>
      </c>
      <c r="D227" s="18">
        <v>2.6383646839999999</v>
      </c>
      <c r="E227" s="19">
        <f t="shared" si="32"/>
        <v>3.8424134487499999</v>
      </c>
      <c r="F227" s="16">
        <v>1.9581931829999999</v>
      </c>
      <c r="G227" s="10">
        <f t="shared" si="35"/>
        <v>1.20404876475</v>
      </c>
      <c r="H227" s="10">
        <f t="shared" si="38"/>
        <v>3.1813862944104709</v>
      </c>
      <c r="I227" s="73">
        <f>MAX(0,MIN(O227,H226*2,(D227-Sheet1!$C$3)))</f>
        <v>0</v>
      </c>
      <c r="J227" s="9">
        <f>IF(F227&gt;VLOOKUP($B$16,$B$2:$F$9,5,FALSE),MAX(N227,-F227*(VLOOKUP(B227,$B$2:$E$9,4,FALSE)),-2*(6-H226),-(VLOOKUP(B227,$B$2:$G$9,6,FALSE)-D227)),0)</f>
        <v>-1.20404876475</v>
      </c>
      <c r="K227" s="9">
        <f t="shared" si="33"/>
        <v>0</v>
      </c>
      <c r="L227" s="9">
        <f t="shared" si="34"/>
        <v>-1.20404876475</v>
      </c>
      <c r="M227" s="9">
        <f t="shared" si="36"/>
        <v>0</v>
      </c>
      <c r="N227" s="8">
        <v>-2.5</v>
      </c>
      <c r="O227" s="8">
        <v>0</v>
      </c>
      <c r="P227" s="2"/>
      <c r="Q227" s="2"/>
    </row>
    <row r="228" spans="1:28" x14ac:dyDescent="0.3">
      <c r="A228" s="35">
        <f t="shared" si="37"/>
        <v>22</v>
      </c>
      <c r="B228" s="35">
        <v>5</v>
      </c>
      <c r="C228" s="14">
        <v>43308.4375</v>
      </c>
      <c r="D228" s="18">
        <v>2.6048345949999998</v>
      </c>
      <c r="E228" s="19">
        <f t="shared" si="32"/>
        <v>3.8424134487499999</v>
      </c>
      <c r="F228" s="16">
        <v>2.0227422709999998</v>
      </c>
      <c r="G228" s="10">
        <f t="shared" si="35"/>
        <v>1.2375788537500001</v>
      </c>
      <c r="H228" s="10">
        <f t="shared" si="38"/>
        <v>3.8001757212854708</v>
      </c>
      <c r="I228" s="73">
        <f>MAX(0,MIN(O228,H227*2,(D228-Sheet1!$C$3)))</f>
        <v>0</v>
      </c>
      <c r="J228" s="9">
        <f>IF(F228&gt;VLOOKUP($B$16,$B$2:$F$9,5,FALSE),MAX(N228,-F228*(VLOOKUP(B228,$B$2:$E$9,4,FALSE)),-2*(6-H227),-(VLOOKUP(B228,$B$2:$G$9,6,FALSE)-D228)),0)</f>
        <v>-1.2375788537500001</v>
      </c>
      <c r="K228" s="9">
        <f t="shared" si="33"/>
        <v>0</v>
      </c>
      <c r="L228" s="9">
        <f t="shared" si="34"/>
        <v>-1.2375788537500001</v>
      </c>
      <c r="M228" s="9">
        <f t="shared" si="36"/>
        <v>0</v>
      </c>
      <c r="N228" s="8">
        <v>-2.5</v>
      </c>
      <c r="O228" s="8">
        <v>0</v>
      </c>
      <c r="P228" s="2"/>
      <c r="Q228" s="2"/>
    </row>
    <row r="229" spans="1:28" x14ac:dyDescent="0.3">
      <c r="A229" s="35">
        <f t="shared" si="37"/>
        <v>23</v>
      </c>
      <c r="B229" s="35">
        <v>5</v>
      </c>
      <c r="C229" s="14">
        <v>43308.458333333336</v>
      </c>
      <c r="D229" s="18">
        <v>2.5170103020000001</v>
      </c>
      <c r="E229" s="19">
        <f t="shared" si="32"/>
        <v>3.69557182654275</v>
      </c>
      <c r="F229" s="16">
        <v>1.8046720030000001</v>
      </c>
      <c r="G229" s="10">
        <f t="shared" si="35"/>
        <v>1.1785615245427501</v>
      </c>
      <c r="H229" s="10">
        <f t="shared" si="38"/>
        <v>4.3894564835568461</v>
      </c>
      <c r="I229" s="73">
        <f>MAX(0,MIN(O229,H228*2,(D229-Sheet1!$C$3)))</f>
        <v>0</v>
      </c>
      <c r="J229" s="9">
        <f>IF(F229&gt;VLOOKUP($B$16,$B$2:$F$9,5,FALSE),MAX(N229,-F229*(VLOOKUP(B229,$B$2:$E$9,4,FALSE)),-2*(6-H228),-(VLOOKUP(B229,$B$2:$G$9,6,FALSE)-D229)),0)</f>
        <v>-1.1785615245427501</v>
      </c>
      <c r="K229" s="9">
        <f t="shared" si="33"/>
        <v>0</v>
      </c>
      <c r="L229" s="9">
        <f t="shared" si="34"/>
        <v>-1.1785615245427501</v>
      </c>
      <c r="M229" s="9">
        <f t="shared" si="36"/>
        <v>0</v>
      </c>
      <c r="N229" s="8">
        <v>-2.5</v>
      </c>
      <c r="O229" s="8">
        <v>0</v>
      </c>
      <c r="P229" s="2"/>
      <c r="Q229" s="2"/>
    </row>
    <row r="230" spans="1:28" x14ac:dyDescent="0.3">
      <c r="A230" s="35">
        <f t="shared" si="37"/>
        <v>24</v>
      </c>
      <c r="B230" s="35">
        <v>5</v>
      </c>
      <c r="C230" s="14">
        <v>43308.479166666664</v>
      </c>
      <c r="D230" s="18">
        <v>2.473104508</v>
      </c>
      <c r="E230" s="19">
        <f t="shared" si="32"/>
        <v>3.6709265199986048</v>
      </c>
      <c r="F230" s="16">
        <v>1.8341646190000001</v>
      </c>
      <c r="G230" s="10">
        <f t="shared" si="35"/>
        <v>1.1978220119986047</v>
      </c>
      <c r="H230" s="10">
        <f t="shared" si="38"/>
        <v>4.9883674895561487</v>
      </c>
      <c r="I230" s="73">
        <f>MAX(0,MIN(O230,H229*2,(D230-Sheet1!$C$3)))</f>
        <v>0</v>
      </c>
      <c r="J230" s="9">
        <f>IF(F230&gt;VLOOKUP($B$16,$B$2:$F$9,5,FALSE),MAX(N230,-F230*(VLOOKUP(B230,$B$2:$E$9,4,FALSE)),-2*(6-H229),-(VLOOKUP(B230,$B$2:$G$9,6,FALSE)-D230)),0)</f>
        <v>-1.1978220119986047</v>
      </c>
      <c r="K230" s="9">
        <f t="shared" si="33"/>
        <v>0</v>
      </c>
      <c r="L230" s="9">
        <f t="shared" si="34"/>
        <v>-1.1978220119986047</v>
      </c>
      <c r="M230" s="9">
        <f t="shared" si="36"/>
        <v>0</v>
      </c>
      <c r="N230" s="8">
        <v>-2.5</v>
      </c>
      <c r="O230" s="8">
        <v>0</v>
      </c>
      <c r="P230" s="2"/>
      <c r="Q230" s="2"/>
    </row>
    <row r="231" spans="1:28" x14ac:dyDescent="0.3">
      <c r="A231" s="35">
        <f t="shared" si="37"/>
        <v>25</v>
      </c>
      <c r="B231" s="35">
        <v>5</v>
      </c>
      <c r="C231" s="14">
        <v>43308.5</v>
      </c>
      <c r="D231" s="18">
        <v>2.5873937360000001</v>
      </c>
      <c r="E231" s="19">
        <f t="shared" si="32"/>
        <v>3.5348030143329501</v>
      </c>
      <c r="F231" s="16">
        <v>1.450720191</v>
      </c>
      <c r="G231" s="10">
        <f t="shared" si="35"/>
        <v>0.94740927833295008</v>
      </c>
      <c r="H231" s="10">
        <f t="shared" si="38"/>
        <v>5.4620721287226237</v>
      </c>
      <c r="I231" s="73">
        <f>MAX(0,MIN(O231,H230*2,(D231-Sheet1!$C$3)))</f>
        <v>0</v>
      </c>
      <c r="J231" s="9">
        <f>IF(F231&gt;VLOOKUP($B$16,$B$2:$F$9,5,FALSE),MAX(N231,-F231*(VLOOKUP(B231,$B$2:$E$9,4,FALSE)),-2*(6-H230),-(VLOOKUP(B231,$B$2:$G$9,6,FALSE)-D231)),0)</f>
        <v>-0.94740927833295008</v>
      </c>
      <c r="K231" s="9">
        <f t="shared" si="33"/>
        <v>0</v>
      </c>
      <c r="L231" s="9">
        <f t="shared" si="34"/>
        <v>-0.94740927833295008</v>
      </c>
      <c r="M231" s="9">
        <f t="shared" si="36"/>
        <v>0</v>
      </c>
      <c r="N231" s="8">
        <v>-2.5</v>
      </c>
      <c r="O231" s="8">
        <v>0</v>
      </c>
      <c r="P231" s="2"/>
      <c r="Q231" s="2"/>
    </row>
    <row r="232" spans="1:28" x14ac:dyDescent="0.3">
      <c r="A232" s="35">
        <f t="shared" si="37"/>
        <v>26</v>
      </c>
      <c r="B232" s="35">
        <v>5</v>
      </c>
      <c r="C232" s="14">
        <v>43308.520833333336</v>
      </c>
      <c r="D232" s="18">
        <v>2.5254187589999999</v>
      </c>
      <c r="E232" s="19">
        <f t="shared" si="32"/>
        <v>3.4728280373329499</v>
      </c>
      <c r="F232" s="16">
        <v>1.450720191</v>
      </c>
      <c r="G232" s="10">
        <f t="shared" si="35"/>
        <v>0.94740927833295008</v>
      </c>
      <c r="H232" s="10">
        <f t="shared" si="38"/>
        <v>5.9357767678890987</v>
      </c>
      <c r="I232" s="73">
        <f>MAX(0,MIN(O232,H231*2,(D232-Sheet1!$C$3)))</f>
        <v>0</v>
      </c>
      <c r="J232" s="9">
        <f>IF(F232&gt;VLOOKUP($B$16,$B$2:$F$9,5,FALSE),MAX(N232,-F232*(VLOOKUP(B232,$B$2:$E$9,4,FALSE)),-2*(6-H231),-(VLOOKUP(B232,$B$2:$G$9,6,FALSE)-D232)),0)</f>
        <v>-0.94740927833295008</v>
      </c>
      <c r="K232" s="9">
        <f t="shared" si="33"/>
        <v>0</v>
      </c>
      <c r="L232" s="9">
        <f t="shared" si="34"/>
        <v>-0.94740927833295008</v>
      </c>
      <c r="M232" s="9">
        <f t="shared" si="36"/>
        <v>0</v>
      </c>
      <c r="N232" s="8">
        <v>-2.5</v>
      </c>
      <c r="O232" s="8">
        <v>0</v>
      </c>
      <c r="P232" s="2"/>
      <c r="Q232" s="2"/>
    </row>
    <row r="233" spans="1:28" x14ac:dyDescent="0.3">
      <c r="A233" s="35">
        <f t="shared" si="37"/>
        <v>27</v>
      </c>
      <c r="B233" s="35">
        <v>5</v>
      </c>
      <c r="C233" s="14">
        <v>43308.541666666664</v>
      </c>
      <c r="D233" s="18">
        <v>2.4667980900000002</v>
      </c>
      <c r="E233" s="19">
        <f t="shared" si="32"/>
        <v>2.5952445542218028</v>
      </c>
      <c r="F233" s="16">
        <v>1.774218321</v>
      </c>
      <c r="G233" s="10">
        <f t="shared" si="35"/>
        <v>0.12844646422180261</v>
      </c>
      <c r="H233" s="10">
        <f t="shared" si="38"/>
        <v>6</v>
      </c>
      <c r="I233" s="73">
        <f>MAX(0,MIN(O233,H232*2,(D233-Sheet1!$C$3)))</f>
        <v>0</v>
      </c>
      <c r="J233" s="9">
        <f>IF(F233&gt;VLOOKUP($B$16,$B$2:$F$9,5,FALSE),MAX(N233,-F233*(VLOOKUP(B233,$B$2:$E$9,4,FALSE)),-2*(6-H232),-(VLOOKUP(B233,$B$2:$G$9,6,FALSE)-D233)),0)</f>
        <v>-0.12844646422180261</v>
      </c>
      <c r="K233" s="9">
        <f t="shared" si="33"/>
        <v>0</v>
      </c>
      <c r="L233" s="9">
        <f t="shared" si="34"/>
        <v>-0.12844646422180261</v>
      </c>
      <c r="M233" s="9">
        <f t="shared" si="36"/>
        <v>0</v>
      </c>
      <c r="N233" s="8">
        <v>-2.5</v>
      </c>
      <c r="O233" s="8">
        <v>0</v>
      </c>
      <c r="P233" s="2"/>
      <c r="Q233" s="2"/>
    </row>
    <row r="234" spans="1:28" x14ac:dyDescent="0.3">
      <c r="A234" s="35">
        <f t="shared" si="37"/>
        <v>28</v>
      </c>
      <c r="B234" s="35">
        <v>5</v>
      </c>
      <c r="C234" s="14">
        <v>43308.5625</v>
      </c>
      <c r="D234" s="18">
        <v>2.4652173749999999</v>
      </c>
      <c r="E234" s="19">
        <f t="shared" si="32"/>
        <v>2.4652173749999999</v>
      </c>
      <c r="F234" s="16">
        <v>1.753413439</v>
      </c>
      <c r="G234" s="10">
        <f t="shared" si="35"/>
        <v>0</v>
      </c>
      <c r="H234" s="10">
        <f t="shared" si="38"/>
        <v>6</v>
      </c>
      <c r="I234" s="73">
        <f>MAX(0,MIN(O234,H233*2,(D234-Sheet1!$C$3)))</f>
        <v>0</v>
      </c>
      <c r="J234" s="9">
        <f>IF(F234&gt;VLOOKUP($B$16,$B$2:$F$9,5,FALSE),MAX(N234,-F234*(VLOOKUP(B234,$B$2:$E$9,4,FALSE)),-2*(6-H233),-(VLOOKUP(B234,$B$2:$G$9,6,FALSE)-D234)),0)</f>
        <v>0</v>
      </c>
      <c r="K234" s="9">
        <f t="shared" si="33"/>
        <v>0</v>
      </c>
      <c r="L234" s="9">
        <f t="shared" si="34"/>
        <v>0</v>
      </c>
      <c r="M234" s="9">
        <f t="shared" si="36"/>
        <v>0</v>
      </c>
      <c r="N234" s="8">
        <v>-2.5</v>
      </c>
      <c r="O234" s="8">
        <v>0</v>
      </c>
      <c r="P234" s="2"/>
      <c r="Q234" s="2"/>
    </row>
    <row r="235" spans="1:28" x14ac:dyDescent="0.3">
      <c r="A235" s="35">
        <f t="shared" si="37"/>
        <v>29</v>
      </c>
      <c r="B235" s="35">
        <v>5</v>
      </c>
      <c r="C235" s="14">
        <v>43308.583333333336</v>
      </c>
      <c r="D235" s="18">
        <v>2.3784545399999999</v>
      </c>
      <c r="E235" s="19">
        <f t="shared" si="32"/>
        <v>2.3784545399999999</v>
      </c>
      <c r="F235" s="16">
        <v>2.0478529929999998</v>
      </c>
      <c r="G235" s="10">
        <f t="shared" si="35"/>
        <v>0</v>
      </c>
      <c r="H235" s="10">
        <f t="shared" si="38"/>
        <v>6</v>
      </c>
      <c r="I235" s="73">
        <f>MAX(0,MIN(O235,H234*2,(D235-Sheet1!$C$3)))</f>
        <v>0</v>
      </c>
      <c r="J235" s="9">
        <f>IF(F235&gt;VLOOKUP($B$16,$B$2:$F$9,5,FALSE),MAX(N235,-F235*(VLOOKUP(B235,$B$2:$E$9,4,FALSE)),-2*(6-H234),-(VLOOKUP(B235,$B$2:$G$9,6,FALSE)-D235)),0)</f>
        <v>0</v>
      </c>
      <c r="K235" s="9">
        <f t="shared" si="33"/>
        <v>0</v>
      </c>
      <c r="L235" s="9">
        <f t="shared" si="34"/>
        <v>0</v>
      </c>
      <c r="M235" s="9">
        <f t="shared" si="36"/>
        <v>0</v>
      </c>
      <c r="N235" s="8">
        <v>-2.5</v>
      </c>
      <c r="O235" s="8">
        <v>0</v>
      </c>
      <c r="P235" s="2"/>
      <c r="Q235" s="2"/>
    </row>
    <row r="236" spans="1:28" x14ac:dyDescent="0.3">
      <c r="A236" s="37">
        <f t="shared" si="37"/>
        <v>30</v>
      </c>
      <c r="B236" s="37">
        <v>5</v>
      </c>
      <c r="C236" s="24">
        <v>43308.604166666664</v>
      </c>
      <c r="D236" s="25">
        <v>2.5326032569999999</v>
      </c>
      <c r="E236" s="26">
        <f t="shared" si="32"/>
        <v>2.5326032569999999</v>
      </c>
      <c r="F236" s="27">
        <v>1.8479237559999999</v>
      </c>
      <c r="G236" s="10">
        <f t="shared" si="35"/>
        <v>0</v>
      </c>
      <c r="H236" s="10">
        <f t="shared" si="38"/>
        <v>6</v>
      </c>
      <c r="I236" s="93">
        <f>MAX(0,MIN(O236,H235*2,(D236-Sheet1!$C$3)))</f>
        <v>0</v>
      </c>
      <c r="J236" s="9">
        <f>IF(F236&gt;VLOOKUP($B$16,$B$2:$F$9,5,FALSE),MAX(N236,-F236*(VLOOKUP(B236,$B$2:$E$9,4,FALSE)),-2*(6-H235),-(VLOOKUP(B236,$B$2:$G$9,6,FALSE)-D236)),0)</f>
        <v>0</v>
      </c>
      <c r="K236" s="9">
        <f t="shared" si="33"/>
        <v>0</v>
      </c>
      <c r="L236" s="42">
        <f t="shared" si="34"/>
        <v>0</v>
      </c>
      <c r="M236" s="42">
        <f t="shared" si="36"/>
        <v>0</v>
      </c>
      <c r="N236" s="23">
        <v>-2.5</v>
      </c>
      <c r="O236" s="23">
        <v>0</v>
      </c>
      <c r="P236" s="2"/>
      <c r="Q236" s="2"/>
    </row>
    <row r="237" spans="1:28" s="64" customFormat="1" ht="15" thickBot="1" x14ac:dyDescent="0.35">
      <c r="A237" s="54">
        <f t="shared" si="37"/>
        <v>31</v>
      </c>
      <c r="B237" s="54">
        <v>5</v>
      </c>
      <c r="C237" s="55">
        <v>43308.625</v>
      </c>
      <c r="D237" s="56">
        <v>2.714076516</v>
      </c>
      <c r="E237" s="57">
        <f t="shared" si="32"/>
        <v>2.714076516</v>
      </c>
      <c r="F237" s="58">
        <v>0.99275994300000003</v>
      </c>
      <c r="G237" s="111">
        <f>-SUM(I237,J237,K237)</f>
        <v>0</v>
      </c>
      <c r="H237" s="111">
        <f t="shared" si="38"/>
        <v>6</v>
      </c>
      <c r="I237" s="74">
        <f>MAX(0,MIN(O237,H236*2,(D237-Sheet1!$C$3)))</f>
        <v>0</v>
      </c>
      <c r="J237" s="9">
        <f>IF(F237&gt;VLOOKUP($B$16,$B$2:$F$9,5,FALSE),MAX(N237,-F237*(VLOOKUP(B237,$B$2:$E$9,4,FALSE)),-2*(6-H236),-(VLOOKUP(B237,$B$2:$G$9,6,FALSE)-D237)),0)</f>
        <v>0</v>
      </c>
      <c r="K237" s="60">
        <f t="shared" si="33"/>
        <v>0</v>
      </c>
      <c r="L237" s="60">
        <f t="shared" si="34"/>
        <v>0</v>
      </c>
      <c r="M237" s="60">
        <f t="shared" si="36"/>
        <v>0</v>
      </c>
      <c r="N237" s="61">
        <v>-2.5</v>
      </c>
      <c r="O237" s="61">
        <v>0</v>
      </c>
      <c r="P237" s="62"/>
      <c r="Q237" s="62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 spans="1:28" x14ac:dyDescent="0.3">
      <c r="A238" s="44">
        <f>A237+1</f>
        <v>32</v>
      </c>
      <c r="B238" s="44">
        <v>5</v>
      </c>
      <c r="C238" s="45">
        <v>43308.645833333336</v>
      </c>
      <c r="D238" s="46">
        <v>2.847364545</v>
      </c>
      <c r="E238" s="33">
        <f t="shared" si="32"/>
        <v>1.9066965960909088</v>
      </c>
      <c r="F238" s="47">
        <v>0.88566940999999999</v>
      </c>
      <c r="G238" s="97">
        <f t="shared" si="35"/>
        <v>-0.94066794890909122</v>
      </c>
      <c r="H238" s="97">
        <f t="shared" si="38"/>
        <v>5.5296660255454544</v>
      </c>
      <c r="I238" s="72">
        <f>MAX(0,MIN(O238,H237*2,(D238-Sheet1!$C$3)))</f>
        <v>0.94066794890909122</v>
      </c>
      <c r="J238" s="9">
        <f>IF(F238&gt;VLOOKUP($B$16,$B$2:$F$9,5,FALSE),MAX(N238,-F238*(VLOOKUP(B238,$B$2:$E$9,4,FALSE)),-2*(6-H237),-(VLOOKUP(B238,$B$2:$G$9,6,FALSE)-D238)),0)</f>
        <v>0</v>
      </c>
      <c r="K238" s="40">
        <f t="shared" si="33"/>
        <v>0</v>
      </c>
      <c r="L238" s="41"/>
      <c r="M238" s="41"/>
      <c r="N238" s="48">
        <v>0</v>
      </c>
      <c r="O238" s="48">
        <v>2.5</v>
      </c>
      <c r="P238" s="2"/>
      <c r="Q238" s="2"/>
    </row>
    <row r="239" spans="1:28" x14ac:dyDescent="0.3">
      <c r="A239" s="36">
        <f t="shared" si="37"/>
        <v>33</v>
      </c>
      <c r="B239" s="36">
        <v>5</v>
      </c>
      <c r="C239" s="15">
        <v>43308.666666666664</v>
      </c>
      <c r="D239" s="20">
        <v>3.0283333959999998</v>
      </c>
      <c r="E239" s="19">
        <f t="shared" si="32"/>
        <v>1.9066965960909088</v>
      </c>
      <c r="F239" s="17">
        <v>0.44464132200000001</v>
      </c>
      <c r="G239" s="10">
        <f t="shared" si="35"/>
        <v>-1.121636799909091</v>
      </c>
      <c r="H239" s="10">
        <f t="shared" si="38"/>
        <v>4.9688476255909091</v>
      </c>
      <c r="I239" s="73">
        <f>MAX(0,MIN(O239,H238*2,(D239-Sheet1!$C$3)))</f>
        <v>1.121636799909091</v>
      </c>
      <c r="J239" s="9">
        <f>IF(F239&gt;VLOOKUP($B$16,$B$2:$F$9,5,FALSE),MAX(N239,-F239*(VLOOKUP(B239,$B$2:$E$9,4,FALSE)),-2*(6-H238),-(VLOOKUP(B239,$B$2:$G$9,6,FALSE)-D239)),0)</f>
        <v>0</v>
      </c>
      <c r="K239" s="9">
        <f t="shared" si="33"/>
        <v>0</v>
      </c>
      <c r="L239" s="12"/>
      <c r="M239" s="12"/>
      <c r="N239" s="13">
        <v>0</v>
      </c>
      <c r="O239" s="13">
        <v>2.5</v>
      </c>
      <c r="P239" s="2"/>
      <c r="Q239" s="2"/>
    </row>
    <row r="240" spans="1:28" x14ac:dyDescent="0.3">
      <c r="A240" s="36">
        <f t="shared" si="37"/>
        <v>34</v>
      </c>
      <c r="B240" s="36">
        <v>5</v>
      </c>
      <c r="C240" s="15">
        <v>43308.6875</v>
      </c>
      <c r="D240" s="20">
        <v>3.073930759</v>
      </c>
      <c r="E240" s="19">
        <f t="shared" si="32"/>
        <v>1.9066965960909088</v>
      </c>
      <c r="F240" s="17">
        <v>0.40945255800000002</v>
      </c>
      <c r="G240" s="10">
        <f t="shared" si="35"/>
        <v>-1.1672341629090912</v>
      </c>
      <c r="H240" s="10">
        <f t="shared" si="38"/>
        <v>4.3852305441363635</v>
      </c>
      <c r="I240" s="73">
        <f>MAX(0,MIN(O240,H239*2,(D240-Sheet1!$C$3)))</f>
        <v>1.1672341629090912</v>
      </c>
      <c r="J240" s="9">
        <f>IF(F240&gt;VLOOKUP($B$16,$B$2:$F$9,5,FALSE),MAX(N240,-F240*(VLOOKUP(B240,$B$2:$E$9,4,FALSE)),-2*(6-H239),-(VLOOKUP(B240,$B$2:$G$9,6,FALSE)-D240)),0)</f>
        <v>0</v>
      </c>
      <c r="K240" s="9">
        <f t="shared" si="33"/>
        <v>0</v>
      </c>
      <c r="L240" s="12"/>
      <c r="M240" s="12"/>
      <c r="N240" s="13">
        <v>0</v>
      </c>
      <c r="O240" s="13">
        <v>2.5</v>
      </c>
      <c r="P240" s="2"/>
      <c r="Q240" s="2"/>
    </row>
    <row r="241" spans="1:28" x14ac:dyDescent="0.3">
      <c r="A241" s="36">
        <f t="shared" si="37"/>
        <v>35</v>
      </c>
      <c r="B241" s="36">
        <v>5</v>
      </c>
      <c r="C241" s="15">
        <v>43308.708333333336</v>
      </c>
      <c r="D241" s="20">
        <v>3.0617563990000001</v>
      </c>
      <c r="E241" s="19">
        <f t="shared" si="32"/>
        <v>1.9066965960909088</v>
      </c>
      <c r="F241" s="17">
        <v>0.30886298400000001</v>
      </c>
      <c r="G241" s="10">
        <f t="shared" si="35"/>
        <v>-1.1550598029090913</v>
      </c>
      <c r="H241" s="10">
        <f t="shared" si="38"/>
        <v>3.8077006426818176</v>
      </c>
      <c r="I241" s="73">
        <f>MAX(0,MIN(O241,H240*2,(D241-Sheet1!$C$3)))</f>
        <v>1.1550598029090913</v>
      </c>
      <c r="J241" s="9">
        <f>IF(F241&gt;VLOOKUP($B$16,$B$2:$F$9,5,FALSE),MAX(N241,-F241*(VLOOKUP(B241,$B$2:$E$9,4,FALSE)),-2*(6-H240),-(VLOOKUP(B241,$B$2:$G$9,6,FALSE)-D241)),0)</f>
        <v>0</v>
      </c>
      <c r="K241" s="9">
        <f t="shared" si="33"/>
        <v>0</v>
      </c>
      <c r="L241" s="12"/>
      <c r="M241" s="12"/>
      <c r="N241" s="13">
        <v>0</v>
      </c>
      <c r="O241" s="13">
        <v>2.5</v>
      </c>
      <c r="P241" s="2"/>
      <c r="Q241" s="2"/>
    </row>
    <row r="242" spans="1:28" x14ac:dyDescent="0.3">
      <c r="A242" s="36">
        <f t="shared" si="37"/>
        <v>36</v>
      </c>
      <c r="B242" s="36">
        <v>5</v>
      </c>
      <c r="C242" s="15">
        <v>43308.729166666664</v>
      </c>
      <c r="D242" s="20">
        <v>2.98409711</v>
      </c>
      <c r="E242" s="19">
        <f t="shared" si="32"/>
        <v>1.9066965960909088</v>
      </c>
      <c r="F242" s="17">
        <v>0.23781317499999999</v>
      </c>
      <c r="G242" s="10">
        <f t="shared" si="35"/>
        <v>-1.0774005139090912</v>
      </c>
      <c r="H242" s="10">
        <f t="shared" si="38"/>
        <v>3.269000385727272</v>
      </c>
      <c r="I242" s="73">
        <f>MAX(0,MIN(O242,H241*2,(D242-Sheet1!$C$3)))</f>
        <v>1.0774005139090912</v>
      </c>
      <c r="J242" s="9">
        <f>IF(F242&gt;VLOOKUP($B$16,$B$2:$F$9,5,FALSE),MAX(N242,-F242*(VLOOKUP(B242,$B$2:$E$9,4,FALSE)),-2*(6-H241),-(VLOOKUP(B242,$B$2:$G$9,6,FALSE)-D242)),0)</f>
        <v>0</v>
      </c>
      <c r="K242" s="9">
        <f t="shared" si="33"/>
        <v>0</v>
      </c>
      <c r="L242" s="12"/>
      <c r="M242" s="12"/>
      <c r="N242" s="13">
        <v>0</v>
      </c>
      <c r="O242" s="13">
        <v>2.5</v>
      </c>
      <c r="P242" s="2"/>
      <c r="Q242" s="2"/>
    </row>
    <row r="243" spans="1:28" x14ac:dyDescent="0.3">
      <c r="A243" s="36">
        <f t="shared" si="37"/>
        <v>37</v>
      </c>
      <c r="B243" s="36">
        <v>5</v>
      </c>
      <c r="C243" s="15">
        <v>43308.75</v>
      </c>
      <c r="D243" s="20">
        <v>2.9565394079999998</v>
      </c>
      <c r="E243" s="19">
        <f t="shared" si="32"/>
        <v>1.9066965960909088</v>
      </c>
      <c r="F243" s="17">
        <v>0.15275833</v>
      </c>
      <c r="G243" s="10">
        <f t="shared" si="35"/>
        <v>-1.049842811909091</v>
      </c>
      <c r="H243" s="10">
        <f t="shared" si="38"/>
        <v>2.7440789797727265</v>
      </c>
      <c r="I243" s="73">
        <f>MAX(0,MIN(O243,H242*2,(D243-Sheet1!$C$3)))</f>
        <v>1.049842811909091</v>
      </c>
      <c r="J243" s="9">
        <f>IF(F243&gt;VLOOKUP($B$16,$B$2:$F$9,5,FALSE),MAX(N243,-F243*(VLOOKUP(B243,$B$2:$E$9,4,FALSE)),-2*(6-H242),-(VLOOKUP(B243,$B$2:$G$9,6,FALSE)-D243)),0)</f>
        <v>0</v>
      </c>
      <c r="K243" s="9">
        <f t="shared" si="33"/>
        <v>0</v>
      </c>
      <c r="L243" s="12"/>
      <c r="M243" s="12"/>
      <c r="N243" s="13">
        <v>0</v>
      </c>
      <c r="O243" s="13">
        <v>2.5</v>
      </c>
      <c r="P243" s="2"/>
      <c r="Q243" s="2"/>
    </row>
    <row r="244" spans="1:28" x14ac:dyDescent="0.3">
      <c r="A244" s="36">
        <f t="shared" si="37"/>
        <v>38</v>
      </c>
      <c r="B244" s="36">
        <v>5</v>
      </c>
      <c r="C244" s="15">
        <v>43308.770833333336</v>
      </c>
      <c r="D244" s="20">
        <v>2.9479586059999998</v>
      </c>
      <c r="E244" s="19">
        <f t="shared" si="32"/>
        <v>1.9066965960909088</v>
      </c>
      <c r="F244" s="17">
        <v>0.15064397500000001</v>
      </c>
      <c r="G244" s="10">
        <f t="shared" si="35"/>
        <v>-1.041262009909091</v>
      </c>
      <c r="H244" s="10">
        <f t="shared" si="38"/>
        <v>2.223447974818181</v>
      </c>
      <c r="I244" s="73">
        <f>MAX(0,MIN(O244,H243*2,(D244-Sheet1!$C$3)))</f>
        <v>1.041262009909091</v>
      </c>
      <c r="J244" s="9">
        <f>IF(F244&gt;VLOOKUP($B$16,$B$2:$F$9,5,FALSE),MAX(N244,-F244*(VLOOKUP(B244,$B$2:$E$9,4,FALSE)),-2*(6-H243),-(VLOOKUP(B244,$B$2:$G$9,6,FALSE)-D244)),0)</f>
        <v>0</v>
      </c>
      <c r="K244" s="9">
        <f t="shared" si="33"/>
        <v>0</v>
      </c>
      <c r="L244" s="12"/>
      <c r="M244" s="12"/>
      <c r="N244" s="13">
        <v>0</v>
      </c>
      <c r="O244" s="13">
        <v>2.5</v>
      </c>
      <c r="P244" s="2"/>
      <c r="Q244" s="2"/>
    </row>
    <row r="245" spans="1:28" x14ac:dyDescent="0.3">
      <c r="A245" s="36">
        <f t="shared" si="37"/>
        <v>39</v>
      </c>
      <c r="B245" s="36">
        <v>5</v>
      </c>
      <c r="C245" s="15">
        <v>43308.791666666664</v>
      </c>
      <c r="D245" s="20">
        <v>2.800745118</v>
      </c>
      <c r="E245" s="19">
        <f t="shared" si="32"/>
        <v>1.9066965960909088</v>
      </c>
      <c r="F245" s="17">
        <v>4.5566349999999999E-2</v>
      </c>
      <c r="G245" s="10">
        <f t="shared" si="35"/>
        <v>-0.89404852190909123</v>
      </c>
      <c r="H245" s="10">
        <f t="shared" si="38"/>
        <v>1.7764237138636354</v>
      </c>
      <c r="I245" s="73">
        <f>MAX(0,MIN(O245,H244*2,(D245-Sheet1!$C$3)))</f>
        <v>0.89404852190909123</v>
      </c>
      <c r="J245" s="9">
        <f>IF(F245&gt;VLOOKUP($B$16,$B$2:$F$9,5,FALSE),MAX(N245,-F245*(VLOOKUP(B245,$B$2:$E$9,4,FALSE)),-2*(6-H244),-(VLOOKUP(B245,$B$2:$G$9,6,FALSE)-D245)),0)</f>
        <v>0</v>
      </c>
      <c r="K245" s="9">
        <f t="shared" si="33"/>
        <v>0</v>
      </c>
      <c r="L245" s="12"/>
      <c r="M245" s="12"/>
      <c r="N245" s="13">
        <v>0</v>
      </c>
      <c r="O245" s="13">
        <v>2.5</v>
      </c>
      <c r="P245" s="2"/>
      <c r="Q245" s="2"/>
    </row>
    <row r="246" spans="1:28" x14ac:dyDescent="0.3">
      <c r="A246" s="36">
        <f t="shared" si="37"/>
        <v>40</v>
      </c>
      <c r="B246" s="36">
        <v>5</v>
      </c>
      <c r="C246" s="15">
        <v>43308.8125</v>
      </c>
      <c r="D246" s="20">
        <v>2.7661333419999998</v>
      </c>
      <c r="E246" s="19">
        <f t="shared" si="32"/>
        <v>1.9066965960909088</v>
      </c>
      <c r="F246" s="17">
        <v>4.5566349999999999E-2</v>
      </c>
      <c r="G246" s="10">
        <f t="shared" si="35"/>
        <v>-0.85943674590909103</v>
      </c>
      <c r="H246" s="10">
        <f t="shared" si="38"/>
        <v>1.3467053409090899</v>
      </c>
      <c r="I246" s="73">
        <f>MAX(0,MIN(O246,H245*2,(D246-Sheet1!$C$3)))</f>
        <v>0.85943674590909103</v>
      </c>
      <c r="J246" s="9">
        <f>IF(F246&gt;VLOOKUP($B$16,$B$2:$F$9,5,FALSE),MAX(N246,-F246*(VLOOKUP(B246,$B$2:$E$9,4,FALSE)),-2*(6-H245),-(VLOOKUP(B246,$B$2:$G$9,6,FALSE)-D246)),0)</f>
        <v>0</v>
      </c>
      <c r="K246" s="9">
        <f t="shared" si="33"/>
        <v>0</v>
      </c>
      <c r="L246" s="12"/>
      <c r="M246" s="12"/>
      <c r="N246" s="13">
        <v>0</v>
      </c>
      <c r="O246" s="13">
        <v>2.5</v>
      </c>
      <c r="P246" s="2"/>
      <c r="Q246" s="2"/>
    </row>
    <row r="247" spans="1:28" x14ac:dyDescent="0.3">
      <c r="A247" s="49">
        <f t="shared" si="37"/>
        <v>41</v>
      </c>
      <c r="B247" s="49">
        <v>5</v>
      </c>
      <c r="C247" s="50">
        <v>43308.833333333336</v>
      </c>
      <c r="D247" s="51">
        <v>2.7486804970000001</v>
      </c>
      <c r="E247" s="26">
        <f t="shared" si="32"/>
        <v>1.9066965960909088</v>
      </c>
      <c r="F247" s="52">
        <v>5.3364930000000003E-3</v>
      </c>
      <c r="G247" s="10">
        <f t="shared" si="35"/>
        <v>-0.84198390090909125</v>
      </c>
      <c r="H247" s="10">
        <f t="shared" si="38"/>
        <v>0.92571339045454426</v>
      </c>
      <c r="I247" s="93">
        <f>MAX(0,MIN(O247,H246*2,(D247-Sheet1!$C$3)))</f>
        <v>0.84198390090909125</v>
      </c>
      <c r="J247" s="9">
        <f>IF(F247&gt;VLOOKUP($B$16,$B$2:$F$9,5,FALSE),MAX(N247,-F247*(VLOOKUP(B247,$B$2:$E$9,4,FALSE)),-2*(6-H246),-(VLOOKUP(B247,$B$2:$G$9,6,FALSE)-D247)),0)</f>
        <v>0</v>
      </c>
      <c r="K247" s="9">
        <f t="shared" si="33"/>
        <v>0</v>
      </c>
      <c r="L247" s="29"/>
      <c r="M247" s="29"/>
      <c r="N247" s="53">
        <v>0</v>
      </c>
      <c r="O247" s="53">
        <v>2.5</v>
      </c>
      <c r="P247" s="2"/>
      <c r="Q247" s="2"/>
    </row>
    <row r="248" spans="1:28" s="64" customFormat="1" ht="15" thickBot="1" x14ac:dyDescent="0.35">
      <c r="A248" s="65">
        <f t="shared" si="37"/>
        <v>42</v>
      </c>
      <c r="B248" s="65">
        <v>5</v>
      </c>
      <c r="C248" s="66">
        <v>43308.854166666664</v>
      </c>
      <c r="D248" s="67">
        <v>2.6215436759999999</v>
      </c>
      <c r="E248" s="57">
        <f t="shared" si="32"/>
        <v>1.9066965960909088</v>
      </c>
      <c r="F248" s="68">
        <v>5.3364930000000003E-3</v>
      </c>
      <c r="G248" s="111">
        <f t="shared" si="35"/>
        <v>-0.71484707990909113</v>
      </c>
      <c r="H248" s="111">
        <f t="shared" si="38"/>
        <v>0.56828985049999869</v>
      </c>
      <c r="I248" s="74">
        <f>MAX(0,MIN(O248,H247*2,(D248-Sheet1!$C$3)))</f>
        <v>0.71484707990909113</v>
      </c>
      <c r="J248" s="9">
        <f>IF(F248&gt;VLOOKUP($B$16,$B$2:$F$9,5,FALSE),MAX(N248,-F248*(VLOOKUP(B248,$B$2:$E$9,4,FALSE)),-2*(6-H247),-(VLOOKUP(B248,$B$2:$G$9,6,FALSE)-D248)),0)</f>
        <v>0</v>
      </c>
      <c r="K248" s="60">
        <f t="shared" si="33"/>
        <v>0</v>
      </c>
      <c r="L248" s="59"/>
      <c r="M248" s="59"/>
      <c r="N248" s="69">
        <v>0</v>
      </c>
      <c r="O248" s="69">
        <v>2.5</v>
      </c>
      <c r="P248" s="62"/>
      <c r="Q248" s="62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 spans="1:28" x14ac:dyDescent="0.3">
      <c r="A249" s="38">
        <f t="shared" si="37"/>
        <v>43</v>
      </c>
      <c r="B249" s="38">
        <v>5</v>
      </c>
      <c r="C249" s="31">
        <v>43308.875</v>
      </c>
      <c r="D249" s="32">
        <v>2.6148325680000002</v>
      </c>
      <c r="E249" s="33">
        <f t="shared" si="32"/>
        <v>2.6148325680000002</v>
      </c>
      <c r="F249" s="39">
        <v>5.3364930000000003E-3</v>
      </c>
      <c r="G249" s="97">
        <f t="shared" si="35"/>
        <v>0</v>
      </c>
      <c r="H249" s="97">
        <f t="shared" si="38"/>
        <v>0.56828985049999869</v>
      </c>
      <c r="I249" s="72">
        <f>MAX(0,MIN(O249,H248*2,(D249-Sheet1!$C$3)))</f>
        <v>0</v>
      </c>
      <c r="J249" s="9">
        <f>IF(F249&gt;VLOOKUP($B$16,$B$2:$F$9,5,FALSE),MAX(N249,-F249*(VLOOKUP(B249,$B$2:$E$9,4,FALSE)),-2*(6-H248),-(VLOOKUP(B249,$B$2:$G$9,6,FALSE)-D249)),0)</f>
        <v>0</v>
      </c>
      <c r="K249" s="40">
        <f t="shared" si="33"/>
        <v>0</v>
      </c>
      <c r="L249" s="34"/>
      <c r="M249" s="34"/>
      <c r="N249" s="30">
        <v>0</v>
      </c>
      <c r="O249" s="30">
        <v>0</v>
      </c>
      <c r="P249" s="2"/>
      <c r="Q249" s="2"/>
    </row>
    <row r="250" spans="1:28" x14ac:dyDescent="0.3">
      <c r="A250" s="35">
        <f t="shared" si="37"/>
        <v>44</v>
      </c>
      <c r="B250" s="35">
        <v>5</v>
      </c>
      <c r="C250" s="14">
        <v>43308.895833333336</v>
      </c>
      <c r="D250" s="18">
        <v>2.425646457</v>
      </c>
      <c r="E250" s="19">
        <f t="shared" si="32"/>
        <v>2.425646457</v>
      </c>
      <c r="F250" s="16">
        <v>5.3364930000000003E-3</v>
      </c>
      <c r="G250" s="10">
        <f t="shared" si="35"/>
        <v>0</v>
      </c>
      <c r="H250" s="10">
        <f t="shared" si="38"/>
        <v>0.56828985049999869</v>
      </c>
      <c r="I250" s="73">
        <f>MAX(0,MIN(O250,H249*2,(D250-Sheet1!$C$3)))</f>
        <v>0</v>
      </c>
      <c r="J250" s="9">
        <f>IF(F250&gt;VLOOKUP($B$16,$B$2:$F$9,5,FALSE),MAX(N250,-F250*(VLOOKUP(B250,$B$2:$E$9,4,FALSE)),-2*(6-H249),-(VLOOKUP(B250,$B$2:$G$9,6,FALSE)-D250)),0)</f>
        <v>0</v>
      </c>
      <c r="K250" s="9">
        <f t="shared" si="33"/>
        <v>0</v>
      </c>
      <c r="L250" s="11"/>
      <c r="M250" s="11"/>
      <c r="N250" s="8">
        <v>0</v>
      </c>
      <c r="O250" s="8">
        <v>0</v>
      </c>
      <c r="P250" s="2"/>
      <c r="Q250" s="2"/>
    </row>
    <row r="251" spans="1:28" x14ac:dyDescent="0.3">
      <c r="A251" s="35">
        <f t="shared" si="37"/>
        <v>45</v>
      </c>
      <c r="B251" s="35">
        <v>5</v>
      </c>
      <c r="C251" s="14">
        <v>43308.916666666664</v>
      </c>
      <c r="D251" s="18">
        <v>2.1710926320000001</v>
      </c>
      <c r="E251" s="19">
        <f t="shared" si="32"/>
        <v>2.1710926320000001</v>
      </c>
      <c r="F251" s="16">
        <v>5.3364930000000003E-3</v>
      </c>
      <c r="G251" s="10">
        <f t="shared" si="35"/>
        <v>0</v>
      </c>
      <c r="H251" s="10">
        <f t="shared" si="38"/>
        <v>0.56828985049999869</v>
      </c>
      <c r="I251" s="73">
        <f>MAX(0,MIN(O251,H250*2,(D251-Sheet1!$C$3)))</f>
        <v>0</v>
      </c>
      <c r="J251" s="9">
        <f>IF(F251&gt;VLOOKUP($B$16,$B$2:$F$9,5,FALSE),MAX(N251,-F251*(VLOOKUP(B251,$B$2:$E$9,4,FALSE)),-2*(6-H250),-(VLOOKUP(B251,$B$2:$G$9,6,FALSE)-D251)),0)</f>
        <v>0</v>
      </c>
      <c r="K251" s="9">
        <f t="shared" si="33"/>
        <v>0</v>
      </c>
      <c r="L251" s="11"/>
      <c r="M251" s="11"/>
      <c r="N251" s="8">
        <v>0</v>
      </c>
      <c r="O251" s="8">
        <v>0</v>
      </c>
      <c r="P251" s="2"/>
      <c r="Q251" s="2"/>
    </row>
    <row r="252" spans="1:28" x14ac:dyDescent="0.3">
      <c r="A252" s="35">
        <f t="shared" si="37"/>
        <v>46</v>
      </c>
      <c r="B252" s="35">
        <v>5</v>
      </c>
      <c r="C252" s="14">
        <v>43308.9375</v>
      </c>
      <c r="D252" s="18">
        <v>1.930942586</v>
      </c>
      <c r="E252" s="19">
        <f t="shared" si="32"/>
        <v>1.930942586</v>
      </c>
      <c r="F252" s="16">
        <v>5.3364930000000003E-3</v>
      </c>
      <c r="G252" s="10">
        <f t="shared" si="35"/>
        <v>0</v>
      </c>
      <c r="H252" s="10">
        <f t="shared" si="38"/>
        <v>0.56828985049999869</v>
      </c>
      <c r="I252" s="73">
        <f>MAX(0,MIN(O252,H251*2,(D252-Sheet1!$C$3)))</f>
        <v>0</v>
      </c>
      <c r="J252" s="9">
        <f>IF(F252&gt;VLOOKUP($B$16,$B$2:$F$9,5,FALSE),MAX(N252,-F252*(VLOOKUP(B252,$B$2:$E$9,4,FALSE)),-2*(6-H251),-(VLOOKUP(B252,$B$2:$G$9,6,FALSE)-D252)),0)</f>
        <v>0</v>
      </c>
      <c r="K252" s="9">
        <f t="shared" si="33"/>
        <v>0</v>
      </c>
      <c r="L252" s="11"/>
      <c r="M252" s="11"/>
      <c r="N252" s="8">
        <v>0</v>
      </c>
      <c r="O252" s="8">
        <v>0</v>
      </c>
      <c r="P252" s="2"/>
      <c r="Q252" s="2"/>
    </row>
    <row r="253" spans="1:28" x14ac:dyDescent="0.3">
      <c r="A253" s="37">
        <f t="shared" si="37"/>
        <v>47</v>
      </c>
      <c r="B253" s="37">
        <v>5</v>
      </c>
      <c r="C253" s="24">
        <v>43308.958333333336</v>
      </c>
      <c r="D253" s="25">
        <v>1.824982712</v>
      </c>
      <c r="E253" s="26">
        <f t="shared" si="32"/>
        <v>1.824982712</v>
      </c>
      <c r="F253" s="27">
        <v>1.831472E-3</v>
      </c>
      <c r="G253" s="98">
        <f t="shared" si="35"/>
        <v>0</v>
      </c>
      <c r="H253" s="98">
        <f t="shared" si="38"/>
        <v>0.56828985049999869</v>
      </c>
      <c r="I253" s="93">
        <f>MAX(0,MIN(O253,H252*2,(D253-Sheet1!$C$3)))</f>
        <v>0</v>
      </c>
      <c r="J253" s="9">
        <f>IF(F253&gt;VLOOKUP($B$16,$B$2:$F$9,5,FALSE),MAX(N253,-F253*(VLOOKUP(B253,$B$2:$E$9,4,FALSE)),-2*(6-H252),-(VLOOKUP(B253,$B$2:$G$9,6,FALSE)-D253)),0)</f>
        <v>0</v>
      </c>
      <c r="K253" s="42">
        <f t="shared" si="33"/>
        <v>0</v>
      </c>
      <c r="L253" s="28"/>
      <c r="M253" s="28"/>
      <c r="N253" s="23">
        <v>0</v>
      </c>
      <c r="O253" s="23">
        <v>0</v>
      </c>
      <c r="P253" s="2"/>
      <c r="Q253" s="2"/>
    </row>
    <row r="254" spans="1:28" s="110" customFormat="1" ht="15" thickBot="1" x14ac:dyDescent="0.35">
      <c r="A254" s="99">
        <f t="shared" si="37"/>
        <v>48</v>
      </c>
      <c r="B254" s="99">
        <v>5</v>
      </c>
      <c r="C254" s="100">
        <v>43308.979166666664</v>
      </c>
      <c r="D254" s="101">
        <v>1.709715176</v>
      </c>
      <c r="E254" s="102">
        <f t="shared" si="32"/>
        <v>1.709715176</v>
      </c>
      <c r="F254" s="103">
        <v>1.831472E-3</v>
      </c>
      <c r="G254" s="104">
        <f t="shared" si="35"/>
        <v>0</v>
      </c>
      <c r="H254" s="104">
        <f t="shared" si="38"/>
        <v>0.56828985049999869</v>
      </c>
      <c r="I254" s="105">
        <f>MAX(0,MIN(O254,H253*2,(D254-Sheet1!$C$3)))</f>
        <v>0</v>
      </c>
      <c r="J254" s="9">
        <f>IF(F254&gt;VLOOKUP($B$16,$B$2:$F$9,5,FALSE),MAX(N254,-F254*(VLOOKUP(B254,$B$2:$E$9,4,FALSE)),-2*(6-H253),-(VLOOKUP(B254,$B$2:$G$9,6,FALSE)-D254)),0)</f>
        <v>0</v>
      </c>
      <c r="K254" s="106">
        <f t="shared" si="33"/>
        <v>0</v>
      </c>
      <c r="L254" s="107"/>
      <c r="M254" s="107"/>
      <c r="N254" s="108">
        <v>0</v>
      </c>
      <c r="O254" s="108">
        <v>0</v>
      </c>
      <c r="P254" s="109"/>
      <c r="Q254" s="109"/>
    </row>
    <row r="255" spans="1:28" s="122" customFormat="1" x14ac:dyDescent="0.3">
      <c r="A255" s="113">
        <v>1</v>
      </c>
      <c r="B255" s="113">
        <v>6</v>
      </c>
      <c r="C255" s="114">
        <v>43309</v>
      </c>
      <c r="D255" s="115">
        <v>1.755981507</v>
      </c>
      <c r="E255" s="116">
        <f t="shared" si="32"/>
        <v>1.755981507</v>
      </c>
      <c r="F255" s="117">
        <v>1.831472E-3</v>
      </c>
      <c r="G255" s="118">
        <f t="shared" si="35"/>
        <v>0</v>
      </c>
      <c r="H255" s="118">
        <v>0</v>
      </c>
      <c r="I255" s="119">
        <v>0</v>
      </c>
      <c r="J255" s="9">
        <f>IF(F255&gt;VLOOKUP($B$16,$B$2:$F$9,5,FALSE),MAX(N255,-F255*(VLOOKUP(B255,$B$2:$E$9,4,FALSE)),-2*(6-H254),-(VLOOKUP(B255,$B$2:$G$9,6,FALSE)-D255)),0)</f>
        <v>0</v>
      </c>
      <c r="K255" s="119">
        <f t="shared" si="33"/>
        <v>0</v>
      </c>
      <c r="L255" s="119">
        <f t="shared" ref="L255:L285" si="39">MIN(J255,F255)</f>
        <v>0</v>
      </c>
      <c r="M255" s="119">
        <f>J255-L255</f>
        <v>0</v>
      </c>
      <c r="N255" s="120">
        <v>-2.5</v>
      </c>
      <c r="O255" s="120">
        <v>0</v>
      </c>
      <c r="P255" s="121"/>
      <c r="Q255" s="121"/>
    </row>
    <row r="256" spans="1:28" x14ac:dyDescent="0.3">
      <c r="A256" s="35">
        <f>A255+1</f>
        <v>2</v>
      </c>
      <c r="B256" s="35">
        <v>6</v>
      </c>
      <c r="C256" s="14">
        <v>43309.020833333336</v>
      </c>
      <c r="D256" s="18">
        <v>1.664851359</v>
      </c>
      <c r="E256" s="19">
        <f t="shared" si="32"/>
        <v>1.664851359</v>
      </c>
      <c r="F256" s="16">
        <v>1.831472E-3</v>
      </c>
      <c r="G256" s="10">
        <f t="shared" si="35"/>
        <v>0</v>
      </c>
      <c r="H256" s="10">
        <f t="shared" si="38"/>
        <v>0</v>
      </c>
      <c r="I256" s="73">
        <f>MAX(0,MIN(O256,H255*2,(D256-Sheet1!$C$3)))</f>
        <v>0</v>
      </c>
      <c r="J256" s="9">
        <f>IF(F256&gt;VLOOKUP($B$16,$B$2:$F$9,5,FALSE),MAX(N256,-F256*(VLOOKUP(B256,$B$2:$E$9,4,FALSE)),-2*(6-H255),-(VLOOKUP(B256,$B$2:$G$9,6,FALSE)-D256)),0)</f>
        <v>0</v>
      </c>
      <c r="K256" s="9">
        <f t="shared" si="33"/>
        <v>0</v>
      </c>
      <c r="L256" s="9">
        <f t="shared" si="39"/>
        <v>0</v>
      </c>
      <c r="M256" s="9">
        <f t="shared" ref="M256:M285" si="40">J256-L256</f>
        <v>0</v>
      </c>
      <c r="N256" s="8">
        <v>-2.5</v>
      </c>
      <c r="O256" s="8">
        <v>0</v>
      </c>
      <c r="P256" s="2"/>
      <c r="Q256" s="2"/>
    </row>
    <row r="257" spans="1:17" x14ac:dyDescent="0.3">
      <c r="A257" s="35">
        <f t="shared" ref="A257:A302" si="41">A256+1</f>
        <v>3</v>
      </c>
      <c r="B257" s="35">
        <v>6</v>
      </c>
      <c r="C257" s="14">
        <v>43309.041666666664</v>
      </c>
      <c r="D257" s="18">
        <v>1.5970955069999999</v>
      </c>
      <c r="E257" s="19">
        <f t="shared" si="32"/>
        <v>1.5970955069999999</v>
      </c>
      <c r="F257" s="16">
        <v>1.831472E-3</v>
      </c>
      <c r="G257" s="10">
        <f t="shared" si="35"/>
        <v>0</v>
      </c>
      <c r="H257" s="10">
        <f t="shared" si="38"/>
        <v>0</v>
      </c>
      <c r="I257" s="73">
        <f>MAX(0,MIN(O257,H256*2,(D257-Sheet1!$C$3)))</f>
        <v>0</v>
      </c>
      <c r="J257" s="9">
        <f>IF(F257&gt;VLOOKUP($B$16,$B$2:$F$9,5,FALSE),MAX(N257,-F257*(VLOOKUP(B257,$B$2:$E$9,4,FALSE)),-2*(6-H256),-(VLOOKUP(B257,$B$2:$G$9,6,FALSE)-D257)),0)</f>
        <v>0</v>
      </c>
      <c r="K257" s="9">
        <f t="shared" si="33"/>
        <v>0</v>
      </c>
      <c r="L257" s="9">
        <f t="shared" si="39"/>
        <v>0</v>
      </c>
      <c r="M257" s="9">
        <f t="shared" si="40"/>
        <v>0</v>
      </c>
      <c r="N257" s="8">
        <v>-2.5</v>
      </c>
      <c r="O257" s="8">
        <v>0</v>
      </c>
      <c r="P257" s="2"/>
      <c r="Q257" s="2"/>
    </row>
    <row r="258" spans="1:17" x14ac:dyDescent="0.3">
      <c r="A258" s="35">
        <f t="shared" si="41"/>
        <v>4</v>
      </c>
      <c r="B258" s="35">
        <v>6</v>
      </c>
      <c r="C258" s="14">
        <v>43309.0625</v>
      </c>
      <c r="D258" s="18">
        <v>1.5354887589999999</v>
      </c>
      <c r="E258" s="19">
        <f t="shared" si="32"/>
        <v>1.5354887589999999</v>
      </c>
      <c r="F258" s="16">
        <v>1.831472E-3</v>
      </c>
      <c r="G258" s="10">
        <f t="shared" si="35"/>
        <v>0</v>
      </c>
      <c r="H258" s="10">
        <f t="shared" si="38"/>
        <v>0</v>
      </c>
      <c r="I258" s="73">
        <f>MAX(0,MIN(O258,H257*2,(D258-Sheet1!$C$3)))</f>
        <v>0</v>
      </c>
      <c r="J258" s="9">
        <f>IF(F258&gt;VLOOKUP($B$16,$B$2:$F$9,5,FALSE),MAX(N258,-F258*(VLOOKUP(B258,$B$2:$E$9,4,FALSE)),-2*(6-H257),-(VLOOKUP(B258,$B$2:$G$9,6,FALSE)-D258)),0)</f>
        <v>0</v>
      </c>
      <c r="K258" s="9">
        <f t="shared" si="33"/>
        <v>0</v>
      </c>
      <c r="L258" s="9">
        <f t="shared" si="39"/>
        <v>0</v>
      </c>
      <c r="M258" s="9">
        <f t="shared" si="40"/>
        <v>0</v>
      </c>
      <c r="N258" s="8">
        <v>-2.5</v>
      </c>
      <c r="O258" s="8">
        <v>0</v>
      </c>
      <c r="P258" s="2"/>
      <c r="Q258" s="2"/>
    </row>
    <row r="259" spans="1:17" x14ac:dyDescent="0.3">
      <c r="A259" s="35">
        <f t="shared" si="41"/>
        <v>5</v>
      </c>
      <c r="B259" s="35">
        <v>6</v>
      </c>
      <c r="C259" s="14">
        <v>43309.083333333336</v>
      </c>
      <c r="D259" s="18">
        <v>1.513540852</v>
      </c>
      <c r="E259" s="19">
        <f t="shared" si="32"/>
        <v>1.513540852</v>
      </c>
      <c r="F259" s="16">
        <v>1.831472E-3</v>
      </c>
      <c r="G259" s="10">
        <f t="shared" si="35"/>
        <v>0</v>
      </c>
      <c r="H259" s="10">
        <f t="shared" si="38"/>
        <v>0</v>
      </c>
      <c r="I259" s="73">
        <f>MAX(0,MIN(O259,H258*2,(D259-Sheet1!$C$3)))</f>
        <v>0</v>
      </c>
      <c r="J259" s="9">
        <f>IF(F259&gt;VLOOKUP($B$16,$B$2:$F$9,5,FALSE),MAX(N259,-F259*(VLOOKUP(B259,$B$2:$E$9,4,FALSE)),-2*(6-H258),-(VLOOKUP(B259,$B$2:$G$9,6,FALSE)-D259)),0)</f>
        <v>0</v>
      </c>
      <c r="K259" s="9">
        <f t="shared" si="33"/>
        <v>0</v>
      </c>
      <c r="L259" s="9">
        <f t="shared" si="39"/>
        <v>0</v>
      </c>
      <c r="M259" s="9">
        <f t="shared" si="40"/>
        <v>0</v>
      </c>
      <c r="N259" s="8">
        <v>-2.5</v>
      </c>
      <c r="O259" s="8">
        <v>0</v>
      </c>
      <c r="P259" s="2"/>
      <c r="Q259" s="2"/>
    </row>
    <row r="260" spans="1:17" x14ac:dyDescent="0.3">
      <c r="A260" s="35">
        <f t="shared" si="41"/>
        <v>6</v>
      </c>
      <c r="B260" s="35">
        <v>6</v>
      </c>
      <c r="C260" s="14">
        <v>43309.104166666664</v>
      </c>
      <c r="D260" s="18">
        <v>1.4745957139999999</v>
      </c>
      <c r="E260" s="19">
        <f t="shared" si="32"/>
        <v>1.4745957139999999</v>
      </c>
      <c r="F260" s="16">
        <v>1.831472E-3</v>
      </c>
      <c r="G260" s="10">
        <f t="shared" si="35"/>
        <v>0</v>
      </c>
      <c r="H260" s="10">
        <f t="shared" si="38"/>
        <v>0</v>
      </c>
      <c r="I260" s="73">
        <f>MAX(0,MIN(O260,H259*2,(D260-Sheet1!$C$3)))</f>
        <v>0</v>
      </c>
      <c r="J260" s="9">
        <f>IF(F260&gt;VLOOKUP($B$16,$B$2:$F$9,5,FALSE),MAX(N260,-F260*(VLOOKUP(B260,$B$2:$E$9,4,FALSE)),-2*(6-H259),-(VLOOKUP(B260,$B$2:$G$9,6,FALSE)-D260)),0)</f>
        <v>0</v>
      </c>
      <c r="K260" s="9">
        <f t="shared" si="33"/>
        <v>0</v>
      </c>
      <c r="L260" s="9">
        <f t="shared" si="39"/>
        <v>0</v>
      </c>
      <c r="M260" s="9">
        <f t="shared" si="40"/>
        <v>0</v>
      </c>
      <c r="N260" s="8">
        <v>-2.5</v>
      </c>
      <c r="O260" s="8">
        <v>0</v>
      </c>
      <c r="P260" s="2"/>
      <c r="Q260" s="2"/>
    </row>
    <row r="261" spans="1:17" x14ac:dyDescent="0.3">
      <c r="A261" s="35">
        <f t="shared" si="41"/>
        <v>7</v>
      </c>
      <c r="B261" s="35">
        <v>6</v>
      </c>
      <c r="C261" s="14">
        <v>43309.125</v>
      </c>
      <c r="D261" s="18">
        <v>1.493196612</v>
      </c>
      <c r="E261" s="19">
        <f t="shared" si="32"/>
        <v>1.493196612</v>
      </c>
      <c r="F261" s="16">
        <v>1.831472E-3</v>
      </c>
      <c r="G261" s="10">
        <f t="shared" si="35"/>
        <v>0</v>
      </c>
      <c r="H261" s="10">
        <f t="shared" si="38"/>
        <v>0</v>
      </c>
      <c r="I261" s="73">
        <f>MAX(0,MIN(O261,H260*2,(D261-Sheet1!$C$3)))</f>
        <v>0</v>
      </c>
      <c r="J261" s="9">
        <f>IF(F261&gt;VLOOKUP($B$16,$B$2:$F$9,5,FALSE),MAX(N261,-F261*(VLOOKUP(B261,$B$2:$E$9,4,FALSE)),-2*(6-H260),-(VLOOKUP(B261,$B$2:$G$9,6,FALSE)-D261)),0)</f>
        <v>0</v>
      </c>
      <c r="K261" s="9">
        <f t="shared" si="33"/>
        <v>0</v>
      </c>
      <c r="L261" s="9">
        <f t="shared" si="39"/>
        <v>0</v>
      </c>
      <c r="M261" s="9">
        <f t="shared" si="40"/>
        <v>0</v>
      </c>
      <c r="N261" s="8">
        <v>-2.5</v>
      </c>
      <c r="O261" s="8">
        <v>0</v>
      </c>
      <c r="P261" s="2"/>
      <c r="Q261" s="2"/>
    </row>
    <row r="262" spans="1:17" x14ac:dyDescent="0.3">
      <c r="A262" s="35">
        <f t="shared" si="41"/>
        <v>8</v>
      </c>
      <c r="B262" s="35">
        <v>6</v>
      </c>
      <c r="C262" s="14">
        <v>43309.145833333336</v>
      </c>
      <c r="D262" s="18">
        <v>1.4608111770000001</v>
      </c>
      <c r="E262" s="19">
        <f t="shared" si="32"/>
        <v>1.4608111770000001</v>
      </c>
      <c r="F262" s="16">
        <v>1.831472E-3</v>
      </c>
      <c r="G262" s="10">
        <f t="shared" si="35"/>
        <v>0</v>
      </c>
      <c r="H262" s="10">
        <f t="shared" si="38"/>
        <v>0</v>
      </c>
      <c r="I262" s="73">
        <f>MAX(0,MIN(O262,H261*2,(D262-Sheet1!$C$3)))</f>
        <v>0</v>
      </c>
      <c r="J262" s="9">
        <f>IF(F262&gt;VLOOKUP($B$16,$B$2:$F$9,5,FALSE),MAX(N262,-F262*(VLOOKUP(B262,$B$2:$E$9,4,FALSE)),-2*(6-H261),-(VLOOKUP(B262,$B$2:$G$9,6,FALSE)-D262)),0)</f>
        <v>0</v>
      </c>
      <c r="K262" s="9">
        <f t="shared" si="33"/>
        <v>0</v>
      </c>
      <c r="L262" s="9">
        <f t="shared" si="39"/>
        <v>0</v>
      </c>
      <c r="M262" s="9">
        <f t="shared" si="40"/>
        <v>0</v>
      </c>
      <c r="N262" s="8">
        <v>-2.5</v>
      </c>
      <c r="O262" s="8">
        <v>0</v>
      </c>
      <c r="P262" s="2"/>
      <c r="Q262" s="2"/>
    </row>
    <row r="263" spans="1:17" x14ac:dyDescent="0.3">
      <c r="A263" s="35">
        <f t="shared" si="41"/>
        <v>9</v>
      </c>
      <c r="B263" s="35">
        <v>6</v>
      </c>
      <c r="C263" s="14">
        <v>43309.166666666664</v>
      </c>
      <c r="D263" s="18">
        <v>1.488609539</v>
      </c>
      <c r="E263" s="19">
        <f t="shared" si="32"/>
        <v>1.488609539</v>
      </c>
      <c r="F263" s="16">
        <v>1.831472E-3</v>
      </c>
      <c r="G263" s="10">
        <f t="shared" si="35"/>
        <v>0</v>
      </c>
      <c r="H263" s="10">
        <f t="shared" si="38"/>
        <v>0</v>
      </c>
      <c r="I263" s="73">
        <f>MAX(0,MIN(O263,H262*2,(D263-Sheet1!$C$3)))</f>
        <v>0</v>
      </c>
      <c r="J263" s="9">
        <f>IF(F263&gt;VLOOKUP($B$16,$B$2:$F$9,5,FALSE),MAX(N263,-F263*(VLOOKUP(B263,$B$2:$E$9,4,FALSE)),-2*(6-H262),-(VLOOKUP(B263,$B$2:$G$9,6,FALSE)-D263)),0)</f>
        <v>0</v>
      </c>
      <c r="K263" s="9">
        <f t="shared" si="33"/>
        <v>0</v>
      </c>
      <c r="L263" s="9">
        <f t="shared" si="39"/>
        <v>0</v>
      </c>
      <c r="M263" s="9">
        <f t="shared" si="40"/>
        <v>0</v>
      </c>
      <c r="N263" s="8">
        <v>-2.5</v>
      </c>
      <c r="O263" s="8">
        <v>0</v>
      </c>
      <c r="P263" s="2"/>
      <c r="Q263" s="2"/>
    </row>
    <row r="264" spans="1:17" x14ac:dyDescent="0.3">
      <c r="A264" s="35">
        <f t="shared" si="41"/>
        <v>10</v>
      </c>
      <c r="B264" s="35">
        <v>6</v>
      </c>
      <c r="C264" s="14">
        <v>43309.1875</v>
      </c>
      <c r="D264" s="18">
        <v>1.5565664480000001</v>
      </c>
      <c r="E264" s="19">
        <f t="shared" si="32"/>
        <v>1.5565664480000001</v>
      </c>
      <c r="F264" s="16">
        <v>1.831472E-3</v>
      </c>
      <c r="G264" s="10">
        <f t="shared" si="35"/>
        <v>0</v>
      </c>
      <c r="H264" s="10">
        <f t="shared" si="38"/>
        <v>0</v>
      </c>
      <c r="I264" s="73">
        <f>MAX(0,MIN(O264,H263*2,(D264-Sheet1!$C$3)))</f>
        <v>0</v>
      </c>
      <c r="J264" s="9">
        <f>IF(F264&gt;VLOOKUP($B$16,$B$2:$F$9,5,FALSE),MAX(N264,-F264*(VLOOKUP(B264,$B$2:$E$9,4,FALSE)),-2*(6-H263),-(VLOOKUP(B264,$B$2:$G$9,6,FALSE)-D264)),0)</f>
        <v>0</v>
      </c>
      <c r="K264" s="9">
        <f t="shared" si="33"/>
        <v>0</v>
      </c>
      <c r="L264" s="9">
        <f t="shared" si="39"/>
        <v>0</v>
      </c>
      <c r="M264" s="9">
        <f t="shared" si="40"/>
        <v>0</v>
      </c>
      <c r="N264" s="8">
        <v>-2.5</v>
      </c>
      <c r="O264" s="8">
        <v>0</v>
      </c>
      <c r="P264" s="2"/>
      <c r="Q264" s="2"/>
    </row>
    <row r="265" spans="1:17" x14ac:dyDescent="0.3">
      <c r="A265" s="35">
        <f t="shared" si="41"/>
        <v>11</v>
      </c>
      <c r="B265" s="35">
        <v>6</v>
      </c>
      <c r="C265" s="14">
        <v>43309.208333333336</v>
      </c>
      <c r="D265" s="18">
        <v>1.6934638740000001</v>
      </c>
      <c r="E265" s="19">
        <f t="shared" si="32"/>
        <v>1.6934638740000001</v>
      </c>
      <c r="F265" s="16">
        <v>0.201490164</v>
      </c>
      <c r="G265" s="10">
        <f t="shared" si="35"/>
        <v>0</v>
      </c>
      <c r="H265" s="10">
        <f t="shared" si="38"/>
        <v>0</v>
      </c>
      <c r="I265" s="73">
        <f>MAX(0,MIN(O265,H264*2,(D265-Sheet1!$C$3)))</f>
        <v>0</v>
      </c>
      <c r="J265" s="9">
        <f>IF(F265&gt;VLOOKUP($B$16,$B$2:$F$9,5,FALSE),MAX(N265,-F265*(VLOOKUP(B265,$B$2:$E$9,4,FALSE)),-2*(6-H264),-(VLOOKUP(B265,$B$2:$G$9,6,FALSE)-D265)),0)</f>
        <v>0</v>
      </c>
      <c r="K265" s="9">
        <f t="shared" si="33"/>
        <v>0</v>
      </c>
      <c r="L265" s="9">
        <f t="shared" si="39"/>
        <v>0</v>
      </c>
      <c r="M265" s="9">
        <f t="shared" si="40"/>
        <v>0</v>
      </c>
      <c r="N265" s="8">
        <v>-2.5</v>
      </c>
      <c r="O265" s="8">
        <v>0</v>
      </c>
      <c r="P265" s="2"/>
      <c r="Q265" s="2"/>
    </row>
    <row r="266" spans="1:17" x14ac:dyDescent="0.3">
      <c r="A266" s="35">
        <f t="shared" si="41"/>
        <v>12</v>
      </c>
      <c r="B266" s="35">
        <v>6</v>
      </c>
      <c r="C266" s="14">
        <v>43309.229166666664</v>
      </c>
      <c r="D266" s="18">
        <v>1.8377911</v>
      </c>
      <c r="E266" s="19">
        <f t="shared" si="32"/>
        <v>1.8377911</v>
      </c>
      <c r="F266" s="16">
        <v>0.201490164</v>
      </c>
      <c r="G266" s="10">
        <f t="shared" si="35"/>
        <v>0</v>
      </c>
      <c r="H266" s="10">
        <f t="shared" si="38"/>
        <v>0</v>
      </c>
      <c r="I266" s="73">
        <f>MAX(0,MIN(O266,H265*2,(D266-Sheet1!$C$3)))</f>
        <v>0</v>
      </c>
      <c r="J266" s="9">
        <f>IF(F266&gt;VLOOKUP($B$16,$B$2:$F$9,5,FALSE),MAX(N266,-F266*(VLOOKUP(B266,$B$2:$E$9,4,FALSE)),-2*(6-H265),-(VLOOKUP(B266,$B$2:$G$9,6,FALSE)-D266)),0)</f>
        <v>0</v>
      </c>
      <c r="K266" s="9">
        <f t="shared" si="33"/>
        <v>0</v>
      </c>
      <c r="L266" s="9">
        <f t="shared" si="39"/>
        <v>0</v>
      </c>
      <c r="M266" s="9">
        <f t="shared" si="40"/>
        <v>0</v>
      </c>
      <c r="N266" s="8">
        <v>-2.5</v>
      </c>
      <c r="O266" s="8">
        <v>0</v>
      </c>
      <c r="P266" s="2"/>
      <c r="Q266" s="2"/>
    </row>
    <row r="267" spans="1:17" x14ac:dyDescent="0.3">
      <c r="A267" s="35">
        <f t="shared" si="41"/>
        <v>13</v>
      </c>
      <c r="B267" s="35">
        <v>6</v>
      </c>
      <c r="C267" s="14">
        <v>43309.25</v>
      </c>
      <c r="D267" s="18">
        <v>1.9566848779999999</v>
      </c>
      <c r="E267" s="19">
        <f t="shared" si="32"/>
        <v>1.9566848779999999</v>
      </c>
      <c r="F267" s="16">
        <v>0.33644121900000001</v>
      </c>
      <c r="G267" s="10">
        <f t="shared" si="35"/>
        <v>0</v>
      </c>
      <c r="H267" s="10">
        <f t="shared" si="38"/>
        <v>0</v>
      </c>
      <c r="I267" s="73">
        <f>MAX(0,MIN(O267,H266*2,(D267-Sheet1!$C$3)))</f>
        <v>0</v>
      </c>
      <c r="J267" s="9">
        <f>IF(F267&gt;VLOOKUP($B$16,$B$2:$F$9,5,FALSE),MAX(N267,-F267*(VLOOKUP(B267,$B$2:$E$9,4,FALSE)),-2*(6-H266),-(VLOOKUP(B267,$B$2:$G$9,6,FALSE)-D267)),0)</f>
        <v>0</v>
      </c>
      <c r="K267" s="9">
        <f t="shared" si="33"/>
        <v>0</v>
      </c>
      <c r="L267" s="9">
        <f t="shared" si="39"/>
        <v>0</v>
      </c>
      <c r="M267" s="9">
        <f t="shared" si="40"/>
        <v>0</v>
      </c>
      <c r="N267" s="8">
        <v>-2.5</v>
      </c>
      <c r="O267" s="8">
        <v>0</v>
      </c>
      <c r="P267" s="2"/>
      <c r="Q267" s="2"/>
    </row>
    <row r="268" spans="1:17" x14ac:dyDescent="0.3">
      <c r="A268" s="35">
        <f t="shared" si="41"/>
        <v>14</v>
      </c>
      <c r="B268" s="35">
        <v>6</v>
      </c>
      <c r="C268" s="14">
        <v>43309.270833333336</v>
      </c>
      <c r="D268" s="18">
        <v>2.2014541950000002</v>
      </c>
      <c r="E268" s="19">
        <f t="shared" si="32"/>
        <v>2.2014541950000002</v>
      </c>
      <c r="F268" s="16">
        <v>0.37732064700000001</v>
      </c>
      <c r="G268" s="10">
        <f t="shared" si="35"/>
        <v>0</v>
      </c>
      <c r="H268" s="10">
        <f t="shared" si="38"/>
        <v>0</v>
      </c>
      <c r="I268" s="73">
        <f>MAX(0,MIN(O268,H267*2,(D268-Sheet1!$C$3)))</f>
        <v>0</v>
      </c>
      <c r="J268" s="9">
        <f>IF(F268&gt;VLOOKUP($B$16,$B$2:$F$9,5,FALSE),MAX(N268,-F268*(VLOOKUP(B268,$B$2:$E$9,4,FALSE)),-2*(6-H267),-(VLOOKUP(B268,$B$2:$G$9,6,FALSE)-D268)),0)</f>
        <v>0</v>
      </c>
      <c r="K268" s="9">
        <f t="shared" si="33"/>
        <v>0</v>
      </c>
      <c r="L268" s="9">
        <f t="shared" si="39"/>
        <v>0</v>
      </c>
      <c r="M268" s="9">
        <f t="shared" si="40"/>
        <v>0</v>
      </c>
      <c r="N268" s="8">
        <v>-2.5</v>
      </c>
      <c r="O268" s="8">
        <v>0</v>
      </c>
      <c r="P268" s="2"/>
      <c r="Q268" s="2"/>
    </row>
    <row r="269" spans="1:17" x14ac:dyDescent="0.3">
      <c r="A269" s="35">
        <f t="shared" si="41"/>
        <v>15</v>
      </c>
      <c r="B269" s="35">
        <v>6</v>
      </c>
      <c r="C269" s="14">
        <v>43309.291666666664</v>
      </c>
      <c r="D269" s="18">
        <v>2.5278165179999998</v>
      </c>
      <c r="E269" s="19">
        <f t="shared" si="32"/>
        <v>2.5278165179999998</v>
      </c>
      <c r="F269" s="16">
        <v>0.65600782599999996</v>
      </c>
      <c r="G269" s="10">
        <f t="shared" si="35"/>
        <v>0</v>
      </c>
      <c r="H269" s="10">
        <f t="shared" si="38"/>
        <v>0</v>
      </c>
      <c r="I269" s="73">
        <f>MAX(0,MIN(O269,H268*2,(D269-Sheet1!$C$3)))</f>
        <v>0</v>
      </c>
      <c r="J269" s="9">
        <f>IF(F269&gt;VLOOKUP($B$16,$B$2:$F$9,5,FALSE),MAX(N269,-F269*(VLOOKUP(B269,$B$2:$E$9,4,FALSE)),-2*(6-H268),-(VLOOKUP(B269,$B$2:$G$9,6,FALSE)-D269)),0)</f>
        <v>0</v>
      </c>
      <c r="K269" s="9">
        <f t="shared" si="33"/>
        <v>0</v>
      </c>
      <c r="L269" s="9">
        <f t="shared" si="39"/>
        <v>0</v>
      </c>
      <c r="M269" s="9">
        <f t="shared" si="40"/>
        <v>0</v>
      </c>
      <c r="N269" s="8">
        <v>-2.5</v>
      </c>
      <c r="O269" s="8">
        <v>0</v>
      </c>
      <c r="P269" s="2"/>
      <c r="Q269" s="2"/>
    </row>
    <row r="270" spans="1:17" x14ac:dyDescent="0.3">
      <c r="A270" s="35">
        <f t="shared" si="41"/>
        <v>16</v>
      </c>
      <c r="B270" s="35">
        <v>6</v>
      </c>
      <c r="C270" s="14">
        <v>43309.3125</v>
      </c>
      <c r="D270" s="18">
        <v>2.6138295760000001</v>
      </c>
      <c r="E270" s="19">
        <f t="shared" si="32"/>
        <v>2.6138295760000001</v>
      </c>
      <c r="F270" s="16">
        <v>0.87058448799999999</v>
      </c>
      <c r="G270" s="10">
        <f t="shared" si="35"/>
        <v>0</v>
      </c>
      <c r="H270" s="10">
        <f t="shared" si="38"/>
        <v>0</v>
      </c>
      <c r="I270" s="73">
        <f>MAX(0,MIN(O270,H269*2,(D270-Sheet1!$C$3)))</f>
        <v>0</v>
      </c>
      <c r="J270" s="9">
        <f>IF(F270&gt;VLOOKUP($B$16,$B$2:$F$9,5,FALSE),MAX(N270,-F270*(VLOOKUP(B270,$B$2:$E$9,4,FALSE)),-2*(6-H269),-(VLOOKUP(B270,$B$2:$G$9,6,FALSE)-D270)),0)</f>
        <v>0</v>
      </c>
      <c r="K270" s="9">
        <f t="shared" si="33"/>
        <v>0</v>
      </c>
      <c r="L270" s="9">
        <f t="shared" si="39"/>
        <v>0</v>
      </c>
      <c r="M270" s="9">
        <f t="shared" si="40"/>
        <v>0</v>
      </c>
      <c r="N270" s="8">
        <v>-2.5</v>
      </c>
      <c r="O270" s="8">
        <v>0</v>
      </c>
      <c r="P270" s="2"/>
      <c r="Q270" s="2"/>
    </row>
    <row r="271" spans="1:17" x14ac:dyDescent="0.3">
      <c r="A271" s="35">
        <f t="shared" si="41"/>
        <v>17</v>
      </c>
      <c r="B271" s="35">
        <v>6</v>
      </c>
      <c r="C271" s="14">
        <v>43309.333333333336</v>
      </c>
      <c r="D271" s="18">
        <v>2.8746005139999999</v>
      </c>
      <c r="E271" s="19">
        <f t="shared" ref="E271:E334" si="42">D271-J271-I271</f>
        <v>3.6868263784878126</v>
      </c>
      <c r="F271" s="16">
        <v>1.257747889</v>
      </c>
      <c r="G271" s="10">
        <f t="shared" si="35"/>
        <v>0.81222586448781253</v>
      </c>
      <c r="H271" s="10">
        <f t="shared" si="38"/>
        <v>0.40611293224390627</v>
      </c>
      <c r="I271" s="73">
        <f>MAX(0,MIN(O271,H270*2,(D271-Sheet1!$C$3)))</f>
        <v>0</v>
      </c>
      <c r="J271" s="9">
        <f>IF(F271&gt;VLOOKUP($B$16,$B$2:$F$9,5,FALSE),MAX(N271,-F271*(VLOOKUP(B271,$B$2:$E$9,4,FALSE)),-2*(6-H270),-(VLOOKUP(B271,$B$2:$G$9,6,FALSE)-D271)),0)</f>
        <v>-0.81222586448781253</v>
      </c>
      <c r="K271" s="9">
        <f t="shared" ref="K271:K332" si="43">IF(A271&lt;&gt;31,0,-2*((6-H270+((J271*0.5)))))</f>
        <v>0</v>
      </c>
      <c r="L271" s="9">
        <f t="shared" si="39"/>
        <v>-0.81222586448781253</v>
      </c>
      <c r="M271" s="9">
        <f t="shared" si="40"/>
        <v>0</v>
      </c>
      <c r="N271" s="8">
        <v>-2.5</v>
      </c>
      <c r="O271" s="8">
        <v>0</v>
      </c>
      <c r="P271" s="2"/>
      <c r="Q271" s="2"/>
    </row>
    <row r="272" spans="1:17" x14ac:dyDescent="0.3">
      <c r="A272" s="35">
        <f t="shared" si="41"/>
        <v>18</v>
      </c>
      <c r="B272" s="35">
        <v>6</v>
      </c>
      <c r="C272" s="14">
        <v>43309.354166666664</v>
      </c>
      <c r="D272" s="18">
        <v>2.8489268729999999</v>
      </c>
      <c r="E272" s="19">
        <f t="shared" si="42"/>
        <v>3.7541819803896397</v>
      </c>
      <c r="F272" s="16">
        <v>1.4018055199999999</v>
      </c>
      <c r="G272" s="10">
        <f t="shared" ref="G272:G335" si="44">-SUM(I272,J272,K272)</f>
        <v>0.90525510738963955</v>
      </c>
      <c r="H272" s="10">
        <f t="shared" si="38"/>
        <v>0.85874048593872598</v>
      </c>
      <c r="I272" s="73">
        <f>MAX(0,MIN(O272,H271*2,(D272-Sheet1!$C$3)))</f>
        <v>0</v>
      </c>
      <c r="J272" s="9">
        <f>IF(F272&gt;VLOOKUP($B$16,$B$2:$F$9,5,FALSE),MAX(N272,-F272*(VLOOKUP(B272,$B$2:$E$9,4,FALSE)),-2*(6-H271),-(VLOOKUP(B272,$B$2:$G$9,6,FALSE)-D272)),0)</f>
        <v>-0.90525510738963955</v>
      </c>
      <c r="K272" s="9">
        <f t="shared" si="43"/>
        <v>0</v>
      </c>
      <c r="L272" s="9">
        <f t="shared" si="39"/>
        <v>-0.90525510738963955</v>
      </c>
      <c r="M272" s="9">
        <f t="shared" si="40"/>
        <v>0</v>
      </c>
      <c r="N272" s="8">
        <v>-2.5</v>
      </c>
      <c r="O272" s="8">
        <v>0</v>
      </c>
      <c r="P272" s="2"/>
      <c r="Q272" s="2"/>
    </row>
    <row r="273" spans="1:28" x14ac:dyDescent="0.3">
      <c r="A273" s="35">
        <f t="shared" si="41"/>
        <v>19</v>
      </c>
      <c r="B273" s="35">
        <v>6</v>
      </c>
      <c r="C273" s="14">
        <v>43309.375</v>
      </c>
      <c r="D273" s="18">
        <v>2.814629638</v>
      </c>
      <c r="E273" s="19">
        <f t="shared" si="42"/>
        <v>3.7031610936470325</v>
      </c>
      <c r="F273" s="16">
        <v>1.375908613</v>
      </c>
      <c r="G273" s="10">
        <f t="shared" si="44"/>
        <v>0.8885314556470324</v>
      </c>
      <c r="H273" s="10">
        <f t="shared" ref="H273:H336" si="45">H272+((G273*0.5))</f>
        <v>1.3030062137622422</v>
      </c>
      <c r="I273" s="73">
        <f>MAX(0,MIN(O273,H272*2,(D273-Sheet1!$C$3)))</f>
        <v>0</v>
      </c>
      <c r="J273" s="9">
        <f>IF(F273&gt;VLOOKUP($B$16,$B$2:$F$9,5,FALSE),MAX(N273,-F273*(VLOOKUP(B273,$B$2:$E$9,4,FALSE)),-2*(6-H272),-(VLOOKUP(B273,$B$2:$G$9,6,FALSE)-D273)),0)</f>
        <v>-0.8885314556470324</v>
      </c>
      <c r="K273" s="9">
        <f t="shared" si="43"/>
        <v>0</v>
      </c>
      <c r="L273" s="9">
        <f t="shared" si="39"/>
        <v>-0.8885314556470324</v>
      </c>
      <c r="M273" s="9">
        <f t="shared" si="40"/>
        <v>0</v>
      </c>
      <c r="N273" s="8">
        <v>-2.5</v>
      </c>
      <c r="O273" s="8">
        <v>0</v>
      </c>
      <c r="P273" s="2"/>
      <c r="Q273" s="2"/>
    </row>
    <row r="274" spans="1:28" x14ac:dyDescent="0.3">
      <c r="A274" s="35">
        <f t="shared" si="41"/>
        <v>20</v>
      </c>
      <c r="B274" s="35">
        <v>6</v>
      </c>
      <c r="C274" s="14">
        <v>43309.395833333336</v>
      </c>
      <c r="D274" s="18">
        <v>2.7337739590000001</v>
      </c>
      <c r="E274" s="19">
        <f t="shared" si="42"/>
        <v>3.7108004522460436</v>
      </c>
      <c r="F274" s="16">
        <v>1.5129449370000001</v>
      </c>
      <c r="G274" s="10">
        <f t="shared" si="44"/>
        <v>0.97702649324604363</v>
      </c>
      <c r="H274" s="10">
        <f t="shared" si="45"/>
        <v>1.791519460385264</v>
      </c>
      <c r="I274" s="73">
        <f>MAX(0,MIN(O274,H273*2,(D274-Sheet1!$C$3)))</f>
        <v>0</v>
      </c>
      <c r="J274" s="9">
        <f>IF(F274&gt;VLOOKUP($B$16,$B$2:$F$9,5,FALSE),MAX(N274,-F274*(VLOOKUP(B274,$B$2:$E$9,4,FALSE)),-2*(6-H273),-(VLOOKUP(B274,$B$2:$G$9,6,FALSE)-D274)),0)</f>
        <v>-0.97702649324604363</v>
      </c>
      <c r="K274" s="9">
        <f t="shared" si="43"/>
        <v>0</v>
      </c>
      <c r="L274" s="9">
        <f t="shared" si="39"/>
        <v>-0.97702649324604363</v>
      </c>
      <c r="M274" s="9">
        <f t="shared" si="40"/>
        <v>0</v>
      </c>
      <c r="N274" s="8">
        <v>-2.5</v>
      </c>
      <c r="O274" s="8">
        <v>0</v>
      </c>
      <c r="P274" s="2"/>
      <c r="Q274" s="2"/>
    </row>
    <row r="275" spans="1:28" x14ac:dyDescent="0.3">
      <c r="A275" s="35">
        <f t="shared" si="41"/>
        <v>21</v>
      </c>
      <c r="B275" s="35">
        <v>6</v>
      </c>
      <c r="C275" s="14">
        <v>43309.416666666664</v>
      </c>
      <c r="D275" s="18">
        <v>2.7166951849999998</v>
      </c>
      <c r="E275" s="19">
        <f t="shared" si="42"/>
        <v>3.7278041657026786</v>
      </c>
      <c r="F275" s="16">
        <v>1.565722346</v>
      </c>
      <c r="G275" s="10">
        <f t="shared" si="44"/>
        <v>1.0111089807026787</v>
      </c>
      <c r="H275" s="10">
        <f t="shared" si="45"/>
        <v>2.2970739507366034</v>
      </c>
      <c r="I275" s="73">
        <f>MAX(0,MIN(O275,H274*2,(D275-Sheet1!$C$3)))</f>
        <v>0</v>
      </c>
      <c r="J275" s="9">
        <f>IF(F275&gt;VLOOKUP($B$16,$B$2:$F$9,5,FALSE),MAX(N275,-F275*(VLOOKUP(B275,$B$2:$E$9,4,FALSE)),-2*(6-H274),-(VLOOKUP(B275,$B$2:$G$9,6,FALSE)-D275)),0)</f>
        <v>-1.0111089807026787</v>
      </c>
      <c r="K275" s="9">
        <f t="shared" si="43"/>
        <v>0</v>
      </c>
      <c r="L275" s="9">
        <f t="shared" si="39"/>
        <v>-1.0111089807026787</v>
      </c>
      <c r="M275" s="9">
        <f t="shared" si="40"/>
        <v>0</v>
      </c>
      <c r="N275" s="8">
        <v>-2.5</v>
      </c>
      <c r="O275" s="8">
        <v>0</v>
      </c>
      <c r="P275" s="2"/>
      <c r="Q275" s="2"/>
    </row>
    <row r="276" spans="1:28" x14ac:dyDescent="0.3">
      <c r="A276" s="35">
        <f t="shared" si="41"/>
        <v>22</v>
      </c>
      <c r="B276" s="35">
        <v>6</v>
      </c>
      <c r="C276" s="14">
        <v>43309.4375</v>
      </c>
      <c r="D276" s="18">
        <v>2.6716914159999998</v>
      </c>
      <c r="E276" s="19">
        <f t="shared" si="42"/>
        <v>3.7054390167872278</v>
      </c>
      <c r="F276" s="16">
        <v>1.6007786989999999</v>
      </c>
      <c r="G276" s="10">
        <f t="shared" si="44"/>
        <v>1.0337476007872279</v>
      </c>
      <c r="H276" s="10">
        <f t="shared" si="45"/>
        <v>2.8139477511302173</v>
      </c>
      <c r="I276" s="73">
        <f>MAX(0,MIN(O276,H275*2,(D276-Sheet1!$C$3)))</f>
        <v>0</v>
      </c>
      <c r="J276" s="9">
        <f>IF(F276&gt;VLOOKUP($B$16,$B$2:$F$9,5,FALSE),MAX(N276,-F276*(VLOOKUP(B276,$B$2:$E$9,4,FALSE)),-2*(6-H275),-(VLOOKUP(B276,$B$2:$G$9,6,FALSE)-D276)),0)</f>
        <v>-1.0337476007872279</v>
      </c>
      <c r="K276" s="9">
        <f t="shared" si="43"/>
        <v>0</v>
      </c>
      <c r="L276" s="9">
        <f t="shared" si="39"/>
        <v>-1.0337476007872279</v>
      </c>
      <c r="M276" s="9">
        <f t="shared" si="40"/>
        <v>0</v>
      </c>
      <c r="N276" s="8">
        <v>-2.5</v>
      </c>
      <c r="O276" s="8">
        <v>0</v>
      </c>
      <c r="P276" s="2"/>
      <c r="Q276" s="2"/>
    </row>
    <row r="277" spans="1:28" x14ac:dyDescent="0.3">
      <c r="A277" s="35">
        <f t="shared" si="41"/>
        <v>23</v>
      </c>
      <c r="B277" s="35">
        <v>6</v>
      </c>
      <c r="C277" s="14">
        <v>43309.458333333336</v>
      </c>
      <c r="D277" s="18">
        <v>2.5625628909999998</v>
      </c>
      <c r="E277" s="19">
        <f t="shared" si="42"/>
        <v>3.9543692574999998</v>
      </c>
      <c r="F277" s="16">
        <v>2.431239605</v>
      </c>
      <c r="G277" s="10">
        <f t="shared" si="44"/>
        <v>1.3918063665</v>
      </c>
      <c r="H277" s="10">
        <f t="shared" si="45"/>
        <v>3.5098509343802173</v>
      </c>
      <c r="I277" s="73">
        <f>MAX(0,MIN(O277,H276*2,(D277-Sheet1!$C$3)))</f>
        <v>0</v>
      </c>
      <c r="J277" s="9">
        <f>IF(F277&gt;VLOOKUP($B$16,$B$2:$F$9,5,FALSE),MAX(N277,-F277*(VLOOKUP(B277,$B$2:$E$9,4,FALSE)),-2*(6-H276),-(VLOOKUP(B277,$B$2:$G$9,6,FALSE)-D277)),0)</f>
        <v>-1.3918063665</v>
      </c>
      <c r="K277" s="9">
        <f t="shared" si="43"/>
        <v>0</v>
      </c>
      <c r="L277" s="9">
        <f t="shared" si="39"/>
        <v>-1.3918063665</v>
      </c>
      <c r="M277" s="9">
        <f t="shared" si="40"/>
        <v>0</v>
      </c>
      <c r="N277" s="8">
        <v>-2.5</v>
      </c>
      <c r="O277" s="8">
        <v>0</v>
      </c>
      <c r="P277" s="2"/>
      <c r="Q277" s="2"/>
    </row>
    <row r="278" spans="1:28" x14ac:dyDescent="0.3">
      <c r="A278" s="35">
        <f t="shared" si="41"/>
        <v>24</v>
      </c>
      <c r="B278" s="35">
        <v>6</v>
      </c>
      <c r="C278" s="14">
        <v>43309.479166666664</v>
      </c>
      <c r="D278" s="18">
        <v>2.5261836799999999</v>
      </c>
      <c r="E278" s="19">
        <f t="shared" si="42"/>
        <v>3.9543692574999998</v>
      </c>
      <c r="F278" s="16">
        <v>2.431239605</v>
      </c>
      <c r="G278" s="10">
        <f t="shared" si="44"/>
        <v>1.4281855774999999</v>
      </c>
      <c r="H278" s="10">
        <f t="shared" si="45"/>
        <v>4.2239437231302173</v>
      </c>
      <c r="I278" s="73">
        <f>MAX(0,MIN(O278,H277*2,(D278-Sheet1!$C$3)))</f>
        <v>0</v>
      </c>
      <c r="J278" s="9">
        <f>IF(F278&gt;VLOOKUP($B$16,$B$2:$F$9,5,FALSE),MAX(N278,-F278*(VLOOKUP(B278,$B$2:$E$9,4,FALSE)),-2*(6-H277),-(VLOOKUP(B278,$B$2:$G$9,6,FALSE)-D278)),0)</f>
        <v>-1.4281855774999999</v>
      </c>
      <c r="K278" s="9">
        <f t="shared" si="43"/>
        <v>0</v>
      </c>
      <c r="L278" s="9">
        <f t="shared" si="39"/>
        <v>-1.4281855774999999</v>
      </c>
      <c r="M278" s="9">
        <f t="shared" si="40"/>
        <v>0</v>
      </c>
      <c r="N278" s="8">
        <v>-2.5</v>
      </c>
      <c r="O278" s="8">
        <v>0</v>
      </c>
      <c r="P278" s="2"/>
      <c r="Q278" s="2"/>
    </row>
    <row r="279" spans="1:28" x14ac:dyDescent="0.3">
      <c r="A279" s="35">
        <f t="shared" si="41"/>
        <v>25</v>
      </c>
      <c r="B279" s="35">
        <v>6</v>
      </c>
      <c r="C279" s="14">
        <v>43309.5</v>
      </c>
      <c r="D279" s="18">
        <v>2.4439773659999999</v>
      </c>
      <c r="E279" s="19">
        <f t="shared" si="42"/>
        <v>3.9543692574999998</v>
      </c>
      <c r="F279" s="16">
        <v>2.4522004129999999</v>
      </c>
      <c r="G279" s="10">
        <f t="shared" si="44"/>
        <v>1.5103918914999999</v>
      </c>
      <c r="H279" s="10">
        <f t="shared" si="45"/>
        <v>4.979139668880217</v>
      </c>
      <c r="I279" s="73">
        <f>MAX(0,MIN(O279,H278*2,(D279-Sheet1!$C$3)))</f>
        <v>0</v>
      </c>
      <c r="J279" s="9">
        <f>IF(F279&gt;VLOOKUP($B$16,$B$2:$F$9,5,FALSE),MAX(N279,-F279*(VLOOKUP(B279,$B$2:$E$9,4,FALSE)),-2*(6-H278),-(VLOOKUP(B279,$B$2:$G$9,6,FALSE)-D279)),0)</f>
        <v>-1.5103918914999999</v>
      </c>
      <c r="K279" s="9">
        <f t="shared" si="43"/>
        <v>0</v>
      </c>
      <c r="L279" s="9">
        <f t="shared" si="39"/>
        <v>-1.5103918914999999</v>
      </c>
      <c r="M279" s="9">
        <f t="shared" si="40"/>
        <v>0</v>
      </c>
      <c r="N279" s="8">
        <v>-2.5</v>
      </c>
      <c r="O279" s="8">
        <v>0</v>
      </c>
      <c r="P279" s="2"/>
      <c r="Q279" s="2"/>
    </row>
    <row r="280" spans="1:28" x14ac:dyDescent="0.3">
      <c r="A280" s="35">
        <f t="shared" si="41"/>
        <v>26</v>
      </c>
      <c r="B280" s="35">
        <v>6</v>
      </c>
      <c r="C280" s="14">
        <v>43309.520833333336</v>
      </c>
      <c r="D280" s="18">
        <v>2.433610077</v>
      </c>
      <c r="E280" s="19">
        <f t="shared" si="42"/>
        <v>3.9543692574999998</v>
      </c>
      <c r="F280" s="16">
        <v>2.4522004129999999</v>
      </c>
      <c r="G280" s="10">
        <f t="shared" si="44"/>
        <v>1.5207591804999998</v>
      </c>
      <c r="H280" s="10">
        <f t="shared" si="45"/>
        <v>5.7395192591302173</v>
      </c>
      <c r="I280" s="73">
        <f>MAX(0,MIN(O280,H279*2,(D280-Sheet1!$C$3)))</f>
        <v>0</v>
      </c>
      <c r="J280" s="9">
        <f>IF(F280&gt;VLOOKUP($B$16,$B$2:$F$9,5,FALSE),MAX(N280,-F280*(VLOOKUP(B280,$B$2:$E$9,4,FALSE)),-2*(6-H279),-(VLOOKUP(B280,$B$2:$G$9,6,FALSE)-D280)),0)</f>
        <v>-1.5207591804999998</v>
      </c>
      <c r="K280" s="9">
        <f t="shared" si="43"/>
        <v>0</v>
      </c>
      <c r="L280" s="9">
        <f t="shared" si="39"/>
        <v>-1.5207591804999998</v>
      </c>
      <c r="M280" s="9">
        <f t="shared" si="40"/>
        <v>0</v>
      </c>
      <c r="N280" s="8">
        <v>-2.5</v>
      </c>
      <c r="O280" s="8">
        <v>0</v>
      </c>
      <c r="P280" s="2"/>
      <c r="Q280" s="2"/>
    </row>
    <row r="281" spans="1:28" x14ac:dyDescent="0.3">
      <c r="A281" s="35">
        <f t="shared" si="41"/>
        <v>27</v>
      </c>
      <c r="B281" s="35">
        <v>6</v>
      </c>
      <c r="C281" s="14">
        <v>43309.541666666664</v>
      </c>
      <c r="D281" s="18">
        <v>2.3834644210000002</v>
      </c>
      <c r="E281" s="19">
        <f t="shared" si="42"/>
        <v>2.9044259027395656</v>
      </c>
      <c r="F281" s="16">
        <v>2.1455945970000001</v>
      </c>
      <c r="G281" s="10">
        <f t="shared" si="44"/>
        <v>0.52096148173956536</v>
      </c>
      <c r="H281" s="10">
        <f t="shared" si="45"/>
        <v>6</v>
      </c>
      <c r="I281" s="73">
        <f>MAX(0,MIN(O281,H280*2,(D281-Sheet1!$C$3)))</f>
        <v>0</v>
      </c>
      <c r="J281" s="9">
        <f>IF(F281&gt;VLOOKUP($B$16,$B$2:$F$9,5,FALSE),MAX(N281,-F281*(VLOOKUP(B281,$B$2:$E$9,4,FALSE)),-2*(6-H280),-(VLOOKUP(B281,$B$2:$G$9,6,FALSE)-D281)),0)</f>
        <v>-0.52096148173956536</v>
      </c>
      <c r="K281" s="9">
        <f t="shared" si="43"/>
        <v>0</v>
      </c>
      <c r="L281" s="9">
        <f t="shared" si="39"/>
        <v>-0.52096148173956536</v>
      </c>
      <c r="M281" s="9">
        <f t="shared" si="40"/>
        <v>0</v>
      </c>
      <c r="N281" s="8">
        <v>-2.5</v>
      </c>
      <c r="O281" s="8">
        <v>0</v>
      </c>
      <c r="P281" s="2"/>
      <c r="Q281" s="2"/>
    </row>
    <row r="282" spans="1:28" x14ac:dyDescent="0.3">
      <c r="A282" s="35">
        <f t="shared" si="41"/>
        <v>28</v>
      </c>
      <c r="B282" s="35">
        <v>6</v>
      </c>
      <c r="C282" s="14">
        <v>43309.5625</v>
      </c>
      <c r="D282" s="18">
        <v>2.393784648</v>
      </c>
      <c r="E282" s="19">
        <f t="shared" si="42"/>
        <v>2.393784648</v>
      </c>
      <c r="F282" s="16">
        <v>2.2075219150000001</v>
      </c>
      <c r="G282" s="10">
        <f t="shared" si="44"/>
        <v>0</v>
      </c>
      <c r="H282" s="10">
        <f t="shared" si="45"/>
        <v>6</v>
      </c>
      <c r="I282" s="73">
        <f>MAX(0,MIN(O282,H281*2,(D282-Sheet1!$C$3)))</f>
        <v>0</v>
      </c>
      <c r="J282" s="9">
        <f>IF(F282&gt;VLOOKUP($B$16,$B$2:$F$9,5,FALSE),MAX(N282,-F282*(VLOOKUP(B282,$B$2:$E$9,4,FALSE)),-2*(6-H281),-(VLOOKUP(B282,$B$2:$G$9,6,FALSE)-D282)),0)</f>
        <v>0</v>
      </c>
      <c r="K282" s="9">
        <f t="shared" si="43"/>
        <v>0</v>
      </c>
      <c r="L282" s="9">
        <f t="shared" si="39"/>
        <v>0</v>
      </c>
      <c r="M282" s="9">
        <f t="shared" si="40"/>
        <v>0</v>
      </c>
      <c r="N282" s="8">
        <v>-2.5</v>
      </c>
      <c r="O282" s="8">
        <v>0</v>
      </c>
      <c r="P282" s="2"/>
      <c r="Q282" s="2"/>
    </row>
    <row r="283" spans="1:28" x14ac:dyDescent="0.3">
      <c r="A283" s="35">
        <f t="shared" si="41"/>
        <v>29</v>
      </c>
      <c r="B283" s="35">
        <v>6</v>
      </c>
      <c r="C283" s="14">
        <v>43309.583333333336</v>
      </c>
      <c r="D283" s="18">
        <v>2.4341255959999999</v>
      </c>
      <c r="E283" s="19">
        <f t="shared" si="42"/>
        <v>2.4341255959999999</v>
      </c>
      <c r="F283" s="16">
        <v>1.8256363870000001</v>
      </c>
      <c r="G283" s="10">
        <f t="shared" si="44"/>
        <v>0</v>
      </c>
      <c r="H283" s="10">
        <f t="shared" si="45"/>
        <v>6</v>
      </c>
      <c r="I283" s="73">
        <f>MAX(0,MIN(O283,H282*2,(D283-Sheet1!$C$3)))</f>
        <v>0</v>
      </c>
      <c r="J283" s="9">
        <f>IF(F283&gt;VLOOKUP($B$16,$B$2:$F$9,5,FALSE),MAX(N283,-F283*(VLOOKUP(B283,$B$2:$E$9,4,FALSE)),-2*(6-H282),-(VLOOKUP(B283,$B$2:$G$9,6,FALSE)-D283)),0)</f>
        <v>0</v>
      </c>
      <c r="K283" s="9">
        <f t="shared" si="43"/>
        <v>0</v>
      </c>
      <c r="L283" s="9">
        <f t="shared" si="39"/>
        <v>0</v>
      </c>
      <c r="M283" s="9">
        <f t="shared" si="40"/>
        <v>0</v>
      </c>
      <c r="N283" s="8">
        <v>-2.5</v>
      </c>
      <c r="O283" s="8">
        <v>0</v>
      </c>
      <c r="P283" s="2"/>
      <c r="Q283" s="2"/>
    </row>
    <row r="284" spans="1:28" x14ac:dyDescent="0.3">
      <c r="A284" s="37">
        <f t="shared" si="41"/>
        <v>30</v>
      </c>
      <c r="B284" s="37">
        <v>6</v>
      </c>
      <c r="C284" s="24">
        <v>43309.604166666664</v>
      </c>
      <c r="D284" s="25">
        <v>2.5096927619999998</v>
      </c>
      <c r="E284" s="26">
        <f t="shared" si="42"/>
        <v>2.5096927619999998</v>
      </c>
      <c r="F284" s="27">
        <v>1.640534401</v>
      </c>
      <c r="G284" s="10">
        <f t="shared" si="44"/>
        <v>0</v>
      </c>
      <c r="H284" s="10">
        <f t="shared" si="45"/>
        <v>6</v>
      </c>
      <c r="I284" s="93">
        <f>MAX(0,MIN(O284,H283*2,(D284-Sheet1!$C$3)))</f>
        <v>0</v>
      </c>
      <c r="J284" s="9">
        <f>IF(F284&gt;VLOOKUP($B$16,$B$2:$F$9,5,FALSE),MAX(N284,-F284*(VLOOKUP(B284,$B$2:$E$9,4,FALSE)),-2*(6-H283),-(VLOOKUP(B284,$B$2:$G$9,6,FALSE)-D284)),0)</f>
        <v>0</v>
      </c>
      <c r="K284" s="9">
        <f t="shared" si="43"/>
        <v>0</v>
      </c>
      <c r="L284" s="42">
        <f t="shared" si="39"/>
        <v>0</v>
      </c>
      <c r="M284" s="42">
        <f t="shared" si="40"/>
        <v>0</v>
      </c>
      <c r="N284" s="23">
        <v>-2.5</v>
      </c>
      <c r="O284" s="23">
        <v>0</v>
      </c>
      <c r="P284" s="2"/>
      <c r="Q284" s="2"/>
    </row>
    <row r="285" spans="1:28" s="64" customFormat="1" ht="15" thickBot="1" x14ac:dyDescent="0.35">
      <c r="A285" s="54">
        <f t="shared" si="41"/>
        <v>31</v>
      </c>
      <c r="B285" s="54">
        <v>6</v>
      </c>
      <c r="C285" s="55">
        <v>43309.625</v>
      </c>
      <c r="D285" s="56">
        <v>2.7464518770000002</v>
      </c>
      <c r="E285" s="57">
        <f t="shared" si="42"/>
        <v>2.7464518770000002</v>
      </c>
      <c r="F285" s="58">
        <v>1.3573064800000001</v>
      </c>
      <c r="G285" s="111">
        <f t="shared" si="44"/>
        <v>0</v>
      </c>
      <c r="H285" s="111">
        <f t="shared" si="45"/>
        <v>6</v>
      </c>
      <c r="I285" s="74">
        <f>MAX(0,MIN(O285,H284*2,(D285-Sheet1!$C$3)))</f>
        <v>0</v>
      </c>
      <c r="J285" s="9">
        <f>IF(F285&gt;VLOOKUP($B$16,$B$2:$F$9,5,FALSE),MAX(N285,-F285*(VLOOKUP(B285,$B$2:$E$9,4,FALSE)),-2*(6-H284),-(VLOOKUP(B285,$B$2:$G$9,6,FALSE)-D285)),0)</f>
        <v>0</v>
      </c>
      <c r="K285" s="60">
        <f t="shared" si="43"/>
        <v>0</v>
      </c>
      <c r="L285" s="60">
        <f t="shared" si="39"/>
        <v>0</v>
      </c>
      <c r="M285" s="60">
        <f t="shared" si="40"/>
        <v>0</v>
      </c>
      <c r="N285" s="61">
        <v>-2.5</v>
      </c>
      <c r="O285" s="61">
        <v>0</v>
      </c>
      <c r="P285" s="62"/>
      <c r="Q285" s="62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 spans="1:28" x14ac:dyDescent="0.3">
      <c r="A286" s="44">
        <f>A285+1</f>
        <v>32</v>
      </c>
      <c r="B286" s="44">
        <v>6</v>
      </c>
      <c r="C286" s="45">
        <v>43309.645833333336</v>
      </c>
      <c r="D286" s="46">
        <v>2.9221604800000001</v>
      </c>
      <c r="E286" s="33">
        <f t="shared" si="42"/>
        <v>1.9066965960909088</v>
      </c>
      <c r="F286" s="47">
        <v>1.2502158880000001</v>
      </c>
      <c r="G286" s="97">
        <f t="shared" si="44"/>
        <v>-1.0154638839090913</v>
      </c>
      <c r="H286" s="97">
        <f t="shared" si="45"/>
        <v>5.4922680580454539</v>
      </c>
      <c r="I286" s="72">
        <f>MAX(0,MIN(O286,H285*2,(D286-Sheet1!$C$3)))</f>
        <v>1.0154638839090913</v>
      </c>
      <c r="J286" s="9">
        <f>IF(F286&gt;VLOOKUP($B$16,$B$2:$F$9,5,FALSE),MAX(N286,-F286*(VLOOKUP(B286,$B$2:$E$9,4,FALSE)),-2*(6-H285),-(VLOOKUP(B286,$B$2:$G$9,6,FALSE)-D286)),0)</f>
        <v>0</v>
      </c>
      <c r="K286" s="40">
        <f t="shared" si="43"/>
        <v>0</v>
      </c>
      <c r="L286" s="41"/>
      <c r="M286" s="41"/>
      <c r="N286" s="48">
        <v>0</v>
      </c>
      <c r="O286" s="48">
        <v>2.5</v>
      </c>
      <c r="P286" s="2"/>
      <c r="Q286" s="2"/>
    </row>
    <row r="287" spans="1:28" x14ac:dyDescent="0.3">
      <c r="A287" s="36">
        <f t="shared" si="41"/>
        <v>33</v>
      </c>
      <c r="B287" s="36">
        <v>6</v>
      </c>
      <c r="C287" s="15">
        <v>43309.666666666664</v>
      </c>
      <c r="D287" s="20">
        <v>3.0557768950000002</v>
      </c>
      <c r="E287" s="19">
        <f t="shared" si="42"/>
        <v>1.9066965960909088</v>
      </c>
      <c r="F287" s="17">
        <v>1.0279327629999999</v>
      </c>
      <c r="G287" s="10">
        <f t="shared" si="44"/>
        <v>-1.1490802989090914</v>
      </c>
      <c r="H287" s="10">
        <f t="shared" si="45"/>
        <v>4.9177279085909085</v>
      </c>
      <c r="I287" s="73">
        <f>MAX(0,MIN(O287,H286*2,(D287-Sheet1!$C$3)))</f>
        <v>1.1490802989090914</v>
      </c>
      <c r="J287" s="9">
        <f>IF(F287&gt;VLOOKUP($B$16,$B$2:$F$9,5,FALSE),MAX(N287,-F287*(VLOOKUP(B287,$B$2:$E$9,4,FALSE)),-2*(6-H286),-(VLOOKUP(B287,$B$2:$G$9,6,FALSE)-D287)),0)</f>
        <v>0</v>
      </c>
      <c r="K287" s="9">
        <f t="shared" si="43"/>
        <v>0</v>
      </c>
      <c r="L287" s="12"/>
      <c r="M287" s="12"/>
      <c r="N287" s="13">
        <v>0</v>
      </c>
      <c r="O287" s="13">
        <v>2.5</v>
      </c>
      <c r="P287" s="2"/>
      <c r="Q287" s="2"/>
    </row>
    <row r="288" spans="1:28" x14ac:dyDescent="0.3">
      <c r="A288" s="36">
        <f t="shared" si="41"/>
        <v>34</v>
      </c>
      <c r="B288" s="36">
        <v>6</v>
      </c>
      <c r="C288" s="15">
        <v>43309.6875</v>
      </c>
      <c r="D288" s="20">
        <v>3.0825005860000001</v>
      </c>
      <c r="E288" s="19">
        <f t="shared" si="42"/>
        <v>1.9066965960909088</v>
      </c>
      <c r="F288" s="17">
        <v>0.75716233300000002</v>
      </c>
      <c r="G288" s="10">
        <f t="shared" si="44"/>
        <v>-1.1758039899090913</v>
      </c>
      <c r="H288" s="10">
        <f t="shared" si="45"/>
        <v>4.3298259136363626</v>
      </c>
      <c r="I288" s="73">
        <f>MAX(0,MIN(O288,H287*2,(D288-Sheet1!$C$3)))</f>
        <v>1.1758039899090913</v>
      </c>
      <c r="J288" s="9">
        <f>IF(F288&gt;VLOOKUP($B$16,$B$2:$F$9,5,FALSE),MAX(N288,-F288*(VLOOKUP(B288,$B$2:$E$9,4,FALSE)),-2*(6-H287),-(VLOOKUP(B288,$B$2:$G$9,6,FALSE)-D288)),0)</f>
        <v>0</v>
      </c>
      <c r="K288" s="9">
        <f t="shared" si="43"/>
        <v>0</v>
      </c>
      <c r="L288" s="12"/>
      <c r="M288" s="12"/>
      <c r="N288" s="13">
        <v>0</v>
      </c>
      <c r="O288" s="13">
        <v>2.5</v>
      </c>
      <c r="P288" s="2"/>
      <c r="Q288" s="2"/>
    </row>
    <row r="289" spans="1:28" x14ac:dyDescent="0.3">
      <c r="A289" s="36">
        <f t="shared" si="41"/>
        <v>35</v>
      </c>
      <c r="B289" s="36">
        <v>6</v>
      </c>
      <c r="C289" s="15">
        <v>43309.708333333336</v>
      </c>
      <c r="D289" s="20">
        <v>3.163495406</v>
      </c>
      <c r="E289" s="19">
        <f t="shared" si="42"/>
        <v>1.9066965960909088</v>
      </c>
      <c r="F289" s="17">
        <v>0.38151928800000001</v>
      </c>
      <c r="G289" s="10">
        <f t="shared" si="44"/>
        <v>-1.2567988099090912</v>
      </c>
      <c r="H289" s="10">
        <f t="shared" si="45"/>
        <v>3.7014265086818172</v>
      </c>
      <c r="I289" s="73">
        <f>MAX(0,MIN(O289,H288*2,(D289-Sheet1!$C$3)))</f>
        <v>1.2567988099090912</v>
      </c>
      <c r="J289" s="9">
        <f>IF(F289&gt;VLOOKUP($B$16,$B$2:$F$9,5,FALSE),MAX(N289,-F289*(VLOOKUP(B289,$B$2:$E$9,4,FALSE)),-2*(6-H288),-(VLOOKUP(B289,$B$2:$G$9,6,FALSE)-D289)),0)</f>
        <v>0</v>
      </c>
      <c r="K289" s="9">
        <f t="shared" si="43"/>
        <v>0</v>
      </c>
      <c r="L289" s="12"/>
      <c r="M289" s="12"/>
      <c r="N289" s="13">
        <v>0</v>
      </c>
      <c r="O289" s="13">
        <v>2.5</v>
      </c>
      <c r="P289" s="2"/>
      <c r="Q289" s="2"/>
    </row>
    <row r="290" spans="1:28" x14ac:dyDescent="0.3">
      <c r="A290" s="36">
        <f t="shared" si="41"/>
        <v>36</v>
      </c>
      <c r="B290" s="36">
        <v>6</v>
      </c>
      <c r="C290" s="15">
        <v>43309.729166666664</v>
      </c>
      <c r="D290" s="20">
        <v>3.0564888940000001</v>
      </c>
      <c r="E290" s="19">
        <f t="shared" si="42"/>
        <v>1.9066965960909088</v>
      </c>
      <c r="F290" s="17">
        <v>0.31046950800000001</v>
      </c>
      <c r="G290" s="10">
        <f t="shared" si="44"/>
        <v>-1.1497922979090913</v>
      </c>
      <c r="H290" s="10">
        <f t="shared" si="45"/>
        <v>3.1265303597272718</v>
      </c>
      <c r="I290" s="73">
        <f>MAX(0,MIN(O290,H289*2,(D290-Sheet1!$C$3)))</f>
        <v>1.1497922979090913</v>
      </c>
      <c r="J290" s="9">
        <f>IF(F290&gt;VLOOKUP($B$16,$B$2:$F$9,5,FALSE),MAX(N290,-F290*(VLOOKUP(B290,$B$2:$E$9,4,FALSE)),-2*(6-H289),-(VLOOKUP(B290,$B$2:$G$9,6,FALSE)-D290)),0)</f>
        <v>0</v>
      </c>
      <c r="K290" s="9">
        <f t="shared" si="43"/>
        <v>0</v>
      </c>
      <c r="L290" s="12"/>
      <c r="M290" s="12"/>
      <c r="N290" s="13">
        <v>0</v>
      </c>
      <c r="O290" s="13">
        <v>2.5</v>
      </c>
      <c r="P290" s="2"/>
      <c r="Q290" s="2"/>
    </row>
    <row r="291" spans="1:28" x14ac:dyDescent="0.3">
      <c r="A291" s="36">
        <f t="shared" si="41"/>
        <v>37</v>
      </c>
      <c r="B291" s="36">
        <v>6</v>
      </c>
      <c r="C291" s="15">
        <v>43309.75</v>
      </c>
      <c r="D291" s="20">
        <v>2.9768132139999999</v>
      </c>
      <c r="E291" s="19">
        <f t="shared" si="42"/>
        <v>1.9066965960909088</v>
      </c>
      <c r="F291" s="17">
        <v>0.126444221</v>
      </c>
      <c r="G291" s="10">
        <f t="shared" si="44"/>
        <v>-1.0701166179090911</v>
      </c>
      <c r="H291" s="10">
        <f t="shared" si="45"/>
        <v>2.591472050772726</v>
      </c>
      <c r="I291" s="73">
        <f>MAX(0,MIN(O291,H290*2,(D291-Sheet1!$C$3)))</f>
        <v>1.0701166179090911</v>
      </c>
      <c r="J291" s="9">
        <f>IF(F291&gt;VLOOKUP($B$16,$B$2:$F$9,5,FALSE),MAX(N291,-F291*(VLOOKUP(B291,$B$2:$E$9,4,FALSE)),-2*(6-H290),-(VLOOKUP(B291,$B$2:$G$9,6,FALSE)-D291)),0)</f>
        <v>0</v>
      </c>
      <c r="K291" s="9">
        <f t="shared" si="43"/>
        <v>0</v>
      </c>
      <c r="L291" s="12"/>
      <c r="M291" s="12"/>
      <c r="N291" s="13">
        <v>0</v>
      </c>
      <c r="O291" s="13">
        <v>2.5</v>
      </c>
      <c r="P291" s="2"/>
      <c r="Q291" s="2"/>
    </row>
    <row r="292" spans="1:28" x14ac:dyDescent="0.3">
      <c r="A292" s="36">
        <f t="shared" si="41"/>
        <v>38</v>
      </c>
      <c r="B292" s="36">
        <v>6</v>
      </c>
      <c r="C292" s="15">
        <v>43309.770833333336</v>
      </c>
      <c r="D292" s="20">
        <v>2.9685145419999999</v>
      </c>
      <c r="E292" s="19">
        <f t="shared" si="42"/>
        <v>1.9066965960909088</v>
      </c>
      <c r="F292" s="17">
        <v>0.12004917900000001</v>
      </c>
      <c r="G292" s="10">
        <f t="shared" si="44"/>
        <v>-1.0618179459090911</v>
      </c>
      <c r="H292" s="10">
        <f t="shared" si="45"/>
        <v>2.0605630778181805</v>
      </c>
      <c r="I292" s="73">
        <f>MAX(0,MIN(O292,H291*2,(D292-Sheet1!$C$3)))</f>
        <v>1.0618179459090911</v>
      </c>
      <c r="J292" s="9">
        <f>IF(F292&gt;VLOOKUP($B$16,$B$2:$F$9,5,FALSE),MAX(N292,-F292*(VLOOKUP(B292,$B$2:$E$9,4,FALSE)),-2*(6-H291),-(VLOOKUP(B292,$B$2:$G$9,6,FALSE)-D292)),0)</f>
        <v>0</v>
      </c>
      <c r="K292" s="9">
        <f t="shared" si="43"/>
        <v>0</v>
      </c>
      <c r="L292" s="12"/>
      <c r="M292" s="12"/>
      <c r="N292" s="13">
        <v>0</v>
      </c>
      <c r="O292" s="13">
        <v>2.5</v>
      </c>
      <c r="P292" s="2"/>
      <c r="Q292" s="2"/>
    </row>
    <row r="293" spans="1:28" x14ac:dyDescent="0.3">
      <c r="A293" s="36">
        <f t="shared" si="41"/>
        <v>39</v>
      </c>
      <c r="B293" s="36">
        <v>6</v>
      </c>
      <c r="C293" s="15">
        <v>43309.791666666664</v>
      </c>
      <c r="D293" s="20">
        <v>2.852132036</v>
      </c>
      <c r="E293" s="19">
        <f t="shared" si="42"/>
        <v>1.9066965960909088</v>
      </c>
      <c r="F293" s="17">
        <v>1.7821461E-2</v>
      </c>
      <c r="G293" s="10">
        <f t="shared" si="44"/>
        <v>-0.94543543990909118</v>
      </c>
      <c r="H293" s="10">
        <f t="shared" si="45"/>
        <v>1.5878453578636349</v>
      </c>
      <c r="I293" s="73">
        <f>MAX(0,MIN(O293,H292*2,(D293-Sheet1!$C$3)))</f>
        <v>0.94543543990909118</v>
      </c>
      <c r="J293" s="9">
        <f>IF(F293&gt;VLOOKUP($B$16,$B$2:$F$9,5,FALSE),MAX(N293,-F293*(VLOOKUP(B293,$B$2:$E$9,4,FALSE)),-2*(6-H292),-(VLOOKUP(B293,$B$2:$G$9,6,FALSE)-D293)),0)</f>
        <v>0</v>
      </c>
      <c r="K293" s="9">
        <f t="shared" si="43"/>
        <v>0</v>
      </c>
      <c r="L293" s="12"/>
      <c r="M293" s="12"/>
      <c r="N293" s="13">
        <v>0</v>
      </c>
      <c r="O293" s="13">
        <v>2.5</v>
      </c>
      <c r="P293" s="2"/>
      <c r="Q293" s="2"/>
    </row>
    <row r="294" spans="1:28" x14ac:dyDescent="0.3">
      <c r="A294" s="36">
        <f t="shared" si="41"/>
        <v>40</v>
      </c>
      <c r="B294" s="36">
        <v>6</v>
      </c>
      <c r="C294" s="15">
        <v>43309.8125</v>
      </c>
      <c r="D294" s="20">
        <v>2.7910629189999998</v>
      </c>
      <c r="E294" s="19">
        <f t="shared" si="42"/>
        <v>1.9066965960909088</v>
      </c>
      <c r="F294" s="17">
        <v>1.7821461E-2</v>
      </c>
      <c r="G294" s="10">
        <f t="shared" si="44"/>
        <v>-0.88436632290909101</v>
      </c>
      <c r="H294" s="10">
        <f t="shared" si="45"/>
        <v>1.1456621964090894</v>
      </c>
      <c r="I294" s="73">
        <f>MAX(0,MIN(O294,H293*2,(D294-Sheet1!$C$3)))</f>
        <v>0.88436632290909101</v>
      </c>
      <c r="J294" s="9">
        <f>IF(F294&gt;VLOOKUP($B$16,$B$2:$F$9,5,FALSE),MAX(N294,-F294*(VLOOKUP(B294,$B$2:$E$9,4,FALSE)),-2*(6-H293),-(VLOOKUP(B294,$B$2:$G$9,6,FALSE)-D294)),0)</f>
        <v>0</v>
      </c>
      <c r="K294" s="9">
        <f t="shared" si="43"/>
        <v>0</v>
      </c>
      <c r="L294" s="12"/>
      <c r="M294" s="12"/>
      <c r="N294" s="13">
        <v>0</v>
      </c>
      <c r="O294" s="13">
        <v>2.5</v>
      </c>
      <c r="P294" s="2"/>
      <c r="Q294" s="2"/>
    </row>
    <row r="295" spans="1:28" x14ac:dyDescent="0.3">
      <c r="A295" s="49">
        <f t="shared" si="41"/>
        <v>41</v>
      </c>
      <c r="B295" s="49">
        <v>6</v>
      </c>
      <c r="C295" s="50">
        <v>43309.833333333336</v>
      </c>
      <c r="D295" s="51">
        <v>2.7209653770000002</v>
      </c>
      <c r="E295" s="26">
        <f t="shared" si="42"/>
        <v>1.9066965960909088</v>
      </c>
      <c r="F295" s="52">
        <v>5.3364930000000003E-3</v>
      </c>
      <c r="G295" s="10">
        <f t="shared" si="44"/>
        <v>-0.81426878090909138</v>
      </c>
      <c r="H295" s="10">
        <f t="shared" si="45"/>
        <v>0.7385278059545437</v>
      </c>
      <c r="I295" s="93">
        <f>MAX(0,MIN(O295,H294*2,(D295-Sheet1!$C$3)))</f>
        <v>0.81426878090909138</v>
      </c>
      <c r="J295" s="9">
        <f>IF(F295&gt;VLOOKUP($B$16,$B$2:$F$9,5,FALSE),MAX(N295,-F295*(VLOOKUP(B295,$B$2:$E$9,4,FALSE)),-2*(6-H294),-(VLOOKUP(B295,$B$2:$G$9,6,FALSE)-D295)),0)</f>
        <v>0</v>
      </c>
      <c r="K295" s="9">
        <f t="shared" si="43"/>
        <v>0</v>
      </c>
      <c r="L295" s="29"/>
      <c r="M295" s="29"/>
      <c r="N295" s="53">
        <v>0</v>
      </c>
      <c r="O295" s="53">
        <v>2.5</v>
      </c>
      <c r="P295" s="2"/>
      <c r="Q295" s="2"/>
    </row>
    <row r="296" spans="1:28" s="64" customFormat="1" ht="15" thickBot="1" x14ac:dyDescent="0.35">
      <c r="A296" s="65">
        <f t="shared" si="41"/>
        <v>42</v>
      </c>
      <c r="B296" s="65">
        <v>6</v>
      </c>
      <c r="C296" s="66">
        <v>43309.854166666664</v>
      </c>
      <c r="D296" s="67">
        <v>2.606276448</v>
      </c>
      <c r="E296" s="57">
        <f t="shared" si="42"/>
        <v>1.9066965960909088</v>
      </c>
      <c r="F296" s="68">
        <v>5.3364930000000003E-3</v>
      </c>
      <c r="G296" s="111">
        <f t="shared" si="44"/>
        <v>-0.69957985190909122</v>
      </c>
      <c r="H296" s="111">
        <f t="shared" si="45"/>
        <v>0.38873787999999809</v>
      </c>
      <c r="I296" s="74">
        <f>MAX(0,MIN(O296,H295*2,(D296-Sheet1!$C$3)))</f>
        <v>0.69957985190909122</v>
      </c>
      <c r="J296" s="9">
        <f>IF(F296&gt;VLOOKUP($B$16,$B$2:$F$9,5,FALSE),MAX(N296,-F296*(VLOOKUP(B296,$B$2:$E$9,4,FALSE)),-2*(6-H295),-(VLOOKUP(B296,$B$2:$G$9,6,FALSE)-D296)),0)</f>
        <v>0</v>
      </c>
      <c r="K296" s="60">
        <f t="shared" si="43"/>
        <v>0</v>
      </c>
      <c r="L296" s="59"/>
      <c r="M296" s="59"/>
      <c r="N296" s="69">
        <v>0</v>
      </c>
      <c r="O296" s="69">
        <v>2.5</v>
      </c>
      <c r="P296" s="62"/>
      <c r="Q296" s="62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 spans="1:28" x14ac:dyDescent="0.3">
      <c r="A297" s="38">
        <f t="shared" si="41"/>
        <v>43</v>
      </c>
      <c r="B297" s="38">
        <v>6</v>
      </c>
      <c r="C297" s="31">
        <v>43309.875</v>
      </c>
      <c r="D297" s="32">
        <v>2.5857917270000002</v>
      </c>
      <c r="E297" s="33">
        <f t="shared" si="42"/>
        <v>2.5857917270000002</v>
      </c>
      <c r="F297" s="39">
        <v>5.3364930000000003E-3</v>
      </c>
      <c r="G297" s="97">
        <f t="shared" si="44"/>
        <v>0</v>
      </c>
      <c r="H297" s="97">
        <f t="shared" si="45"/>
        <v>0.38873787999999809</v>
      </c>
      <c r="I297" s="72">
        <f>MAX(0,MIN(O297,H296*2,(D297-Sheet1!$C$3)))</f>
        <v>0</v>
      </c>
      <c r="J297" s="9">
        <f>IF(F297&gt;VLOOKUP($B$16,$B$2:$F$9,5,FALSE),MAX(N297,-F297*(VLOOKUP(B297,$B$2:$E$9,4,FALSE)),-2*(6-H296),-(VLOOKUP(B297,$B$2:$G$9,6,FALSE)-D297)),0)</f>
        <v>0</v>
      </c>
      <c r="K297" s="40">
        <f t="shared" si="43"/>
        <v>0</v>
      </c>
      <c r="L297" s="34"/>
      <c r="M297" s="34"/>
      <c r="N297" s="30">
        <v>0</v>
      </c>
      <c r="O297" s="30">
        <v>0</v>
      </c>
      <c r="P297" s="2"/>
      <c r="Q297" s="2"/>
    </row>
    <row r="298" spans="1:28" x14ac:dyDescent="0.3">
      <c r="A298" s="35">
        <f t="shared" si="41"/>
        <v>44</v>
      </c>
      <c r="B298" s="35">
        <v>6</v>
      </c>
      <c r="C298" s="14">
        <v>43309.895833333336</v>
      </c>
      <c r="D298" s="18">
        <v>2.399355371</v>
      </c>
      <c r="E298" s="19">
        <f t="shared" si="42"/>
        <v>2.399355371</v>
      </c>
      <c r="F298" s="16">
        <v>5.3364930000000003E-3</v>
      </c>
      <c r="G298" s="10">
        <f t="shared" si="44"/>
        <v>0</v>
      </c>
      <c r="H298" s="10">
        <f t="shared" si="45"/>
        <v>0.38873787999999809</v>
      </c>
      <c r="I298" s="73">
        <f>MAX(0,MIN(O298,H297*2,(D298-Sheet1!$C$3)))</f>
        <v>0</v>
      </c>
      <c r="J298" s="9">
        <f>IF(F298&gt;VLOOKUP($B$16,$B$2:$F$9,5,FALSE),MAX(N298,-F298*(VLOOKUP(B298,$B$2:$E$9,4,FALSE)),-2*(6-H297),-(VLOOKUP(B298,$B$2:$G$9,6,FALSE)-D298)),0)</f>
        <v>0</v>
      </c>
      <c r="K298" s="9">
        <f t="shared" si="43"/>
        <v>0</v>
      </c>
      <c r="L298" s="11"/>
      <c r="M298" s="11"/>
      <c r="N298" s="8">
        <v>0</v>
      </c>
      <c r="O298" s="8">
        <v>0</v>
      </c>
      <c r="P298" s="2"/>
      <c r="Q298" s="2"/>
    </row>
    <row r="299" spans="1:28" x14ac:dyDescent="0.3">
      <c r="A299" s="35">
        <f t="shared" si="41"/>
        <v>45</v>
      </c>
      <c r="B299" s="35">
        <v>6</v>
      </c>
      <c r="C299" s="14">
        <v>43309.916666666664</v>
      </c>
      <c r="D299" s="18">
        <v>2.1514471390000001</v>
      </c>
      <c r="E299" s="19">
        <f t="shared" si="42"/>
        <v>2.1514471390000001</v>
      </c>
      <c r="F299" s="16">
        <v>5.3364930000000003E-3</v>
      </c>
      <c r="G299" s="10">
        <f t="shared" si="44"/>
        <v>0</v>
      </c>
      <c r="H299" s="10">
        <f t="shared" si="45"/>
        <v>0.38873787999999809</v>
      </c>
      <c r="I299" s="73">
        <f>MAX(0,MIN(O299,H298*2,(D299-Sheet1!$C$3)))</f>
        <v>0</v>
      </c>
      <c r="J299" s="9">
        <f>IF(F299&gt;VLOOKUP($B$16,$B$2:$F$9,5,FALSE),MAX(N299,-F299*(VLOOKUP(B299,$B$2:$E$9,4,FALSE)),-2*(6-H298),-(VLOOKUP(B299,$B$2:$G$9,6,FALSE)-D299)),0)</f>
        <v>0</v>
      </c>
      <c r="K299" s="9">
        <f t="shared" si="43"/>
        <v>0</v>
      </c>
      <c r="L299" s="11"/>
      <c r="M299" s="11"/>
      <c r="N299" s="8">
        <v>0</v>
      </c>
      <c r="O299" s="8">
        <v>0</v>
      </c>
      <c r="P299" s="2"/>
      <c r="Q299" s="2"/>
    </row>
    <row r="300" spans="1:28" x14ac:dyDescent="0.3">
      <c r="A300" s="35">
        <f t="shared" si="41"/>
        <v>46</v>
      </c>
      <c r="B300" s="35">
        <v>6</v>
      </c>
      <c r="C300" s="14">
        <v>43309.9375</v>
      </c>
      <c r="D300" s="18">
        <v>1.9192763639999999</v>
      </c>
      <c r="E300" s="19">
        <f t="shared" si="42"/>
        <v>1.9192763639999999</v>
      </c>
      <c r="F300" s="16">
        <v>5.3364930000000003E-3</v>
      </c>
      <c r="G300" s="10">
        <f t="shared" si="44"/>
        <v>0</v>
      </c>
      <c r="H300" s="10">
        <f t="shared" si="45"/>
        <v>0.38873787999999809</v>
      </c>
      <c r="I300" s="73">
        <f>MAX(0,MIN(O300,H299*2,(D300-Sheet1!$C$3)))</f>
        <v>0</v>
      </c>
      <c r="J300" s="9">
        <f>IF(F300&gt;VLOOKUP($B$16,$B$2:$F$9,5,FALSE),MAX(N300,-F300*(VLOOKUP(B300,$B$2:$E$9,4,FALSE)),-2*(6-H299),-(VLOOKUP(B300,$B$2:$G$9,6,FALSE)-D300)),0)</f>
        <v>0</v>
      </c>
      <c r="K300" s="9">
        <f t="shared" si="43"/>
        <v>0</v>
      </c>
      <c r="L300" s="11"/>
      <c r="M300" s="11"/>
      <c r="N300" s="8">
        <v>0</v>
      </c>
      <c r="O300" s="8">
        <v>0</v>
      </c>
      <c r="P300" s="2"/>
      <c r="Q300" s="2"/>
    </row>
    <row r="301" spans="1:28" x14ac:dyDescent="0.3">
      <c r="A301" s="37">
        <f t="shared" si="41"/>
        <v>47</v>
      </c>
      <c r="B301" s="37">
        <v>6</v>
      </c>
      <c r="C301" s="24">
        <v>43309.958333333336</v>
      </c>
      <c r="D301" s="25">
        <v>1.8374660519999999</v>
      </c>
      <c r="E301" s="26">
        <f t="shared" si="42"/>
        <v>1.8374660519999999</v>
      </c>
      <c r="F301" s="27">
        <v>1.831472E-3</v>
      </c>
      <c r="G301" s="98">
        <f t="shared" si="44"/>
        <v>0</v>
      </c>
      <c r="H301" s="98">
        <f t="shared" si="45"/>
        <v>0.38873787999999809</v>
      </c>
      <c r="I301" s="93">
        <f>MAX(0,MIN(O301,H300*2,(D301-Sheet1!$C$3)))</f>
        <v>0</v>
      </c>
      <c r="J301" s="9">
        <f>IF(F301&gt;VLOOKUP($B$16,$B$2:$F$9,5,FALSE),MAX(N301,-F301*(VLOOKUP(B301,$B$2:$E$9,4,FALSE)),-2*(6-H300),-(VLOOKUP(B301,$B$2:$G$9,6,FALSE)-D301)),0)</f>
        <v>0</v>
      </c>
      <c r="K301" s="42">
        <f t="shared" si="43"/>
        <v>0</v>
      </c>
      <c r="L301" s="28"/>
      <c r="M301" s="28"/>
      <c r="N301" s="23">
        <v>0</v>
      </c>
      <c r="O301" s="23">
        <v>0</v>
      </c>
      <c r="P301" s="2"/>
      <c r="Q301" s="2"/>
    </row>
    <row r="302" spans="1:28" s="110" customFormat="1" ht="15" thickBot="1" x14ac:dyDescent="0.35">
      <c r="A302" s="99">
        <f t="shared" si="41"/>
        <v>48</v>
      </c>
      <c r="B302" s="99">
        <v>6</v>
      </c>
      <c r="C302" s="100">
        <v>43309.979166666664</v>
      </c>
      <c r="D302" s="101">
        <v>1.722527946</v>
      </c>
      <c r="E302" s="102">
        <f t="shared" si="42"/>
        <v>1.722527946</v>
      </c>
      <c r="F302" s="103">
        <v>1.831472E-3</v>
      </c>
      <c r="G302" s="104">
        <f t="shared" si="44"/>
        <v>0</v>
      </c>
      <c r="H302" s="104">
        <f t="shared" si="45"/>
        <v>0.38873787999999809</v>
      </c>
      <c r="I302" s="105">
        <f>MAX(0,MIN(O302,H301*2,(D302-Sheet1!$C$3)))</f>
        <v>0</v>
      </c>
      <c r="J302" s="9">
        <f>IF(F302&gt;VLOOKUP($B$16,$B$2:$F$9,5,FALSE),MAX(N302,-F302*(VLOOKUP(B302,$B$2:$E$9,4,FALSE)),-2*(6-H301),-(VLOOKUP(B302,$B$2:$G$9,6,FALSE)-D302)),0)</f>
        <v>0</v>
      </c>
      <c r="K302" s="106">
        <f t="shared" si="43"/>
        <v>0</v>
      </c>
      <c r="L302" s="107"/>
      <c r="M302" s="107"/>
      <c r="N302" s="108">
        <v>0</v>
      </c>
      <c r="O302" s="108">
        <v>0</v>
      </c>
      <c r="P302" s="109"/>
      <c r="Q302" s="109"/>
    </row>
    <row r="303" spans="1:28" s="122" customFormat="1" x14ac:dyDescent="0.3">
      <c r="A303" s="113">
        <v>1</v>
      </c>
      <c r="B303" s="113">
        <v>7</v>
      </c>
      <c r="C303" s="114">
        <v>43310</v>
      </c>
      <c r="D303" s="115">
        <v>1.7608755490000001</v>
      </c>
      <c r="E303" s="116">
        <f t="shared" si="42"/>
        <v>1.7608755490000001</v>
      </c>
      <c r="F303" s="117">
        <v>1.831472E-3</v>
      </c>
      <c r="G303" s="118">
        <f t="shared" si="44"/>
        <v>0</v>
      </c>
      <c r="H303" s="118">
        <v>0</v>
      </c>
      <c r="I303" s="119">
        <v>0</v>
      </c>
      <c r="J303" s="9">
        <f>IF(F303&gt;VLOOKUP($B$16,$B$2:$F$9,5,FALSE),MAX(N303,-F303*(VLOOKUP(B303,$B$2:$E$9,4,FALSE)),-2*(6-H302),-(VLOOKUP(B303,$B$2:$G$9,6,FALSE)-D303)),0)</f>
        <v>0</v>
      </c>
      <c r="K303" s="119">
        <f t="shared" si="43"/>
        <v>0</v>
      </c>
      <c r="L303" s="119">
        <f t="shared" ref="L303:L333" si="46">MIN(J303,F303)</f>
        <v>0</v>
      </c>
      <c r="M303" s="119">
        <f>J303-L303</f>
        <v>0</v>
      </c>
      <c r="N303" s="120">
        <v>-2.5</v>
      </c>
      <c r="O303" s="120">
        <v>0</v>
      </c>
      <c r="P303" s="121"/>
      <c r="Q303" s="121"/>
    </row>
    <row r="304" spans="1:28" x14ac:dyDescent="0.3">
      <c r="A304" s="35">
        <f>A303+1</f>
        <v>2</v>
      </c>
      <c r="B304" s="35">
        <v>7</v>
      </c>
      <c r="C304" s="14">
        <v>43310.020833333336</v>
      </c>
      <c r="D304" s="18">
        <v>1.6784091910000001</v>
      </c>
      <c r="E304" s="19">
        <f t="shared" si="42"/>
        <v>1.6784091910000001</v>
      </c>
      <c r="F304" s="16">
        <v>1.831472E-3</v>
      </c>
      <c r="G304" s="10">
        <f t="shared" si="44"/>
        <v>0</v>
      </c>
      <c r="H304" s="10">
        <f t="shared" si="45"/>
        <v>0</v>
      </c>
      <c r="I304" s="73">
        <f>MAX(0,MIN(O304,H303*2,(D304-Sheet1!$C$3)))</f>
        <v>0</v>
      </c>
      <c r="J304" s="9">
        <f>IF(F304&gt;VLOOKUP($B$16,$B$2:$F$9,5,FALSE),MAX(N304,-F304*(VLOOKUP(B304,$B$2:$E$9,4,FALSE)),-2*(6-H303),-(VLOOKUP(B304,$B$2:$G$9,6,FALSE)-D304)),0)</f>
        <v>0</v>
      </c>
      <c r="K304" s="9">
        <f t="shared" si="43"/>
        <v>0</v>
      </c>
      <c r="L304" s="9">
        <f t="shared" si="46"/>
        <v>0</v>
      </c>
      <c r="M304" s="9">
        <f t="shared" ref="M304:M333" si="47">J304-L304</f>
        <v>0</v>
      </c>
      <c r="N304" s="8">
        <v>-2.5</v>
      </c>
      <c r="O304" s="8">
        <v>0</v>
      </c>
      <c r="P304" s="2"/>
      <c r="Q304" s="2"/>
    </row>
    <row r="305" spans="1:17" x14ac:dyDescent="0.3">
      <c r="A305" s="35">
        <f t="shared" ref="A305:A350" si="48">A304+1</f>
        <v>3</v>
      </c>
      <c r="B305" s="35">
        <v>7</v>
      </c>
      <c r="C305" s="14">
        <v>43310.041666666664</v>
      </c>
      <c r="D305" s="18">
        <v>1.5996815310000001</v>
      </c>
      <c r="E305" s="19">
        <f t="shared" si="42"/>
        <v>1.5996815310000001</v>
      </c>
      <c r="F305" s="16">
        <v>1.831472E-3</v>
      </c>
      <c r="G305" s="10">
        <f t="shared" si="44"/>
        <v>0</v>
      </c>
      <c r="H305" s="10">
        <f t="shared" si="45"/>
        <v>0</v>
      </c>
      <c r="I305" s="73">
        <f>MAX(0,MIN(O305,H304*2,(D305-Sheet1!$C$3)))</f>
        <v>0</v>
      </c>
      <c r="J305" s="9">
        <f>IF(F305&gt;VLOOKUP($B$16,$B$2:$F$9,5,FALSE),MAX(N305,-F305*(VLOOKUP(B305,$B$2:$E$9,4,FALSE)),-2*(6-H304),-(VLOOKUP(B305,$B$2:$G$9,6,FALSE)-D305)),0)</f>
        <v>0</v>
      </c>
      <c r="K305" s="9">
        <f t="shared" si="43"/>
        <v>0</v>
      </c>
      <c r="L305" s="9">
        <f t="shared" si="46"/>
        <v>0</v>
      </c>
      <c r="M305" s="9">
        <f t="shared" si="47"/>
        <v>0</v>
      </c>
      <c r="N305" s="8">
        <v>-2.5</v>
      </c>
      <c r="O305" s="8">
        <v>0</v>
      </c>
      <c r="P305" s="2"/>
      <c r="Q305" s="2"/>
    </row>
    <row r="306" spans="1:17" x14ac:dyDescent="0.3">
      <c r="A306" s="35">
        <f t="shared" si="48"/>
        <v>4</v>
      </c>
      <c r="B306" s="35">
        <v>7</v>
      </c>
      <c r="C306" s="14">
        <v>43310.0625</v>
      </c>
      <c r="D306" s="18">
        <v>1.5391118509999999</v>
      </c>
      <c r="E306" s="19">
        <f t="shared" si="42"/>
        <v>1.5391118509999999</v>
      </c>
      <c r="F306" s="16">
        <v>1.831472E-3</v>
      </c>
      <c r="G306" s="10">
        <f t="shared" si="44"/>
        <v>0</v>
      </c>
      <c r="H306" s="10">
        <f t="shared" si="45"/>
        <v>0</v>
      </c>
      <c r="I306" s="73">
        <f>MAX(0,MIN(O306,H305*2,(D306-Sheet1!$C$3)))</f>
        <v>0</v>
      </c>
      <c r="J306" s="9">
        <f>IF(F306&gt;VLOOKUP($B$16,$B$2:$F$9,5,FALSE),MAX(N306,-F306*(VLOOKUP(B306,$B$2:$E$9,4,FALSE)),-2*(6-H305),-(VLOOKUP(B306,$B$2:$G$9,6,FALSE)-D306)),0)</f>
        <v>0</v>
      </c>
      <c r="K306" s="9">
        <f t="shared" si="43"/>
        <v>0</v>
      </c>
      <c r="L306" s="9">
        <f t="shared" si="46"/>
        <v>0</v>
      </c>
      <c r="M306" s="9">
        <f t="shared" si="47"/>
        <v>0</v>
      </c>
      <c r="N306" s="8">
        <v>-2.5</v>
      </c>
      <c r="O306" s="8">
        <v>0</v>
      </c>
      <c r="P306" s="2"/>
      <c r="Q306" s="2"/>
    </row>
    <row r="307" spans="1:17" x14ac:dyDescent="0.3">
      <c r="A307" s="35">
        <f t="shared" si="48"/>
        <v>5</v>
      </c>
      <c r="B307" s="35">
        <v>7</v>
      </c>
      <c r="C307" s="14">
        <v>43310.083333333336</v>
      </c>
      <c r="D307" s="18">
        <v>1.5250056599999999</v>
      </c>
      <c r="E307" s="19">
        <f t="shared" si="42"/>
        <v>1.5250056599999999</v>
      </c>
      <c r="F307" s="16">
        <v>1.831472E-3</v>
      </c>
      <c r="G307" s="10">
        <f t="shared" si="44"/>
        <v>0</v>
      </c>
      <c r="H307" s="10">
        <f t="shared" si="45"/>
        <v>0</v>
      </c>
      <c r="I307" s="73">
        <f>MAX(0,MIN(O307,H306*2,(D307-Sheet1!$C$3)))</f>
        <v>0</v>
      </c>
      <c r="J307" s="9">
        <f>IF(F307&gt;VLOOKUP($B$16,$B$2:$F$9,5,FALSE),MAX(N307,-F307*(VLOOKUP(B307,$B$2:$E$9,4,FALSE)),-2*(6-H306),-(VLOOKUP(B307,$B$2:$G$9,6,FALSE)-D307)),0)</f>
        <v>0</v>
      </c>
      <c r="K307" s="9">
        <f t="shared" si="43"/>
        <v>0</v>
      </c>
      <c r="L307" s="9">
        <f t="shared" si="46"/>
        <v>0</v>
      </c>
      <c r="M307" s="9">
        <f t="shared" si="47"/>
        <v>0</v>
      </c>
      <c r="N307" s="8">
        <v>-2.5</v>
      </c>
      <c r="O307" s="8">
        <v>0</v>
      </c>
      <c r="P307" s="2"/>
      <c r="Q307" s="2"/>
    </row>
    <row r="308" spans="1:17" x14ac:dyDescent="0.3">
      <c r="A308" s="35">
        <f t="shared" si="48"/>
        <v>6</v>
      </c>
      <c r="B308" s="35">
        <v>7</v>
      </c>
      <c r="C308" s="14">
        <v>43310.104166666664</v>
      </c>
      <c r="D308" s="18">
        <v>1.488712912</v>
      </c>
      <c r="E308" s="19">
        <f t="shared" si="42"/>
        <v>1.488712912</v>
      </c>
      <c r="F308" s="16">
        <v>1.831472E-3</v>
      </c>
      <c r="G308" s="10">
        <f t="shared" si="44"/>
        <v>0</v>
      </c>
      <c r="H308" s="10">
        <f t="shared" si="45"/>
        <v>0</v>
      </c>
      <c r="I308" s="73">
        <f>MAX(0,MIN(O308,H307*2,(D308-Sheet1!$C$3)))</f>
        <v>0</v>
      </c>
      <c r="J308" s="9">
        <f>IF(F308&gt;VLOOKUP($B$16,$B$2:$F$9,5,FALSE),MAX(N308,-F308*(VLOOKUP(B308,$B$2:$E$9,4,FALSE)),-2*(6-H307),-(VLOOKUP(B308,$B$2:$G$9,6,FALSE)-D308)),0)</f>
        <v>0</v>
      </c>
      <c r="K308" s="9">
        <f t="shared" si="43"/>
        <v>0</v>
      </c>
      <c r="L308" s="9">
        <f t="shared" si="46"/>
        <v>0</v>
      </c>
      <c r="M308" s="9">
        <f t="shared" si="47"/>
        <v>0</v>
      </c>
      <c r="N308" s="8">
        <v>-2.5</v>
      </c>
      <c r="O308" s="8">
        <v>0</v>
      </c>
      <c r="P308" s="2"/>
      <c r="Q308" s="2"/>
    </row>
    <row r="309" spans="1:17" x14ac:dyDescent="0.3">
      <c r="A309" s="35">
        <f t="shared" si="48"/>
        <v>7</v>
      </c>
      <c r="B309" s="35">
        <v>7</v>
      </c>
      <c r="C309" s="14">
        <v>43310.125</v>
      </c>
      <c r="D309" s="18">
        <v>1.4887543409999999</v>
      </c>
      <c r="E309" s="19">
        <f t="shared" si="42"/>
        <v>1.4887543409999999</v>
      </c>
      <c r="F309" s="16">
        <v>1.831472E-3</v>
      </c>
      <c r="G309" s="10">
        <f t="shared" si="44"/>
        <v>0</v>
      </c>
      <c r="H309" s="10">
        <f t="shared" si="45"/>
        <v>0</v>
      </c>
      <c r="I309" s="73">
        <f>MAX(0,MIN(O309,H308*2,(D309-Sheet1!$C$3)))</f>
        <v>0</v>
      </c>
      <c r="J309" s="9">
        <f>IF(F309&gt;VLOOKUP($B$16,$B$2:$F$9,5,FALSE),MAX(N309,-F309*(VLOOKUP(B309,$B$2:$E$9,4,FALSE)),-2*(6-H308),-(VLOOKUP(B309,$B$2:$G$9,6,FALSE)-D309)),0)</f>
        <v>0</v>
      </c>
      <c r="K309" s="9">
        <f t="shared" si="43"/>
        <v>0</v>
      </c>
      <c r="L309" s="9">
        <f t="shared" si="46"/>
        <v>0</v>
      </c>
      <c r="M309" s="9">
        <f t="shared" si="47"/>
        <v>0</v>
      </c>
      <c r="N309" s="8">
        <v>-2.5</v>
      </c>
      <c r="O309" s="8">
        <v>0</v>
      </c>
      <c r="P309" s="2"/>
      <c r="Q309" s="2"/>
    </row>
    <row r="310" spans="1:17" x14ac:dyDescent="0.3">
      <c r="A310" s="35">
        <f t="shared" si="48"/>
        <v>8</v>
      </c>
      <c r="B310" s="35">
        <v>7</v>
      </c>
      <c r="C310" s="14">
        <v>43310.145833333336</v>
      </c>
      <c r="D310" s="18">
        <v>1.465001223</v>
      </c>
      <c r="E310" s="19">
        <f t="shared" si="42"/>
        <v>1.465001223</v>
      </c>
      <c r="F310" s="16">
        <v>1.831472E-3</v>
      </c>
      <c r="G310" s="10">
        <f t="shared" si="44"/>
        <v>0</v>
      </c>
      <c r="H310" s="10">
        <f t="shared" si="45"/>
        <v>0</v>
      </c>
      <c r="I310" s="73">
        <f>MAX(0,MIN(O310,H309*2,(D310-Sheet1!$C$3)))</f>
        <v>0</v>
      </c>
      <c r="J310" s="9">
        <f>IF(F310&gt;VLOOKUP($B$16,$B$2:$F$9,5,FALSE),MAX(N310,-F310*(VLOOKUP(B310,$B$2:$E$9,4,FALSE)),-2*(6-H309),-(VLOOKUP(B310,$B$2:$G$9,6,FALSE)-D310)),0)</f>
        <v>0</v>
      </c>
      <c r="K310" s="9">
        <f t="shared" si="43"/>
        <v>0</v>
      </c>
      <c r="L310" s="9">
        <f t="shared" si="46"/>
        <v>0</v>
      </c>
      <c r="M310" s="9">
        <f t="shared" si="47"/>
        <v>0</v>
      </c>
      <c r="N310" s="8">
        <v>-2.5</v>
      </c>
      <c r="O310" s="8">
        <v>0</v>
      </c>
      <c r="P310" s="2"/>
      <c r="Q310" s="2"/>
    </row>
    <row r="311" spans="1:17" x14ac:dyDescent="0.3">
      <c r="A311" s="35">
        <f t="shared" si="48"/>
        <v>9</v>
      </c>
      <c r="B311" s="35">
        <v>7</v>
      </c>
      <c r="C311" s="14">
        <v>43310.166666666664</v>
      </c>
      <c r="D311" s="18">
        <v>1.4287209299999999</v>
      </c>
      <c r="E311" s="19">
        <f t="shared" si="42"/>
        <v>1.4287209299999999</v>
      </c>
      <c r="F311" s="16">
        <v>1.831472E-3</v>
      </c>
      <c r="G311" s="10">
        <f t="shared" si="44"/>
        <v>0</v>
      </c>
      <c r="H311" s="10">
        <f t="shared" si="45"/>
        <v>0</v>
      </c>
      <c r="I311" s="73">
        <f>MAX(0,MIN(O311,H310*2,(D311-Sheet1!$C$3)))</f>
        <v>0</v>
      </c>
      <c r="J311" s="9">
        <f>IF(F311&gt;VLOOKUP($B$16,$B$2:$F$9,5,FALSE),MAX(N311,-F311*(VLOOKUP(B311,$B$2:$E$9,4,FALSE)),-2*(6-H310),-(VLOOKUP(B311,$B$2:$G$9,6,FALSE)-D311)),0)</f>
        <v>0</v>
      </c>
      <c r="K311" s="9">
        <f t="shared" si="43"/>
        <v>0</v>
      </c>
      <c r="L311" s="9">
        <f t="shared" si="46"/>
        <v>0</v>
      </c>
      <c r="M311" s="9">
        <f t="shared" si="47"/>
        <v>0</v>
      </c>
      <c r="N311" s="8">
        <v>-2.5</v>
      </c>
      <c r="O311" s="8">
        <v>0</v>
      </c>
      <c r="P311" s="2"/>
      <c r="Q311" s="2"/>
    </row>
    <row r="312" spans="1:17" x14ac:dyDescent="0.3">
      <c r="A312" s="35">
        <f t="shared" si="48"/>
        <v>10</v>
      </c>
      <c r="B312" s="35">
        <v>7</v>
      </c>
      <c r="C312" s="14">
        <v>43310.1875</v>
      </c>
      <c r="D312" s="18">
        <v>1.4908228610000001</v>
      </c>
      <c r="E312" s="19">
        <f t="shared" si="42"/>
        <v>1.4908228610000001</v>
      </c>
      <c r="F312" s="16">
        <v>1.831472E-3</v>
      </c>
      <c r="G312" s="10">
        <f t="shared" si="44"/>
        <v>0</v>
      </c>
      <c r="H312" s="10">
        <f t="shared" si="45"/>
        <v>0</v>
      </c>
      <c r="I312" s="73">
        <f>MAX(0,MIN(O312,H311*2,(D312-Sheet1!$C$3)))</f>
        <v>0</v>
      </c>
      <c r="J312" s="9">
        <f>IF(F312&gt;VLOOKUP($B$16,$B$2:$F$9,5,FALSE),MAX(N312,-F312*(VLOOKUP(B312,$B$2:$E$9,4,FALSE)),-2*(6-H311),-(VLOOKUP(B312,$B$2:$G$9,6,FALSE)-D312)),0)</f>
        <v>0</v>
      </c>
      <c r="K312" s="9">
        <f t="shared" si="43"/>
        <v>0</v>
      </c>
      <c r="L312" s="9">
        <f t="shared" si="46"/>
        <v>0</v>
      </c>
      <c r="M312" s="9">
        <f t="shared" si="47"/>
        <v>0</v>
      </c>
      <c r="N312" s="8">
        <v>-2.5</v>
      </c>
      <c r="O312" s="8">
        <v>0</v>
      </c>
      <c r="P312" s="2"/>
      <c r="Q312" s="2"/>
    </row>
    <row r="313" spans="1:17" x14ac:dyDescent="0.3">
      <c r="A313" s="35">
        <f t="shared" si="48"/>
        <v>11</v>
      </c>
      <c r="B313" s="35">
        <v>7</v>
      </c>
      <c r="C313" s="14">
        <v>43310.208333333336</v>
      </c>
      <c r="D313" s="18">
        <v>1.627475343</v>
      </c>
      <c r="E313" s="19">
        <f t="shared" si="42"/>
        <v>1.627475343</v>
      </c>
      <c r="F313" s="16">
        <v>2.8760910000000001E-2</v>
      </c>
      <c r="G313" s="10">
        <f t="shared" si="44"/>
        <v>0</v>
      </c>
      <c r="H313" s="10">
        <f t="shared" si="45"/>
        <v>0</v>
      </c>
      <c r="I313" s="73">
        <f>MAX(0,MIN(O313,H312*2,(D313-Sheet1!$C$3)))</f>
        <v>0</v>
      </c>
      <c r="J313" s="9">
        <f>IF(F313&gt;VLOOKUP($B$16,$B$2:$F$9,5,FALSE),MAX(N313,-F313*(VLOOKUP(B313,$B$2:$E$9,4,FALSE)),-2*(6-H312),-(VLOOKUP(B313,$B$2:$G$9,6,FALSE)-D313)),0)</f>
        <v>0</v>
      </c>
      <c r="K313" s="9">
        <f t="shared" si="43"/>
        <v>0</v>
      </c>
      <c r="L313" s="9">
        <f t="shared" si="46"/>
        <v>0</v>
      </c>
      <c r="M313" s="9">
        <f t="shared" si="47"/>
        <v>0</v>
      </c>
      <c r="N313" s="8">
        <v>-2.5</v>
      </c>
      <c r="O313" s="8">
        <v>0</v>
      </c>
      <c r="P313" s="2"/>
      <c r="Q313" s="2"/>
    </row>
    <row r="314" spans="1:17" x14ac:dyDescent="0.3">
      <c r="A314" s="35">
        <f t="shared" si="48"/>
        <v>12</v>
      </c>
      <c r="B314" s="35">
        <v>7</v>
      </c>
      <c r="C314" s="14">
        <v>43310.229166666664</v>
      </c>
      <c r="D314" s="18">
        <v>1.671168148</v>
      </c>
      <c r="E314" s="19">
        <f t="shared" si="42"/>
        <v>1.671168148</v>
      </c>
      <c r="F314" s="16">
        <v>2.8760910000000001E-2</v>
      </c>
      <c r="G314" s="10">
        <f t="shared" si="44"/>
        <v>0</v>
      </c>
      <c r="H314" s="10">
        <f t="shared" si="45"/>
        <v>0</v>
      </c>
      <c r="I314" s="73">
        <f>MAX(0,MIN(O314,H313*2,(D314-Sheet1!$C$3)))</f>
        <v>0</v>
      </c>
      <c r="J314" s="9">
        <f>IF(F314&gt;VLOOKUP($B$16,$B$2:$F$9,5,FALSE),MAX(N314,-F314*(VLOOKUP(B314,$B$2:$E$9,4,FALSE)),-2*(6-H313),-(VLOOKUP(B314,$B$2:$G$9,6,FALSE)-D314)),0)</f>
        <v>0</v>
      </c>
      <c r="K314" s="9">
        <f t="shared" si="43"/>
        <v>0</v>
      </c>
      <c r="L314" s="9">
        <f t="shared" si="46"/>
        <v>0</v>
      </c>
      <c r="M314" s="9">
        <f t="shared" si="47"/>
        <v>0</v>
      </c>
      <c r="N314" s="8">
        <v>-2.5</v>
      </c>
      <c r="O314" s="8">
        <v>0</v>
      </c>
      <c r="P314" s="2"/>
      <c r="Q314" s="2"/>
    </row>
    <row r="315" spans="1:17" x14ac:dyDescent="0.3">
      <c r="A315" s="35">
        <f t="shared" si="48"/>
        <v>13</v>
      </c>
      <c r="B315" s="35">
        <v>7</v>
      </c>
      <c r="C315" s="14">
        <v>43310.25</v>
      </c>
      <c r="D315" s="18">
        <v>1.8583342839999999</v>
      </c>
      <c r="E315" s="19">
        <f t="shared" si="42"/>
        <v>1.8583342839999999</v>
      </c>
      <c r="F315" s="16">
        <v>6.5142959E-2</v>
      </c>
      <c r="G315" s="10">
        <f t="shared" si="44"/>
        <v>0</v>
      </c>
      <c r="H315" s="10">
        <f t="shared" si="45"/>
        <v>0</v>
      </c>
      <c r="I315" s="73">
        <f>MAX(0,MIN(O315,H314*2,(D315-Sheet1!$C$3)))</f>
        <v>0</v>
      </c>
      <c r="J315" s="9">
        <f>IF(F315&gt;VLOOKUP($B$16,$B$2:$F$9,5,FALSE),MAX(N315,-F315*(VLOOKUP(B315,$B$2:$E$9,4,FALSE)),-2*(6-H314),-(VLOOKUP(B315,$B$2:$G$9,6,FALSE)-D315)),0)</f>
        <v>0</v>
      </c>
      <c r="K315" s="9">
        <f t="shared" si="43"/>
        <v>0</v>
      </c>
      <c r="L315" s="9">
        <f t="shared" si="46"/>
        <v>0</v>
      </c>
      <c r="M315" s="9">
        <f t="shared" si="47"/>
        <v>0</v>
      </c>
      <c r="N315" s="8">
        <v>-2.5</v>
      </c>
      <c r="O315" s="8">
        <v>0</v>
      </c>
      <c r="P315" s="2"/>
      <c r="Q315" s="2"/>
    </row>
    <row r="316" spans="1:17" x14ac:dyDescent="0.3">
      <c r="A316" s="35">
        <f t="shared" si="48"/>
        <v>14</v>
      </c>
      <c r="B316" s="35">
        <v>7</v>
      </c>
      <c r="C316" s="14">
        <v>43310.270833333336</v>
      </c>
      <c r="D316" s="18">
        <v>1.9577239179999999</v>
      </c>
      <c r="E316" s="19">
        <f t="shared" si="42"/>
        <v>1.9577239179999999</v>
      </c>
      <c r="F316" s="16">
        <v>7.5135559000000005E-2</v>
      </c>
      <c r="G316" s="10">
        <f t="shared" si="44"/>
        <v>0</v>
      </c>
      <c r="H316" s="10">
        <f t="shared" si="45"/>
        <v>0</v>
      </c>
      <c r="I316" s="73">
        <f>MAX(0,MIN(O316,H315*2,(D316-Sheet1!$C$3)))</f>
        <v>0</v>
      </c>
      <c r="J316" s="9">
        <f>IF(F316&gt;VLOOKUP($B$16,$B$2:$F$9,5,FALSE),MAX(N316,-F316*(VLOOKUP(B316,$B$2:$E$9,4,FALSE)),-2*(6-H315),-(VLOOKUP(B316,$B$2:$G$9,6,FALSE)-D316)),0)</f>
        <v>0</v>
      </c>
      <c r="K316" s="9">
        <f t="shared" si="43"/>
        <v>0</v>
      </c>
      <c r="L316" s="9">
        <f t="shared" si="46"/>
        <v>0</v>
      </c>
      <c r="M316" s="9">
        <f t="shared" si="47"/>
        <v>0</v>
      </c>
      <c r="N316" s="8">
        <v>-2.5</v>
      </c>
      <c r="O316" s="8">
        <v>0</v>
      </c>
      <c r="P316" s="2"/>
      <c r="Q316" s="2"/>
    </row>
    <row r="317" spans="1:17" x14ac:dyDescent="0.3">
      <c r="A317" s="35">
        <f t="shared" si="48"/>
        <v>15</v>
      </c>
      <c r="B317" s="35">
        <v>7</v>
      </c>
      <c r="C317" s="14">
        <v>43310.291666666664</v>
      </c>
      <c r="D317" s="18">
        <v>2.3214154900000001</v>
      </c>
      <c r="E317" s="19">
        <f t="shared" si="42"/>
        <v>2.3214154900000001</v>
      </c>
      <c r="F317" s="16">
        <v>0.25268137499999999</v>
      </c>
      <c r="G317" s="10">
        <f t="shared" si="44"/>
        <v>0</v>
      </c>
      <c r="H317" s="10">
        <f t="shared" si="45"/>
        <v>0</v>
      </c>
      <c r="I317" s="73">
        <f>MAX(0,MIN(O317,H316*2,(D317-Sheet1!$C$3)))</f>
        <v>0</v>
      </c>
      <c r="J317" s="9">
        <f>IF(F317&gt;VLOOKUP($B$16,$B$2:$F$9,5,FALSE),MAX(N317,-F317*(VLOOKUP(B317,$B$2:$E$9,4,FALSE)),-2*(6-H316),-(VLOOKUP(B317,$B$2:$G$9,6,FALSE)-D317)),0)</f>
        <v>0</v>
      </c>
      <c r="K317" s="9">
        <f t="shared" si="43"/>
        <v>0</v>
      </c>
      <c r="L317" s="9">
        <f t="shared" si="46"/>
        <v>0</v>
      </c>
      <c r="M317" s="9">
        <f t="shared" si="47"/>
        <v>0</v>
      </c>
      <c r="N317" s="8">
        <v>-2.5</v>
      </c>
      <c r="O317" s="8">
        <v>0</v>
      </c>
      <c r="P317" s="2"/>
      <c r="Q317" s="2"/>
    </row>
    <row r="318" spans="1:17" x14ac:dyDescent="0.3">
      <c r="A318" s="35">
        <f t="shared" si="48"/>
        <v>16</v>
      </c>
      <c r="B318" s="35">
        <v>7</v>
      </c>
      <c r="C318" s="14">
        <v>43310.3125</v>
      </c>
      <c r="D318" s="18">
        <v>2.4574770610000001</v>
      </c>
      <c r="E318" s="19">
        <f t="shared" si="42"/>
        <v>2.4574770610000001</v>
      </c>
      <c r="F318" s="16">
        <v>0.32854080200000002</v>
      </c>
      <c r="G318" s="10">
        <f t="shared" si="44"/>
        <v>0</v>
      </c>
      <c r="H318" s="10">
        <f t="shared" si="45"/>
        <v>0</v>
      </c>
      <c r="I318" s="73">
        <f>MAX(0,MIN(O318,H317*2,(D318-Sheet1!$C$3)))</f>
        <v>0</v>
      </c>
      <c r="J318" s="9">
        <f>IF(F318&gt;VLOOKUP($B$16,$B$2:$F$9,5,FALSE),MAX(N318,-F318*(VLOOKUP(B318,$B$2:$E$9,4,FALSE)),-2*(6-H317),-(VLOOKUP(B318,$B$2:$G$9,6,FALSE)-D318)),0)</f>
        <v>0</v>
      </c>
      <c r="K318" s="9">
        <f t="shared" si="43"/>
        <v>0</v>
      </c>
      <c r="L318" s="9">
        <f t="shared" si="46"/>
        <v>0</v>
      </c>
      <c r="M318" s="9">
        <f t="shared" si="47"/>
        <v>0</v>
      </c>
      <c r="N318" s="8">
        <v>-2.5</v>
      </c>
      <c r="O318" s="8">
        <v>0</v>
      </c>
      <c r="P318" s="2"/>
      <c r="Q318" s="2"/>
    </row>
    <row r="319" spans="1:17" x14ac:dyDescent="0.3">
      <c r="A319" s="35">
        <f t="shared" si="48"/>
        <v>17</v>
      </c>
      <c r="B319" s="35">
        <v>7</v>
      </c>
      <c r="C319" s="14">
        <v>43310.333333333336</v>
      </c>
      <c r="D319" s="18">
        <v>2.8967349740000001</v>
      </c>
      <c r="E319" s="19">
        <f t="shared" si="42"/>
        <v>2.8967349740000001</v>
      </c>
      <c r="F319" s="16">
        <v>0.57902067899999998</v>
      </c>
      <c r="G319" s="10">
        <f t="shared" si="44"/>
        <v>0</v>
      </c>
      <c r="H319" s="10">
        <f t="shared" si="45"/>
        <v>0</v>
      </c>
      <c r="I319" s="73">
        <f>MAX(0,MIN(O319,H318*2,(D319-Sheet1!$C$3)))</f>
        <v>0</v>
      </c>
      <c r="J319" s="9">
        <f>IF(F319&gt;VLOOKUP($B$16,$B$2:$F$9,5,FALSE),MAX(N319,-F319*(VLOOKUP(B319,$B$2:$E$9,4,FALSE)),-2*(6-H318),-(VLOOKUP(B319,$B$2:$G$9,6,FALSE)-D319)),0)</f>
        <v>0</v>
      </c>
      <c r="K319" s="9">
        <f t="shared" si="43"/>
        <v>0</v>
      </c>
      <c r="L319" s="9">
        <f t="shared" si="46"/>
        <v>0</v>
      </c>
      <c r="M319" s="9">
        <f t="shared" si="47"/>
        <v>0</v>
      </c>
      <c r="N319" s="8">
        <v>-2.5</v>
      </c>
      <c r="O319" s="8">
        <v>0</v>
      </c>
      <c r="P319" s="2"/>
      <c r="Q319" s="2"/>
    </row>
    <row r="320" spans="1:17" x14ac:dyDescent="0.3">
      <c r="A320" s="35">
        <f t="shared" si="48"/>
        <v>18</v>
      </c>
      <c r="B320" s="35">
        <v>7</v>
      </c>
      <c r="C320" s="14">
        <v>43310.354166666664</v>
      </c>
      <c r="D320" s="18">
        <v>2.910588325</v>
      </c>
      <c r="E320" s="19">
        <f t="shared" si="42"/>
        <v>2.910588325</v>
      </c>
      <c r="F320" s="16">
        <v>0.82445561899999997</v>
      </c>
      <c r="G320" s="10">
        <f t="shared" si="44"/>
        <v>0</v>
      </c>
      <c r="H320" s="10">
        <f t="shared" si="45"/>
        <v>0</v>
      </c>
      <c r="I320" s="73">
        <f>MAX(0,MIN(O320,H319*2,(D320-Sheet1!$C$3)))</f>
        <v>0</v>
      </c>
      <c r="J320" s="9">
        <f>IF(F320&gt;VLOOKUP($B$16,$B$2:$F$9,5,FALSE),MAX(N320,-F320*(VLOOKUP(B320,$B$2:$E$9,4,FALSE)),-2*(6-H319),-(VLOOKUP(B320,$B$2:$G$9,6,FALSE)-D320)),0)</f>
        <v>0</v>
      </c>
      <c r="K320" s="9">
        <f t="shared" si="43"/>
        <v>0</v>
      </c>
      <c r="L320" s="9">
        <f t="shared" si="46"/>
        <v>0</v>
      </c>
      <c r="M320" s="9">
        <f t="shared" si="47"/>
        <v>0</v>
      </c>
      <c r="N320" s="8">
        <v>-2.5</v>
      </c>
      <c r="O320" s="8">
        <v>0</v>
      </c>
      <c r="P320" s="2"/>
      <c r="Q320" s="2"/>
    </row>
    <row r="321" spans="1:28" x14ac:dyDescent="0.3">
      <c r="A321" s="35">
        <f t="shared" si="48"/>
        <v>19</v>
      </c>
      <c r="B321" s="35">
        <v>7</v>
      </c>
      <c r="C321" s="14">
        <v>43310.375</v>
      </c>
      <c r="D321" s="18">
        <v>2.9425569899999999</v>
      </c>
      <c r="E321" s="19">
        <f t="shared" si="42"/>
        <v>2.9425569899999999</v>
      </c>
      <c r="F321" s="16">
        <v>0.88621586600000002</v>
      </c>
      <c r="G321" s="10">
        <f t="shared" si="44"/>
        <v>0</v>
      </c>
      <c r="H321" s="10">
        <f t="shared" si="45"/>
        <v>0</v>
      </c>
      <c r="I321" s="73">
        <f>MAX(0,MIN(O321,H320*2,(D321-Sheet1!$C$3)))</f>
        <v>0</v>
      </c>
      <c r="J321" s="9">
        <f>IF(F321&gt;VLOOKUP($B$16,$B$2:$F$9,5,FALSE),MAX(N321,-F321*(VLOOKUP(B321,$B$2:$E$9,4,FALSE)),-2*(6-H320),-(VLOOKUP(B321,$B$2:$G$9,6,FALSE)-D321)),0)</f>
        <v>0</v>
      </c>
      <c r="K321" s="9">
        <f t="shared" si="43"/>
        <v>0</v>
      </c>
      <c r="L321" s="9">
        <f t="shared" si="46"/>
        <v>0</v>
      </c>
      <c r="M321" s="9">
        <f t="shared" si="47"/>
        <v>0</v>
      </c>
      <c r="N321" s="8">
        <v>-2.5</v>
      </c>
      <c r="O321" s="8">
        <v>0</v>
      </c>
      <c r="P321" s="2"/>
      <c r="Q321" s="2"/>
    </row>
    <row r="322" spans="1:28" x14ac:dyDescent="0.3">
      <c r="A322" s="35">
        <f t="shared" si="48"/>
        <v>20</v>
      </c>
      <c r="B322" s="35">
        <v>7</v>
      </c>
      <c r="C322" s="14">
        <v>43310.395833333336</v>
      </c>
      <c r="D322" s="18">
        <v>2.8865789159999999</v>
      </c>
      <c r="E322" s="19">
        <f t="shared" si="42"/>
        <v>3.5994869642730318</v>
      </c>
      <c r="F322" s="16">
        <v>1.07110858</v>
      </c>
      <c r="G322" s="10">
        <f t="shared" si="44"/>
        <v>0.71290804827303189</v>
      </c>
      <c r="H322" s="10">
        <f t="shared" si="45"/>
        <v>0.35645402413651595</v>
      </c>
      <c r="I322" s="73">
        <f>MAX(0,MIN(O322,H321*2,(D322-Sheet1!$C$3)))</f>
        <v>0</v>
      </c>
      <c r="J322" s="9">
        <f>IF(F322&gt;VLOOKUP($B$16,$B$2:$F$9,5,FALSE),MAX(N322,-F322*(VLOOKUP(B322,$B$2:$E$9,4,FALSE)),-2*(6-H321),-(VLOOKUP(B322,$B$2:$G$9,6,FALSE)-D322)),0)</f>
        <v>-0.71290804827303189</v>
      </c>
      <c r="K322" s="9">
        <f t="shared" si="43"/>
        <v>0</v>
      </c>
      <c r="L322" s="9">
        <f t="shared" si="46"/>
        <v>-0.71290804827303189</v>
      </c>
      <c r="M322" s="9">
        <f t="shared" si="47"/>
        <v>0</v>
      </c>
      <c r="N322" s="8">
        <v>-2.5</v>
      </c>
      <c r="O322" s="8">
        <v>0</v>
      </c>
      <c r="P322" s="2"/>
      <c r="Q322" s="2"/>
    </row>
    <row r="323" spans="1:28" x14ac:dyDescent="0.3">
      <c r="A323" s="35">
        <f t="shared" si="48"/>
        <v>21</v>
      </c>
      <c r="B323" s="35">
        <v>7</v>
      </c>
      <c r="C323" s="14">
        <v>43310.416666666664</v>
      </c>
      <c r="D323" s="18">
        <v>2.8070105320000001</v>
      </c>
      <c r="E323" s="19">
        <f t="shared" si="42"/>
        <v>3.9942431637499998</v>
      </c>
      <c r="F323" s="16">
        <v>1.938806295</v>
      </c>
      <c r="G323" s="10">
        <f t="shared" si="44"/>
        <v>1.1872326317499997</v>
      </c>
      <c r="H323" s="10">
        <f t="shared" si="45"/>
        <v>0.9500703400115158</v>
      </c>
      <c r="I323" s="73">
        <f>MAX(0,MIN(O323,H322*2,(D323-Sheet1!$C$3)))</f>
        <v>0</v>
      </c>
      <c r="J323" s="9">
        <f>IF(F323&gt;VLOOKUP($B$16,$B$2:$F$9,5,FALSE),MAX(N323,-F323*(VLOOKUP(B323,$B$2:$E$9,4,FALSE)),-2*(6-H322),-(VLOOKUP(B323,$B$2:$G$9,6,FALSE)-D323)),0)</f>
        <v>-1.1872326317499997</v>
      </c>
      <c r="K323" s="9">
        <f t="shared" si="43"/>
        <v>0</v>
      </c>
      <c r="L323" s="9">
        <f t="shared" si="46"/>
        <v>-1.1872326317499997</v>
      </c>
      <c r="M323" s="9">
        <f t="shared" si="47"/>
        <v>0</v>
      </c>
      <c r="N323" s="8">
        <v>-2.5</v>
      </c>
      <c r="O323" s="8">
        <v>0</v>
      </c>
      <c r="P323" s="2"/>
      <c r="Q323" s="2"/>
    </row>
    <row r="324" spans="1:28" x14ac:dyDescent="0.3">
      <c r="A324" s="35">
        <f t="shared" si="48"/>
        <v>22</v>
      </c>
      <c r="B324" s="35">
        <v>7</v>
      </c>
      <c r="C324" s="14">
        <v>43310.4375</v>
      </c>
      <c r="D324" s="18">
        <v>2.78594542</v>
      </c>
      <c r="E324" s="19">
        <f t="shared" si="42"/>
        <v>3.9942431637499998</v>
      </c>
      <c r="F324" s="16">
        <v>2.0033552650000002</v>
      </c>
      <c r="G324" s="10">
        <f t="shared" si="44"/>
        <v>1.2082977437499998</v>
      </c>
      <c r="H324" s="10">
        <f t="shared" si="45"/>
        <v>1.5542192118865157</v>
      </c>
      <c r="I324" s="73">
        <f>MAX(0,MIN(O324,H323*2,(D324-Sheet1!$C$3)))</f>
        <v>0</v>
      </c>
      <c r="J324" s="9">
        <f>IF(F324&gt;VLOOKUP($B$16,$B$2:$F$9,5,FALSE),MAX(N324,-F324*(VLOOKUP(B324,$B$2:$E$9,4,FALSE)),-2*(6-H323),-(VLOOKUP(B324,$B$2:$G$9,6,FALSE)-D324)),0)</f>
        <v>-1.2082977437499998</v>
      </c>
      <c r="K324" s="9">
        <f t="shared" si="43"/>
        <v>0</v>
      </c>
      <c r="L324" s="9">
        <f t="shared" si="46"/>
        <v>-1.2082977437499998</v>
      </c>
      <c r="M324" s="9">
        <f t="shared" si="47"/>
        <v>0</v>
      </c>
      <c r="N324" s="8">
        <v>-2.5</v>
      </c>
      <c r="O324" s="8">
        <v>0</v>
      </c>
      <c r="P324" s="2"/>
      <c r="Q324" s="2"/>
    </row>
    <row r="325" spans="1:28" x14ac:dyDescent="0.3">
      <c r="A325" s="35">
        <f t="shared" si="48"/>
        <v>23</v>
      </c>
      <c r="B325" s="35">
        <v>7</v>
      </c>
      <c r="C325" s="14">
        <v>43310.458333333336</v>
      </c>
      <c r="D325" s="18">
        <v>2.6661202230000001</v>
      </c>
      <c r="E325" s="19">
        <f t="shared" si="42"/>
        <v>3.9942431637499998</v>
      </c>
      <c r="F325" s="16">
        <v>2.6272087100000001</v>
      </c>
      <c r="G325" s="10">
        <f t="shared" si="44"/>
        <v>1.3281229407499997</v>
      </c>
      <c r="H325" s="10">
        <f t="shared" si="45"/>
        <v>2.2182806822615158</v>
      </c>
      <c r="I325" s="73">
        <f>MAX(0,MIN(O325,H324*2,(D325-Sheet1!$C$3)))</f>
        <v>0</v>
      </c>
      <c r="J325" s="9">
        <f>IF(F325&gt;VLOOKUP($B$16,$B$2:$F$9,5,FALSE),MAX(N325,-F325*(VLOOKUP(B325,$B$2:$E$9,4,FALSE)),-2*(6-H324),-(VLOOKUP(B325,$B$2:$G$9,6,FALSE)-D325)),0)</f>
        <v>-1.3281229407499997</v>
      </c>
      <c r="K325" s="9">
        <f t="shared" si="43"/>
        <v>0</v>
      </c>
      <c r="L325" s="9">
        <f t="shared" si="46"/>
        <v>-1.3281229407499997</v>
      </c>
      <c r="M325" s="9">
        <f t="shared" si="47"/>
        <v>0</v>
      </c>
      <c r="N325" s="8">
        <v>-2.5</v>
      </c>
      <c r="O325" s="8">
        <v>0</v>
      </c>
      <c r="P325" s="2"/>
      <c r="Q325" s="2"/>
    </row>
    <row r="326" spans="1:28" x14ac:dyDescent="0.3">
      <c r="A326" s="35">
        <f t="shared" si="48"/>
        <v>24</v>
      </c>
      <c r="B326" s="35">
        <v>7</v>
      </c>
      <c r="C326" s="14">
        <v>43310.479166666664</v>
      </c>
      <c r="D326" s="18">
        <v>2.6566116759999998</v>
      </c>
      <c r="E326" s="19">
        <f t="shared" si="42"/>
        <v>3.9942431637499998</v>
      </c>
      <c r="F326" s="16">
        <v>2.6567013259999999</v>
      </c>
      <c r="G326" s="10">
        <f t="shared" si="44"/>
        <v>1.33763148775</v>
      </c>
      <c r="H326" s="10">
        <f t="shared" si="45"/>
        <v>2.887096426136516</v>
      </c>
      <c r="I326" s="73">
        <f>MAX(0,MIN(O326,H325*2,(D326-Sheet1!$C$3)))</f>
        <v>0</v>
      </c>
      <c r="J326" s="9">
        <f>IF(F326&gt;VLOOKUP($B$16,$B$2:$F$9,5,FALSE),MAX(N326,-F326*(VLOOKUP(B326,$B$2:$E$9,4,FALSE)),-2*(6-H325),-(VLOOKUP(B326,$B$2:$G$9,6,FALSE)-D326)),0)</f>
        <v>-1.33763148775</v>
      </c>
      <c r="K326" s="9">
        <f t="shared" si="43"/>
        <v>0</v>
      </c>
      <c r="L326" s="9">
        <f t="shared" si="46"/>
        <v>-1.33763148775</v>
      </c>
      <c r="M326" s="9">
        <f t="shared" si="47"/>
        <v>0</v>
      </c>
      <c r="N326" s="8">
        <v>-2.5</v>
      </c>
      <c r="O326" s="8">
        <v>0</v>
      </c>
      <c r="P326" s="2"/>
      <c r="Q326" s="2"/>
    </row>
    <row r="327" spans="1:28" x14ac:dyDescent="0.3">
      <c r="A327" s="35">
        <f t="shared" si="48"/>
        <v>25</v>
      </c>
      <c r="B327" s="35">
        <v>7</v>
      </c>
      <c r="C327" s="14">
        <v>43310.5</v>
      </c>
      <c r="D327" s="18">
        <v>2.4609248629999998</v>
      </c>
      <c r="E327" s="19">
        <f t="shared" si="42"/>
        <v>3.9942431637499998</v>
      </c>
      <c r="F327" s="16">
        <v>2.7817151550000001</v>
      </c>
      <c r="G327" s="10">
        <f t="shared" si="44"/>
        <v>1.53331830075</v>
      </c>
      <c r="H327" s="10">
        <f t="shared" si="45"/>
        <v>3.6537555765115162</v>
      </c>
      <c r="I327" s="73">
        <f>MAX(0,MIN(O327,H326*2,(D327-Sheet1!$C$3)))</f>
        <v>0</v>
      </c>
      <c r="J327" s="9">
        <f>IF(F327&gt;VLOOKUP($B$16,$B$2:$F$9,5,FALSE),MAX(N327,-F327*(VLOOKUP(B327,$B$2:$E$9,4,FALSE)),-2*(6-H326),-(VLOOKUP(B327,$B$2:$G$9,6,FALSE)-D327)),0)</f>
        <v>-1.53331830075</v>
      </c>
      <c r="K327" s="9">
        <f t="shared" si="43"/>
        <v>0</v>
      </c>
      <c r="L327" s="9">
        <f t="shared" si="46"/>
        <v>-1.53331830075</v>
      </c>
      <c r="M327" s="9">
        <f t="shared" si="47"/>
        <v>0</v>
      </c>
      <c r="N327" s="8">
        <v>-2.5</v>
      </c>
      <c r="O327" s="8">
        <v>0</v>
      </c>
      <c r="P327" s="2"/>
      <c r="Q327" s="2"/>
    </row>
    <row r="328" spans="1:28" x14ac:dyDescent="0.3">
      <c r="A328" s="35">
        <f t="shared" si="48"/>
        <v>26</v>
      </c>
      <c r="B328" s="35">
        <v>7</v>
      </c>
      <c r="C328" s="14">
        <v>43310.520833333336</v>
      </c>
      <c r="D328" s="18">
        <v>2.4070870740000001</v>
      </c>
      <c r="E328" s="19">
        <f t="shared" si="42"/>
        <v>3.9942431637499998</v>
      </c>
      <c r="F328" s="16">
        <v>2.7457706929999999</v>
      </c>
      <c r="G328" s="10">
        <f t="shared" si="44"/>
        <v>1.5871560897499997</v>
      </c>
      <c r="H328" s="10">
        <f t="shared" si="45"/>
        <v>4.447333621386516</v>
      </c>
      <c r="I328" s="73">
        <f>MAX(0,MIN(O328,H327*2,(D328-Sheet1!$C$3)))</f>
        <v>0</v>
      </c>
      <c r="J328" s="9">
        <f>IF(F328&gt;VLOOKUP($B$16,$B$2:$F$9,5,FALSE),MAX(N328,-F328*(VLOOKUP(B328,$B$2:$E$9,4,FALSE)),-2*(6-H327),-(VLOOKUP(B328,$B$2:$G$9,6,FALSE)-D328)),0)</f>
        <v>-1.5871560897499997</v>
      </c>
      <c r="K328" s="9">
        <f t="shared" si="43"/>
        <v>0</v>
      </c>
      <c r="L328" s="9">
        <f t="shared" si="46"/>
        <v>-1.5871560897499997</v>
      </c>
      <c r="M328" s="9">
        <f t="shared" si="47"/>
        <v>0</v>
      </c>
      <c r="N328" s="8">
        <v>-2.5</v>
      </c>
      <c r="O328" s="8">
        <v>0</v>
      </c>
      <c r="P328" s="2"/>
      <c r="Q328" s="2"/>
    </row>
    <row r="329" spans="1:28" x14ac:dyDescent="0.3">
      <c r="A329" s="35">
        <f t="shared" si="48"/>
        <v>27</v>
      </c>
      <c r="B329" s="35">
        <v>7</v>
      </c>
      <c r="C329" s="14">
        <v>43310.541666666664</v>
      </c>
      <c r="D329" s="18">
        <v>2.3421261059999998</v>
      </c>
      <c r="E329" s="19">
        <f t="shared" si="42"/>
        <v>3.9942431637499998</v>
      </c>
      <c r="F329" s="16">
        <v>2.8152046199999998</v>
      </c>
      <c r="G329" s="10">
        <f t="shared" si="44"/>
        <v>1.65211705775</v>
      </c>
      <c r="H329" s="10">
        <f t="shared" si="45"/>
        <v>5.2733921502615164</v>
      </c>
      <c r="I329" s="73">
        <f>MAX(0,MIN(O329,H328*2,(D329-Sheet1!$C$3)))</f>
        <v>0</v>
      </c>
      <c r="J329" s="9">
        <f>IF(F329&gt;VLOOKUP($B$16,$B$2:$F$9,5,FALSE),MAX(N329,-F329*(VLOOKUP(B329,$B$2:$E$9,4,FALSE)),-2*(6-H328),-(VLOOKUP(B329,$B$2:$G$9,6,FALSE)-D329)),0)</f>
        <v>-1.65211705775</v>
      </c>
      <c r="K329" s="9">
        <f t="shared" si="43"/>
        <v>0</v>
      </c>
      <c r="L329" s="9">
        <f t="shared" si="46"/>
        <v>-1.65211705775</v>
      </c>
      <c r="M329" s="9">
        <f t="shared" si="47"/>
        <v>0</v>
      </c>
      <c r="N329" s="8">
        <v>-2.5</v>
      </c>
      <c r="O329" s="8">
        <v>0</v>
      </c>
      <c r="P329" s="2"/>
      <c r="Q329" s="2"/>
    </row>
    <row r="330" spans="1:28" x14ac:dyDescent="0.3">
      <c r="A330" s="35">
        <f t="shared" si="48"/>
        <v>28</v>
      </c>
      <c r="B330" s="35">
        <v>7</v>
      </c>
      <c r="C330" s="14">
        <v>43310.5625</v>
      </c>
      <c r="D330" s="18">
        <v>2.3472860199999999</v>
      </c>
      <c r="E330" s="19">
        <f t="shared" si="42"/>
        <v>3.800501719476967</v>
      </c>
      <c r="F330" s="16">
        <v>2.8152046199999998</v>
      </c>
      <c r="G330" s="10">
        <f t="shared" si="44"/>
        <v>1.4532156994769672</v>
      </c>
      <c r="H330" s="10">
        <f t="shared" si="45"/>
        <v>6</v>
      </c>
      <c r="I330" s="73">
        <f>MAX(0,MIN(O330,H329*2,(D330-Sheet1!$C$3)))</f>
        <v>0</v>
      </c>
      <c r="J330" s="9">
        <f>IF(F330&gt;VLOOKUP($B$16,$B$2:$F$9,5,FALSE),MAX(N330,-F330*(VLOOKUP(B330,$B$2:$E$9,4,FALSE)),-2*(6-H329),-(VLOOKUP(B330,$B$2:$G$9,6,FALSE)-D330)),0)</f>
        <v>-1.4532156994769672</v>
      </c>
      <c r="K330" s="9">
        <f t="shared" si="43"/>
        <v>0</v>
      </c>
      <c r="L330" s="9">
        <f t="shared" si="46"/>
        <v>-1.4532156994769672</v>
      </c>
      <c r="M330" s="9">
        <f t="shared" si="47"/>
        <v>0</v>
      </c>
      <c r="N330" s="8">
        <v>-2.5</v>
      </c>
      <c r="O330" s="8">
        <v>0</v>
      </c>
      <c r="P330" s="2"/>
      <c r="Q330" s="2"/>
    </row>
    <row r="331" spans="1:28" x14ac:dyDescent="0.3">
      <c r="A331" s="35">
        <f t="shared" si="48"/>
        <v>29</v>
      </c>
      <c r="B331" s="35">
        <v>7</v>
      </c>
      <c r="C331" s="14">
        <v>43310.583333333336</v>
      </c>
      <c r="D331" s="18">
        <v>2.4317770460000001</v>
      </c>
      <c r="E331" s="19">
        <f t="shared" si="42"/>
        <v>2.4317770460000001</v>
      </c>
      <c r="F331" s="16">
        <v>1.8658413890000001</v>
      </c>
      <c r="G331" s="10">
        <f t="shared" si="44"/>
        <v>0</v>
      </c>
      <c r="H331" s="10">
        <f t="shared" si="45"/>
        <v>6</v>
      </c>
      <c r="I331" s="73">
        <f>MAX(0,MIN(O331,H330*2,(D331-Sheet1!$C$3)))</f>
        <v>0</v>
      </c>
      <c r="J331" s="9">
        <f>IF(F331&gt;VLOOKUP($B$16,$B$2:$F$9,5,FALSE),MAX(N331,-F331*(VLOOKUP(B331,$B$2:$E$9,4,FALSE)),-2*(6-H330),-(VLOOKUP(B331,$B$2:$G$9,6,FALSE)-D331)),0)</f>
        <v>0</v>
      </c>
      <c r="K331" s="9">
        <f t="shared" si="43"/>
        <v>0</v>
      </c>
      <c r="L331" s="9">
        <f t="shared" si="46"/>
        <v>0</v>
      </c>
      <c r="M331" s="9">
        <f t="shared" si="47"/>
        <v>0</v>
      </c>
      <c r="N331" s="8">
        <v>-2.5</v>
      </c>
      <c r="O331" s="8">
        <v>0</v>
      </c>
      <c r="P331" s="2"/>
      <c r="Q331" s="2"/>
    </row>
    <row r="332" spans="1:28" x14ac:dyDescent="0.3">
      <c r="A332" s="37">
        <f t="shared" si="48"/>
        <v>30</v>
      </c>
      <c r="B332" s="37">
        <v>7</v>
      </c>
      <c r="C332" s="24">
        <v>43310.604166666664</v>
      </c>
      <c r="D332" s="25">
        <v>2.4993341240000002</v>
      </c>
      <c r="E332" s="26">
        <f t="shared" si="42"/>
        <v>2.4993341240000002</v>
      </c>
      <c r="F332" s="27">
        <v>1.707827091</v>
      </c>
      <c r="G332" s="10">
        <f t="shared" si="44"/>
        <v>0</v>
      </c>
      <c r="H332" s="10">
        <f t="shared" si="45"/>
        <v>6</v>
      </c>
      <c r="I332" s="93">
        <f>MAX(0,MIN(O332,H331*2,(D332-Sheet1!$C$3)))</f>
        <v>0</v>
      </c>
      <c r="J332" s="9">
        <f>IF(F332&gt;VLOOKUP($B$16,$B$2:$F$9,5,FALSE),MAX(N332,-F332*(VLOOKUP(B332,$B$2:$E$9,4,FALSE)),-2*(6-H331),-(VLOOKUP(B332,$B$2:$G$9,6,FALSE)-D332)),0)</f>
        <v>0</v>
      </c>
      <c r="K332" s="9">
        <f t="shared" si="43"/>
        <v>0</v>
      </c>
      <c r="L332" s="42">
        <f t="shared" si="46"/>
        <v>0</v>
      </c>
      <c r="M332" s="42">
        <f t="shared" si="47"/>
        <v>0</v>
      </c>
      <c r="N332" s="23">
        <v>-2.5</v>
      </c>
      <c r="O332" s="23">
        <v>0</v>
      </c>
      <c r="P332" s="2"/>
      <c r="Q332" s="2"/>
    </row>
    <row r="333" spans="1:28" s="64" customFormat="1" ht="15" thickBot="1" x14ac:dyDescent="0.35">
      <c r="A333" s="54">
        <f t="shared" si="48"/>
        <v>31</v>
      </c>
      <c r="B333" s="54">
        <v>7</v>
      </c>
      <c r="C333" s="55">
        <v>43310.625</v>
      </c>
      <c r="D333" s="56">
        <v>2.9160692070000001</v>
      </c>
      <c r="E333" s="57">
        <f t="shared" si="42"/>
        <v>2.9160692070000001</v>
      </c>
      <c r="F333" s="58">
        <v>0.75955963100000001</v>
      </c>
      <c r="G333" s="111">
        <f>-SUM(I333,J333,K333)</f>
        <v>0</v>
      </c>
      <c r="H333" s="111">
        <f>H332+((G333*0.5))</f>
        <v>6</v>
      </c>
      <c r="I333" s="74">
        <f>MAX(0,MIN(O333,H332*2,(D333-Sheet1!$C$3)))</f>
        <v>0</v>
      </c>
      <c r="J333" s="9">
        <f>IF(F333&gt;VLOOKUP($B$16,$B$2:$F$9,5,FALSE),MAX(N333,-F333*(VLOOKUP(B333,$B$2:$E$9,4,FALSE)),-2*(6-H332),-(VLOOKUP(B333,$B$2:$G$9,6,FALSE)-D333)),0)</f>
        <v>0</v>
      </c>
      <c r="K333" s="60">
        <f>IF(A333&lt;&gt;31,0,-2*((6-H332+((J333*0.5)))))</f>
        <v>0</v>
      </c>
      <c r="L333" s="60">
        <f t="shared" si="46"/>
        <v>0</v>
      </c>
      <c r="M333" s="60">
        <f t="shared" si="47"/>
        <v>0</v>
      </c>
      <c r="N333" s="61">
        <v>-2.5</v>
      </c>
      <c r="O333" s="61">
        <v>0</v>
      </c>
      <c r="P333" s="62"/>
      <c r="Q333" s="62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 spans="1:28" x14ac:dyDescent="0.3">
      <c r="A334" s="44">
        <f>A333+1</f>
        <v>32</v>
      </c>
      <c r="B334" s="44">
        <v>7</v>
      </c>
      <c r="C334" s="45">
        <v>43310.645833333336</v>
      </c>
      <c r="D334" s="46">
        <v>3.0639703709999999</v>
      </c>
      <c r="E334" s="33">
        <f t="shared" si="42"/>
        <v>1.9066965960909088</v>
      </c>
      <c r="F334" s="47">
        <v>0.69125837099999998</v>
      </c>
      <c r="G334" s="97">
        <f t="shared" si="44"/>
        <v>-1.1572737749090911</v>
      </c>
      <c r="H334" s="97">
        <f t="shared" si="45"/>
        <v>5.4213631125454542</v>
      </c>
      <c r="I334" s="72">
        <f>MAX(0,MIN(O334,H333*2,(D334-Sheet1!$C$3)))</f>
        <v>1.1572737749090911</v>
      </c>
      <c r="J334" s="9">
        <f>IF(F334&gt;VLOOKUP($B$16,$B$2:$F$9,5,FALSE),MAX(N334,-F334*(VLOOKUP(B334,$B$2:$E$9,4,FALSE)),-2*(6-H333),-(VLOOKUP(B334,$B$2:$G$9,6,FALSE)-D334)),0)</f>
        <v>0</v>
      </c>
      <c r="K334" s="40">
        <f t="shared" ref="K334:K350" si="49">IF(A334&lt;&gt;31,0,-2*((6-H333+((J334*0.5)))))</f>
        <v>0</v>
      </c>
      <c r="L334" s="41"/>
      <c r="M334" s="41"/>
      <c r="N334" s="48">
        <v>0</v>
      </c>
      <c r="O334" s="48">
        <v>2.5</v>
      </c>
      <c r="P334" s="2"/>
      <c r="Q334" s="2"/>
    </row>
    <row r="335" spans="1:28" x14ac:dyDescent="0.3">
      <c r="A335" s="36">
        <f t="shared" si="48"/>
        <v>33</v>
      </c>
      <c r="B335" s="36">
        <v>7</v>
      </c>
      <c r="C335" s="15">
        <v>43310.666666666664</v>
      </c>
      <c r="D335" s="20">
        <v>3.1195840380000002</v>
      </c>
      <c r="E335" s="19">
        <f t="shared" ref="E335:E350" si="50">D335-J335-I335</f>
        <v>1.9066965960909088</v>
      </c>
      <c r="F335" s="17">
        <v>0.444859952</v>
      </c>
      <c r="G335" s="10">
        <f t="shared" si="44"/>
        <v>-1.2128874419090914</v>
      </c>
      <c r="H335" s="10">
        <f t="shared" si="45"/>
        <v>4.8149193915909088</v>
      </c>
      <c r="I335" s="73">
        <f>MAX(0,MIN(O335,H334*2,(D335-Sheet1!$C$3)))</f>
        <v>1.2128874419090914</v>
      </c>
      <c r="J335" s="9">
        <f>IF(F335&gt;VLOOKUP($B$16,$B$2:$F$9,5,FALSE),MAX(N335,-F335*(VLOOKUP(B335,$B$2:$E$9,4,FALSE)),-2*(6-H334),-(VLOOKUP(B335,$B$2:$G$9,6,FALSE)-D335)),0)</f>
        <v>0</v>
      </c>
      <c r="K335" s="9">
        <f t="shared" si="49"/>
        <v>0</v>
      </c>
      <c r="L335" s="12"/>
      <c r="M335" s="12"/>
      <c r="N335" s="13">
        <v>0</v>
      </c>
      <c r="O335" s="13">
        <v>2.5</v>
      </c>
      <c r="P335" s="2"/>
      <c r="Q335" s="2"/>
    </row>
    <row r="336" spans="1:28" x14ac:dyDescent="0.3">
      <c r="A336" s="36">
        <f t="shared" si="48"/>
        <v>34</v>
      </c>
      <c r="B336" s="36">
        <v>7</v>
      </c>
      <c r="C336" s="15">
        <v>43310.6875</v>
      </c>
      <c r="D336" s="20">
        <v>3.1953945309999998</v>
      </c>
      <c r="E336" s="19">
        <f t="shared" si="50"/>
        <v>1.9066965960909088</v>
      </c>
      <c r="F336" s="17">
        <v>0.36950463099999997</v>
      </c>
      <c r="G336" s="10">
        <f t="shared" ref="G336:G350" si="51">-SUM(I336,J336,K336)</f>
        <v>-1.288697934909091</v>
      </c>
      <c r="H336" s="10">
        <f t="shared" si="45"/>
        <v>4.170570424136363</v>
      </c>
      <c r="I336" s="73">
        <f>MAX(0,MIN(O336,H335*2,(D336-Sheet1!$C$3)))</f>
        <v>1.288697934909091</v>
      </c>
      <c r="J336" s="9">
        <f>IF(F336&gt;VLOOKUP($B$16,$B$2:$F$9,5,FALSE),MAX(N336,-F336*(VLOOKUP(B336,$B$2:$E$9,4,FALSE)),-2*(6-H335),-(VLOOKUP(B336,$B$2:$G$9,6,FALSE)-D336)),0)</f>
        <v>0</v>
      </c>
      <c r="K336" s="9">
        <f t="shared" si="49"/>
        <v>0</v>
      </c>
      <c r="L336" s="12"/>
      <c r="M336" s="12"/>
      <c r="N336" s="13">
        <v>0</v>
      </c>
      <c r="O336" s="13">
        <v>2.5</v>
      </c>
      <c r="P336" s="2"/>
      <c r="Q336" s="2"/>
    </row>
    <row r="337" spans="1:17" x14ac:dyDescent="0.3">
      <c r="A337" s="36">
        <f t="shared" si="48"/>
        <v>35</v>
      </c>
      <c r="B337" s="36">
        <v>7</v>
      </c>
      <c r="C337" s="15">
        <v>43310.708333333336</v>
      </c>
      <c r="D337" s="20">
        <v>3.1153835390000002</v>
      </c>
      <c r="E337" s="19">
        <f t="shared" si="50"/>
        <v>1.9066965960909088</v>
      </c>
      <c r="F337" s="17">
        <v>0.40915924300000001</v>
      </c>
      <c r="G337" s="10">
        <f t="shared" si="51"/>
        <v>-1.2086869429090914</v>
      </c>
      <c r="H337" s="10">
        <f t="shared" ref="H337:H350" si="52">H336+((G337*0.5))</f>
        <v>3.5662269526818173</v>
      </c>
      <c r="I337" s="73">
        <f>MAX(0,MIN(O337,H336*2,(D337-Sheet1!$C$3)))</f>
        <v>1.2086869429090914</v>
      </c>
      <c r="J337" s="9">
        <f>IF(F337&gt;VLOOKUP($B$16,$B$2:$F$9,5,FALSE),MAX(N337,-F337*(VLOOKUP(B337,$B$2:$E$9,4,FALSE)),-2*(6-H336),-(VLOOKUP(B337,$B$2:$G$9,6,FALSE)-D337)),0)</f>
        <v>0</v>
      </c>
      <c r="K337" s="9">
        <f t="shared" si="49"/>
        <v>0</v>
      </c>
      <c r="L337" s="12"/>
      <c r="M337" s="12"/>
      <c r="N337" s="13">
        <v>0</v>
      </c>
      <c r="O337" s="13">
        <v>2.5</v>
      </c>
      <c r="P337" s="2"/>
      <c r="Q337" s="2"/>
    </row>
    <row r="338" spans="1:17" x14ac:dyDescent="0.3">
      <c r="A338" s="36">
        <f t="shared" si="48"/>
        <v>36</v>
      </c>
      <c r="B338" s="36">
        <v>7</v>
      </c>
      <c r="C338" s="15">
        <v>43310.729166666664</v>
      </c>
      <c r="D338" s="20">
        <v>3.046774272</v>
      </c>
      <c r="E338" s="19">
        <f t="shared" si="50"/>
        <v>1.9066965960909088</v>
      </c>
      <c r="F338" s="17">
        <v>0.33810952300000002</v>
      </c>
      <c r="G338" s="10">
        <f t="shared" si="51"/>
        <v>-1.1400776759090911</v>
      </c>
      <c r="H338" s="10">
        <f t="shared" si="52"/>
        <v>2.9961881147272718</v>
      </c>
      <c r="I338" s="73">
        <f>MAX(0,MIN(O338,H337*2,(D338-Sheet1!$C$3)))</f>
        <v>1.1400776759090911</v>
      </c>
      <c r="J338" s="9">
        <f>IF(F338&gt;VLOOKUP($B$16,$B$2:$F$9,5,FALSE),MAX(N338,-F338*(VLOOKUP(B338,$B$2:$E$9,4,FALSE)),-2*(6-H337),-(VLOOKUP(B338,$B$2:$G$9,6,FALSE)-D338)),0)</f>
        <v>0</v>
      </c>
      <c r="K338" s="9">
        <f t="shared" si="49"/>
        <v>0</v>
      </c>
      <c r="L338" s="12"/>
      <c r="M338" s="12"/>
      <c r="N338" s="13">
        <v>0</v>
      </c>
      <c r="O338" s="13">
        <v>2.5</v>
      </c>
      <c r="P338" s="2"/>
      <c r="Q338" s="2"/>
    </row>
    <row r="339" spans="1:17" x14ac:dyDescent="0.3">
      <c r="A339" s="36">
        <f t="shared" si="48"/>
        <v>37</v>
      </c>
      <c r="B339" s="36">
        <v>7</v>
      </c>
      <c r="C339" s="15">
        <v>43310.75</v>
      </c>
      <c r="D339" s="20">
        <v>2.9663022379999999</v>
      </c>
      <c r="E339" s="19">
        <f t="shared" si="50"/>
        <v>1.9066965960909088</v>
      </c>
      <c r="F339" s="17">
        <v>0.26710796399999998</v>
      </c>
      <c r="G339" s="10">
        <f t="shared" si="51"/>
        <v>-1.0596056419090911</v>
      </c>
      <c r="H339" s="10">
        <f t="shared" si="52"/>
        <v>2.466385293772726</v>
      </c>
      <c r="I339" s="73">
        <f>MAX(0,MIN(O339,H338*2,(D339-Sheet1!$C$3)))</f>
        <v>1.0596056419090911</v>
      </c>
      <c r="J339" s="9">
        <f>IF(F339&gt;VLOOKUP($B$16,$B$2:$F$9,5,FALSE),MAX(N339,-F339*(VLOOKUP(B339,$B$2:$E$9,4,FALSE)),-2*(6-H338),-(VLOOKUP(B339,$B$2:$G$9,6,FALSE)-D339)),0)</f>
        <v>0</v>
      </c>
      <c r="K339" s="9">
        <f t="shared" si="49"/>
        <v>0</v>
      </c>
      <c r="L339" s="12"/>
      <c r="M339" s="12"/>
      <c r="N339" s="13">
        <v>0</v>
      </c>
      <c r="O339" s="13">
        <v>2.5</v>
      </c>
      <c r="P339" s="2"/>
      <c r="Q339" s="2"/>
    </row>
    <row r="340" spans="1:17" x14ac:dyDescent="0.3">
      <c r="A340" s="36">
        <f t="shared" si="48"/>
        <v>38</v>
      </c>
      <c r="B340" s="36">
        <v>7</v>
      </c>
      <c r="C340" s="15">
        <v>43310.770833333336</v>
      </c>
      <c r="D340" s="20">
        <v>2.9187029729999998</v>
      </c>
      <c r="E340" s="19">
        <f t="shared" si="50"/>
        <v>1.9066965960909088</v>
      </c>
      <c r="F340" s="17">
        <v>0.24639233899999999</v>
      </c>
      <c r="G340" s="10">
        <f t="shared" si="51"/>
        <v>-1.012006376909091</v>
      </c>
      <c r="H340" s="10">
        <f t="shared" si="52"/>
        <v>1.9603821053181805</v>
      </c>
      <c r="I340" s="73">
        <f>MAX(0,MIN(O340,H339*2,(D340-Sheet1!$C$3)))</f>
        <v>1.012006376909091</v>
      </c>
      <c r="J340" s="9">
        <f>IF(F340&gt;VLOOKUP($B$16,$B$2:$F$9,5,FALSE),MAX(N340,-F340*(VLOOKUP(B340,$B$2:$E$9,4,FALSE)),-2*(6-H339),-(VLOOKUP(B340,$B$2:$G$9,6,FALSE)-D340)),0)</f>
        <v>0</v>
      </c>
      <c r="K340" s="9">
        <f t="shared" si="49"/>
        <v>0</v>
      </c>
      <c r="L340" s="12"/>
      <c r="M340" s="12"/>
      <c r="N340" s="13">
        <v>0</v>
      </c>
      <c r="O340" s="13">
        <v>2.5</v>
      </c>
      <c r="P340" s="2"/>
      <c r="Q340" s="2"/>
    </row>
    <row r="341" spans="1:17" x14ac:dyDescent="0.3">
      <c r="A341" s="36">
        <f t="shared" si="48"/>
        <v>39</v>
      </c>
      <c r="B341" s="36">
        <v>7</v>
      </c>
      <c r="C341" s="15">
        <v>43310.791666666664</v>
      </c>
      <c r="D341" s="20">
        <v>2.845646517</v>
      </c>
      <c r="E341" s="19">
        <f t="shared" si="50"/>
        <v>1.9066965960909088</v>
      </c>
      <c r="F341" s="17">
        <v>4.7856300999999997E-2</v>
      </c>
      <c r="G341" s="10">
        <f t="shared" si="51"/>
        <v>-0.93894992090909124</v>
      </c>
      <c r="H341" s="10">
        <f t="shared" si="52"/>
        <v>1.4909071448636348</v>
      </c>
      <c r="I341" s="73">
        <f>MAX(0,MIN(O341,H340*2,(D341-Sheet1!$C$3)))</f>
        <v>0.93894992090909124</v>
      </c>
      <c r="J341" s="9">
        <f>IF(F341&gt;VLOOKUP($B$16,$B$2:$F$9,5,FALSE),MAX(N341,-F341*(VLOOKUP(B341,$B$2:$E$9,4,FALSE)),-2*(6-H340),-(VLOOKUP(B341,$B$2:$G$9,6,FALSE)-D341)),0)</f>
        <v>0</v>
      </c>
      <c r="K341" s="9">
        <f t="shared" si="49"/>
        <v>0</v>
      </c>
      <c r="L341" s="12"/>
      <c r="M341" s="12"/>
      <c r="N341" s="13">
        <v>0</v>
      </c>
      <c r="O341" s="13">
        <v>2.5</v>
      </c>
      <c r="P341" s="2"/>
      <c r="Q341" s="2"/>
    </row>
    <row r="342" spans="1:17" x14ac:dyDescent="0.3">
      <c r="A342" s="36">
        <f t="shared" si="48"/>
        <v>40</v>
      </c>
      <c r="B342" s="36">
        <v>7</v>
      </c>
      <c r="C342" s="15">
        <v>43310.8125</v>
      </c>
      <c r="D342" s="20">
        <v>2.7747598340000001</v>
      </c>
      <c r="E342" s="19">
        <f t="shared" si="50"/>
        <v>1.9066965960909088</v>
      </c>
      <c r="F342" s="17">
        <v>4.7856300999999997E-2</v>
      </c>
      <c r="G342" s="10">
        <f t="shared" si="51"/>
        <v>-0.86806323790909135</v>
      </c>
      <c r="H342" s="10">
        <f t="shared" si="52"/>
        <v>1.0568755259090892</v>
      </c>
      <c r="I342" s="73">
        <f>MAX(0,MIN(O342,H341*2,(D342-Sheet1!$C$3)))</f>
        <v>0.86806323790909135</v>
      </c>
      <c r="J342" s="9">
        <f>IF(F342&gt;VLOOKUP($B$16,$B$2:$F$9,5,FALSE),MAX(N342,-F342*(VLOOKUP(B342,$B$2:$E$9,4,FALSE)),-2*(6-H341),-(VLOOKUP(B342,$B$2:$G$9,6,FALSE)-D342)),0)</f>
        <v>0</v>
      </c>
      <c r="K342" s="9">
        <f t="shared" si="49"/>
        <v>0</v>
      </c>
      <c r="L342" s="12"/>
      <c r="M342" s="12"/>
      <c r="N342" s="13">
        <v>0</v>
      </c>
      <c r="O342" s="13">
        <v>2.5</v>
      </c>
      <c r="P342" s="2"/>
      <c r="Q342" s="2"/>
    </row>
    <row r="343" spans="1:17" x14ac:dyDescent="0.3">
      <c r="A343" s="49">
        <f t="shared" si="48"/>
        <v>41</v>
      </c>
      <c r="B343" s="49">
        <v>7</v>
      </c>
      <c r="C343" s="50">
        <v>43310.833333333336</v>
      </c>
      <c r="D343" s="51">
        <v>2.70588864</v>
      </c>
      <c r="E343" s="26">
        <f t="shared" si="50"/>
        <v>1.9066965960909088</v>
      </c>
      <c r="F343" s="52">
        <v>5.3364930000000003E-3</v>
      </c>
      <c r="G343" s="98">
        <f t="shared" si="51"/>
        <v>-0.79919204390909115</v>
      </c>
      <c r="H343" s="98">
        <f t="shared" si="52"/>
        <v>0.6572795039545436</v>
      </c>
      <c r="I343" s="93">
        <f>MAX(0,MIN(O343,H342*2,(D343-Sheet1!$C$3)))</f>
        <v>0.79919204390909115</v>
      </c>
      <c r="J343" s="9">
        <f>IF(F343&gt;VLOOKUP($B$16,$B$2:$F$9,5,FALSE),MAX(N343,-F343*(VLOOKUP(B343,$B$2:$E$9,4,FALSE)),-2*(6-H342),-(VLOOKUP(B343,$B$2:$G$9,6,FALSE)-D343)),0)</f>
        <v>0</v>
      </c>
      <c r="K343" s="42">
        <f t="shared" si="49"/>
        <v>0</v>
      </c>
      <c r="L343" s="29"/>
      <c r="M343" s="29"/>
      <c r="N343" s="53">
        <v>0</v>
      </c>
      <c r="O343" s="53">
        <v>2.5</v>
      </c>
      <c r="P343" s="2"/>
      <c r="Q343" s="2"/>
    </row>
    <row r="344" spans="1:17" s="64" customFormat="1" ht="15" thickBot="1" x14ac:dyDescent="0.35">
      <c r="A344" s="65">
        <f t="shared" si="48"/>
        <v>42</v>
      </c>
      <c r="B344" s="65">
        <v>7</v>
      </c>
      <c r="C344" s="66">
        <v>43310.854166666664</v>
      </c>
      <c r="D344" s="67">
        <v>2.591637601</v>
      </c>
      <c r="E344" s="57">
        <f t="shared" si="50"/>
        <v>1.9066965960909088</v>
      </c>
      <c r="F344" s="68">
        <v>5.3364930000000003E-3</v>
      </c>
      <c r="G344" s="111">
        <f t="shared" si="51"/>
        <v>-0.68494100490909116</v>
      </c>
      <c r="H344" s="111">
        <f t="shared" si="52"/>
        <v>0.31480900149999802</v>
      </c>
      <c r="I344" s="74">
        <f>MAX(0,MIN(O344,H343*2,(D344-Sheet1!$C$3)))</f>
        <v>0.68494100490909116</v>
      </c>
      <c r="J344" s="9">
        <f>IF(F344&gt;VLOOKUP($B$16,$B$2:$F$9,5,FALSE),MAX(N344,-F344*(VLOOKUP(B344,$B$2:$E$9,4,FALSE)),-2*(6-H343),-(VLOOKUP(B344,$B$2:$G$9,6,FALSE)-D344)),0)</f>
        <v>0</v>
      </c>
      <c r="K344" s="60">
        <f t="shared" si="49"/>
        <v>0</v>
      </c>
      <c r="L344" s="59"/>
      <c r="M344" s="59"/>
      <c r="N344" s="69">
        <v>0</v>
      </c>
      <c r="O344" s="69">
        <v>2.5</v>
      </c>
      <c r="P344" s="112"/>
      <c r="Q344" s="112"/>
    </row>
    <row r="345" spans="1:17" x14ac:dyDescent="0.3">
      <c r="A345" s="38">
        <f t="shared" si="48"/>
        <v>43</v>
      </c>
      <c r="B345" s="38">
        <v>7</v>
      </c>
      <c r="C345" s="31">
        <v>43310.875</v>
      </c>
      <c r="D345" s="32">
        <v>2.5711418240000001</v>
      </c>
      <c r="E345" s="33">
        <f t="shared" si="50"/>
        <v>2.5711418240000001</v>
      </c>
      <c r="F345" s="39">
        <v>5.3364930000000003E-3</v>
      </c>
      <c r="G345" s="97">
        <f t="shared" si="51"/>
        <v>0</v>
      </c>
      <c r="H345" s="97">
        <f t="shared" si="52"/>
        <v>0.31480900149999802</v>
      </c>
      <c r="I345" s="72">
        <f>MAX(0,MIN(O345,H344*2,(D345-Sheet1!$C$3)))</f>
        <v>0</v>
      </c>
      <c r="J345" s="9">
        <f>IF(F345&gt;VLOOKUP($B$16,$B$2:$F$9,5,FALSE),MAX(N345,-F345*(VLOOKUP(B345,$B$2:$E$9,4,FALSE)),-2*(6-H344),-(VLOOKUP(B345,$B$2:$G$9,6,FALSE)-D345)),0)</f>
        <v>0</v>
      </c>
      <c r="K345" s="40">
        <f t="shared" si="49"/>
        <v>0</v>
      </c>
      <c r="L345" s="34"/>
      <c r="M345" s="34"/>
      <c r="N345" s="30">
        <v>0</v>
      </c>
      <c r="O345" s="30">
        <v>0</v>
      </c>
      <c r="P345" s="2"/>
      <c r="Q345" s="2"/>
    </row>
    <row r="346" spans="1:17" x14ac:dyDescent="0.3">
      <c r="A346" s="35">
        <f t="shared" si="48"/>
        <v>44</v>
      </c>
      <c r="B346" s="35">
        <v>7</v>
      </c>
      <c r="C346" s="14">
        <v>43310.895833333336</v>
      </c>
      <c r="D346" s="18">
        <v>2.3953088139999998</v>
      </c>
      <c r="E346" s="19">
        <f t="shared" si="50"/>
        <v>2.3953088139999998</v>
      </c>
      <c r="F346" s="16">
        <v>5.3364930000000003E-3</v>
      </c>
      <c r="G346" s="10">
        <f t="shared" si="51"/>
        <v>0</v>
      </c>
      <c r="H346" s="10">
        <f t="shared" si="52"/>
        <v>0.31480900149999802</v>
      </c>
      <c r="I346" s="73">
        <f>MAX(0,MIN(O346,H345*2,(D346-Sheet1!$C$3)))</f>
        <v>0</v>
      </c>
      <c r="J346" s="9">
        <f>IF(F346&gt;VLOOKUP($B$16,$B$2:$F$9,5,FALSE),MAX(N346,-F346*(VLOOKUP(B346,$B$2:$E$9,4,FALSE)),-2*(6-H345),-(VLOOKUP(B346,$B$2:$G$9,6,FALSE)-D346)),0)</f>
        <v>0</v>
      </c>
      <c r="K346" s="9">
        <f t="shared" si="49"/>
        <v>0</v>
      </c>
      <c r="L346" s="11"/>
      <c r="M346" s="11"/>
      <c r="N346" s="8">
        <v>0</v>
      </c>
      <c r="O346" s="8">
        <v>0</v>
      </c>
      <c r="P346" s="2"/>
      <c r="Q346" s="2"/>
    </row>
    <row r="347" spans="1:17" x14ac:dyDescent="0.3">
      <c r="A347" s="35">
        <f t="shared" si="48"/>
        <v>45</v>
      </c>
      <c r="B347" s="35">
        <v>7</v>
      </c>
      <c r="C347" s="14">
        <v>43310.916666666664</v>
      </c>
      <c r="D347" s="18">
        <v>2.1456691939999999</v>
      </c>
      <c r="E347" s="19">
        <f t="shared" si="50"/>
        <v>2.1456691939999999</v>
      </c>
      <c r="F347" s="16">
        <v>5.3364930000000003E-3</v>
      </c>
      <c r="G347" s="10">
        <f t="shared" si="51"/>
        <v>0</v>
      </c>
      <c r="H347" s="10">
        <f t="shared" si="52"/>
        <v>0.31480900149999802</v>
      </c>
      <c r="I347" s="73">
        <f>MAX(0,MIN(O347,H346*2,(D347-Sheet1!$C$3)))</f>
        <v>0</v>
      </c>
      <c r="J347" s="9">
        <f>IF(F347&gt;VLOOKUP($B$16,$B$2:$F$9,5,FALSE),MAX(N347,-F347*(VLOOKUP(B347,$B$2:$E$9,4,FALSE)),-2*(6-H346),-(VLOOKUP(B347,$B$2:$G$9,6,FALSE)-D347)),0)</f>
        <v>0</v>
      </c>
      <c r="K347" s="9">
        <f t="shared" si="49"/>
        <v>0</v>
      </c>
      <c r="L347" s="11"/>
      <c r="M347" s="11"/>
      <c r="N347" s="8">
        <v>0</v>
      </c>
      <c r="O347" s="8">
        <v>0</v>
      </c>
      <c r="P347" s="2"/>
      <c r="Q347" s="2"/>
    </row>
    <row r="348" spans="1:17" x14ac:dyDescent="0.3">
      <c r="A348" s="35">
        <f t="shared" si="48"/>
        <v>46</v>
      </c>
      <c r="B348" s="35">
        <v>7</v>
      </c>
      <c r="C348" s="14">
        <v>43310.9375</v>
      </c>
      <c r="D348" s="18">
        <v>1.91298568</v>
      </c>
      <c r="E348" s="19">
        <f t="shared" si="50"/>
        <v>1.91298568</v>
      </c>
      <c r="F348" s="16">
        <v>5.3364930000000003E-3</v>
      </c>
      <c r="G348" s="10">
        <f t="shared" si="51"/>
        <v>0</v>
      </c>
      <c r="H348" s="10">
        <f t="shared" si="52"/>
        <v>0.31480900149999802</v>
      </c>
      <c r="I348" s="73">
        <f>MAX(0,MIN(O348,H347*2,(D348-Sheet1!$C$3)))</f>
        <v>0</v>
      </c>
      <c r="J348" s="9">
        <f>IF(F348&gt;VLOOKUP($B$16,$B$2:$F$9,5,FALSE),MAX(N348,-F348*(VLOOKUP(B348,$B$2:$E$9,4,FALSE)),-2*(6-H347),-(VLOOKUP(B348,$B$2:$G$9,6,FALSE)-D348)),0)</f>
        <v>0</v>
      </c>
      <c r="K348" s="9">
        <f t="shared" si="49"/>
        <v>0</v>
      </c>
      <c r="L348" s="11"/>
      <c r="M348" s="11"/>
      <c r="N348" s="8">
        <v>0</v>
      </c>
      <c r="O348" s="8">
        <v>0</v>
      </c>
      <c r="P348" s="2"/>
      <c r="Q348" s="2"/>
    </row>
    <row r="349" spans="1:17" x14ac:dyDescent="0.3">
      <c r="A349" s="37">
        <f t="shared" si="48"/>
        <v>47</v>
      </c>
      <c r="B349" s="37">
        <v>7</v>
      </c>
      <c r="C349" s="24">
        <v>43310.958333391201</v>
      </c>
      <c r="D349" s="25">
        <v>1.800951628</v>
      </c>
      <c r="E349" s="26">
        <f t="shared" si="50"/>
        <v>1.800951628</v>
      </c>
      <c r="F349" s="27">
        <v>1.831472E-3</v>
      </c>
      <c r="G349" s="98">
        <f t="shared" si="51"/>
        <v>0</v>
      </c>
      <c r="H349" s="98">
        <f t="shared" si="52"/>
        <v>0.31480900149999802</v>
      </c>
      <c r="I349" s="93">
        <f>MAX(0,MIN(O349,H348*2,(D349-Sheet1!$C$3)))</f>
        <v>0</v>
      </c>
      <c r="J349" s="9">
        <f>IF(F349&gt;VLOOKUP($B$16,$B$2:$F$9,5,FALSE),MAX(N349,-F349*(VLOOKUP(B349,$B$2:$E$9,4,FALSE)),-2*(6-H348),-(VLOOKUP(B349,$B$2:$G$9,6,FALSE)-D349)),0)</f>
        <v>0</v>
      </c>
      <c r="K349" s="42">
        <f t="shared" si="49"/>
        <v>0</v>
      </c>
      <c r="L349" s="28"/>
      <c r="M349" s="28"/>
      <c r="N349" s="23">
        <v>0</v>
      </c>
      <c r="O349" s="23">
        <v>0</v>
      </c>
      <c r="P349" s="2"/>
      <c r="Q349" s="2"/>
    </row>
    <row r="350" spans="1:17" s="110" customFormat="1" ht="15" thickBot="1" x14ac:dyDescent="0.35">
      <c r="A350" s="99">
        <f t="shared" si="48"/>
        <v>48</v>
      </c>
      <c r="B350" s="99">
        <v>7</v>
      </c>
      <c r="C350" s="100">
        <v>43310.97916678241</v>
      </c>
      <c r="D350" s="101">
        <v>1.7036656290000001</v>
      </c>
      <c r="E350" s="102">
        <f t="shared" si="50"/>
        <v>1.7036656290000001</v>
      </c>
      <c r="F350" s="103">
        <v>1.831472E-3</v>
      </c>
      <c r="G350" s="104">
        <f t="shared" si="51"/>
        <v>0</v>
      </c>
      <c r="H350" s="104">
        <f t="shared" si="52"/>
        <v>0.31480900149999802</v>
      </c>
      <c r="I350" s="105">
        <f>MAX(0,MIN(O350,H349*2,(D350-Sheet1!$C$3)))</f>
        <v>0</v>
      </c>
      <c r="J350" s="9">
        <f>IF(F350&gt;VLOOKUP($B$16,$B$2:$F$9,5,FALSE),MAX(N350,-F350*(VLOOKUP(B350,$B$2:$E$9,4,FALSE)),-2*(6-H349),-(VLOOKUP(B350,$B$2:$G$9,6,FALSE)-D350)),0)</f>
        <v>0</v>
      </c>
      <c r="K350" s="106">
        <f t="shared" si="49"/>
        <v>0</v>
      </c>
      <c r="L350" s="107"/>
      <c r="M350" s="107"/>
      <c r="N350" s="108">
        <v>0</v>
      </c>
      <c r="O350" s="108">
        <v>0</v>
      </c>
      <c r="P350" s="109"/>
      <c r="Q350" s="109"/>
    </row>
    <row r="351" spans="1:17" x14ac:dyDescent="0.3">
      <c r="P351" s="2"/>
      <c r="Q351" s="2"/>
    </row>
    <row r="352" spans="1:17" x14ac:dyDescent="0.3">
      <c r="P352" s="2"/>
      <c r="Q352" s="2"/>
    </row>
    <row r="353" spans="16:17" x14ac:dyDescent="0.3">
      <c r="P353" s="2"/>
      <c r="Q353" s="2"/>
    </row>
    <row r="354" spans="16:17" x14ac:dyDescent="0.3">
      <c r="P354" s="2"/>
      <c r="Q354" s="2"/>
    </row>
  </sheetData>
  <autoFilter ref="A14:AC350" xr:uid="{5D5006B3-7891-47D6-A95E-DC8BC80B9628}"/>
  <mergeCells count="1">
    <mergeCell ref="L1:L2"/>
  </mergeCells>
  <conditionalFormatting sqref="D14:D348 D351:D10485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D349:D35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50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F15:F62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{F732A848-478F-4C9D-AA97-547309965672}</x14:id>
        </ext>
      </extLst>
    </cfRule>
  </conditionalFormatting>
  <conditionalFormatting sqref="F63:F110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{8E040612-00D2-4A7D-94B2-8BC90F021F54}</x14:id>
        </ext>
      </extLst>
    </cfRule>
  </conditionalFormatting>
  <conditionalFormatting sqref="E15:E6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58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{27E55A27-2AFE-4839-B9BA-3055F8BAF5E7}</x14:id>
        </ext>
      </extLst>
    </cfRule>
  </conditionalFormatting>
  <conditionalFormatting sqref="F159:F206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{7E282746-C9C3-458D-85BE-36C19186F583}</x14:id>
        </ext>
      </extLst>
    </cfRule>
  </conditionalFormatting>
  <conditionalFormatting sqref="F207:F254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{3AC48F35-E312-4A25-8531-9FFBF6FAB8E3}</x14:id>
        </ext>
      </extLst>
    </cfRule>
  </conditionalFormatting>
  <conditionalFormatting sqref="F255:F302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{CEF22180-3B26-4E32-B653-266DBF06A798}</x14:id>
        </ext>
      </extLst>
    </cfRule>
  </conditionalFormatting>
  <conditionalFormatting sqref="F303:F350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{D1103CCC-FFBA-4B47-8696-EF76C29A9A1A}</x14:id>
        </ext>
      </extLst>
    </cfRule>
  </conditionalFormatting>
  <conditionalFormatting sqref="H15:H350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6">
      <colorScale>
        <cfvo type="min"/>
        <cfvo type="max"/>
        <color rgb="FF63BE7B"/>
        <color rgb="FFFFEF9C"/>
      </colorScale>
    </cfRule>
  </conditionalFormatting>
  <conditionalFormatting sqref="K3:K9">
    <cfRule type="cellIs" dxfId="4" priority="2" operator="notEqual">
      <formula>0</formula>
    </cfRule>
  </conditionalFormatting>
  <conditionalFormatting sqref="K15:K350">
    <cfRule type="cellIs" dxfId="3" priority="1" operator="notEqual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F732A848-478F-4C9D-AA97-547309965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F15:F62</xm:sqref>
        </x14:conditionalFormatting>
        <x14:conditionalFormatting xmlns:xm="http://schemas.microsoft.com/office/excel/2006/main">
          <x14:cfRule type="dataBar" id="{8E040612-00D2-4A7D-94B2-8BC90F02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F63:F110</xm:sqref>
        </x14:conditionalFormatting>
        <x14:conditionalFormatting xmlns:xm="http://schemas.microsoft.com/office/excel/2006/main">
          <x14:cfRule type="dataBar" id="{27E55A27-2AFE-4839-B9BA-3055F8BAF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F111:F158</xm:sqref>
        </x14:conditionalFormatting>
        <x14:conditionalFormatting xmlns:xm="http://schemas.microsoft.com/office/excel/2006/main">
          <x14:cfRule type="dataBar" id="{7E282746-C9C3-458D-85BE-36C19186F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F159:F206</xm:sqref>
        </x14:conditionalFormatting>
        <x14:conditionalFormatting xmlns:xm="http://schemas.microsoft.com/office/excel/2006/main">
          <x14:cfRule type="dataBar" id="{3AC48F35-E312-4A25-8531-9FFBF6FAB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F207:F254</xm:sqref>
        </x14:conditionalFormatting>
        <x14:conditionalFormatting xmlns:xm="http://schemas.microsoft.com/office/excel/2006/main">
          <x14:cfRule type="dataBar" id="{CEF22180-3B26-4E32-B653-266DBF06A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F255:F302</xm:sqref>
        </x14:conditionalFormatting>
        <x14:conditionalFormatting xmlns:xm="http://schemas.microsoft.com/office/excel/2006/main">
          <x14:cfRule type="dataBar" id="{D1103CCC-FFBA-4B47-8696-EF76C29A9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F303:F350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9740-B13B-4D53-8FB6-C5D499B5DE59}">
  <dimension ref="A1:AB354"/>
  <sheetViews>
    <sheetView zoomScaleNormal="100" workbookViewId="0">
      <pane ySplit="14" topLeftCell="A18" activePane="bottomLeft" state="frozen"/>
      <selection pane="bottomLeft" activeCell="P29" sqref="P29"/>
    </sheetView>
  </sheetViews>
  <sheetFormatPr defaultRowHeight="14.4" x14ac:dyDescent="0.3"/>
  <cols>
    <col min="1" max="2" width="3" style="7" bestFit="1" customWidth="1"/>
    <col min="3" max="3" width="16.33203125" bestFit="1" customWidth="1"/>
    <col min="4" max="4" width="25.6640625" style="21" bestFit="1" customWidth="1"/>
    <col min="5" max="5" width="16.77734375" style="22" bestFit="1" customWidth="1"/>
    <col min="6" max="6" width="14.5546875" bestFit="1" customWidth="1"/>
    <col min="7" max="7" width="15.21875" style="3" customWidth="1"/>
    <col min="8" max="8" width="12.5546875" style="3" customWidth="1"/>
    <col min="9" max="9" width="17.109375" style="4" customWidth="1"/>
    <col min="10" max="10" width="15.21875" style="4" customWidth="1"/>
    <col min="11" max="11" width="12.33203125" style="4" customWidth="1"/>
    <col min="12" max="12" width="14.33203125" style="3" bestFit="1" customWidth="1"/>
    <col min="13" max="13" width="15.44140625" style="3" bestFit="1" customWidth="1"/>
    <col min="14" max="14" width="12.21875" style="6" bestFit="1" customWidth="1"/>
    <col min="15" max="15" width="17.88671875" style="6" customWidth="1"/>
    <col min="17" max="17" width="8" customWidth="1"/>
    <col min="18" max="18" width="12.5546875" bestFit="1" customWidth="1"/>
    <col min="19" max="19" width="13.7773437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21875" customWidth="1"/>
    <col min="25" max="25" width="10.6640625" customWidth="1"/>
  </cols>
  <sheetData>
    <row r="1" spans="1:17" ht="14.4" customHeight="1" x14ac:dyDescent="0.3">
      <c r="A1" s="137"/>
      <c r="B1" s="135"/>
      <c r="C1" s="136"/>
      <c r="D1" s="136"/>
      <c r="E1" s="136"/>
      <c r="F1" s="136"/>
      <c r="G1" s="136"/>
      <c r="H1" s="136"/>
      <c r="I1" s="136"/>
      <c r="J1" s="136"/>
      <c r="K1" s="136"/>
      <c r="L1" s="147" t="s">
        <v>32</v>
      </c>
      <c r="M1" s="76" t="s">
        <v>26</v>
      </c>
      <c r="N1" s="76" t="s">
        <v>27</v>
      </c>
      <c r="O1" s="76" t="s">
        <v>36</v>
      </c>
      <c r="P1" s="141"/>
      <c r="Q1" s="141"/>
    </row>
    <row r="2" spans="1:17" x14ac:dyDescent="0.3">
      <c r="A2" s="137"/>
      <c r="B2" s="76" t="s">
        <v>11</v>
      </c>
      <c r="C2" s="76" t="s">
        <v>14</v>
      </c>
      <c r="D2" s="76" t="s">
        <v>15</v>
      </c>
      <c r="E2" s="76" t="s">
        <v>33</v>
      </c>
      <c r="F2" s="76" t="s">
        <v>34</v>
      </c>
      <c r="G2" s="76" t="s">
        <v>41</v>
      </c>
      <c r="H2" s="76" t="s">
        <v>18</v>
      </c>
      <c r="I2" s="76" t="s">
        <v>19</v>
      </c>
      <c r="J2" s="76" t="s">
        <v>30</v>
      </c>
      <c r="K2" s="76" t="s">
        <v>31</v>
      </c>
      <c r="L2" s="148"/>
      <c r="M2" s="76" t="s">
        <v>24</v>
      </c>
      <c r="N2" s="76" t="s">
        <v>25</v>
      </c>
      <c r="O2" s="76" t="s">
        <v>35</v>
      </c>
      <c r="P2" s="141"/>
      <c r="Q2" s="141"/>
    </row>
    <row r="3" spans="1:17" x14ac:dyDescent="0.3">
      <c r="A3" s="137"/>
      <c r="B3" s="79">
        <v>1</v>
      </c>
      <c r="C3" s="77">
        <f>MAX(peakd1)</f>
        <v>3.2347108800000002</v>
      </c>
      <c r="D3" s="80">
        <f>(SUM(peakd1)-12)/COUNTA(peakd1)</f>
        <v>1.9066965960909088</v>
      </c>
      <c r="E3" s="150">
        <f>(12/I3)+(25/100)</f>
        <v>0.50843951419842659</v>
      </c>
      <c r="F3" s="80">
        <v>1</v>
      </c>
      <c r="G3" s="77">
        <f>MAX(peakd1)</f>
        <v>3.2347108800000002</v>
      </c>
      <c r="H3" s="75">
        <f>MAX(newPeakd1)</f>
        <v>1.906696596090911</v>
      </c>
      <c r="I3" s="75">
        <f>SUM(chargingSolard1)</f>
        <v>46.432528079999997</v>
      </c>
      <c r="J3" s="77">
        <f>SUM(solarCharged1)</f>
        <v>-12</v>
      </c>
      <c r="K3" s="77">
        <f>SUM(gridTopUpd1)</f>
        <v>0</v>
      </c>
      <c r="L3" s="134">
        <f t="shared" ref="L3:L9" si="0">(StartPeakd1-H3)/StartPeakd1</f>
        <v>0.41055115377393142</v>
      </c>
      <c r="M3" s="134">
        <f>-J3/12</f>
        <v>1</v>
      </c>
      <c r="N3" s="77">
        <f>K3/12</f>
        <v>0</v>
      </c>
      <c r="O3" s="77">
        <f>L3*((M3*3)+(N3*1))</f>
        <v>1.2316534613217942</v>
      </c>
      <c r="P3" s="141"/>
      <c r="Q3" s="141"/>
    </row>
    <row r="4" spans="1:17" x14ac:dyDescent="0.3">
      <c r="A4" s="137"/>
      <c r="B4" s="79">
        <v>2</v>
      </c>
      <c r="C4" s="77">
        <f>MAX(peakd2)</f>
        <v>3.239753662</v>
      </c>
      <c r="D4" s="80">
        <f>(SUM(peakd2)-12)/COUNTA(peakd2)</f>
        <v>1.919738196454545</v>
      </c>
      <c r="E4" s="150">
        <f t="shared" ref="E4:E9" si="1">(12/I4)+(25/100)</f>
        <v>0.49321377091729079</v>
      </c>
      <c r="F4" s="80">
        <v>1</v>
      </c>
      <c r="G4" s="77">
        <f>MAX(peakd2)</f>
        <v>3.239753662</v>
      </c>
      <c r="H4" s="75">
        <f>MAX(newPeakd2)</f>
        <v>1.9197381964545506</v>
      </c>
      <c r="I4" s="75">
        <f>SUM(chargingSolard2)</f>
        <v>49.339311481999992</v>
      </c>
      <c r="J4" s="77">
        <f>SUM(solarCharged2)</f>
        <v>-12</v>
      </c>
      <c r="K4" s="77">
        <f>SUM(gridTopUpd2)</f>
        <v>0</v>
      </c>
      <c r="L4" s="134">
        <f t="shared" si="0"/>
        <v>0.40651938684098082</v>
      </c>
      <c r="M4" s="134">
        <f t="shared" ref="M4:M9" si="2">-J4/12</f>
        <v>1</v>
      </c>
      <c r="N4" s="77">
        <f t="shared" ref="N4:N9" si="3">K4/12</f>
        <v>0</v>
      </c>
      <c r="O4" s="77">
        <f t="shared" ref="O4:O9" si="4">L4*((M4*3)+(N4*1))</f>
        <v>1.2195581605229424</v>
      </c>
      <c r="P4" s="141"/>
      <c r="Q4" s="141"/>
    </row>
    <row r="5" spans="1:17" x14ac:dyDescent="0.3">
      <c r="A5" s="137"/>
      <c r="B5" s="79">
        <v>3</v>
      </c>
      <c r="C5" s="77">
        <f>MAX(peakd3)</f>
        <v>3.1615813880000001</v>
      </c>
      <c r="D5" s="80">
        <f>(SUM(peakd2)-12)/COUNTA(peakd3)</f>
        <v>1.919738196454545</v>
      </c>
      <c r="E5" s="150">
        <f t="shared" si="1"/>
        <v>0.48323886467242561</v>
      </c>
      <c r="F5" s="80">
        <v>1</v>
      </c>
      <c r="G5" s="77">
        <f>MAX(peakd3)</f>
        <v>3.1615813880000001</v>
      </c>
      <c r="H5" s="75">
        <f>MAX(newPeakd3)</f>
        <v>1.9066965960909088</v>
      </c>
      <c r="I5" s="75">
        <f>SUM(chargingSolard3)</f>
        <v>51.449401526000003</v>
      </c>
      <c r="J5" s="77">
        <f>SUM(solarCharged3)</f>
        <v>-12</v>
      </c>
      <c r="K5" s="77">
        <f>SUM(gridTopUpd3)</f>
        <v>0</v>
      </c>
      <c r="L5" s="134">
        <f t="shared" si="0"/>
        <v>0.41055115377393214</v>
      </c>
      <c r="M5" s="134">
        <f t="shared" si="2"/>
        <v>1</v>
      </c>
      <c r="N5" s="77">
        <f t="shared" si="3"/>
        <v>0</v>
      </c>
      <c r="O5" s="77">
        <f t="shared" si="4"/>
        <v>1.2316534613217964</v>
      </c>
      <c r="P5" s="141"/>
      <c r="Q5" s="141"/>
    </row>
    <row r="6" spans="1:17" x14ac:dyDescent="0.3">
      <c r="A6" s="137"/>
      <c r="B6" s="79">
        <v>4</v>
      </c>
      <c r="C6" s="77">
        <f>MAX(peakd4)</f>
        <v>3.1236041910000001</v>
      </c>
      <c r="D6" s="80">
        <f>(SUM(peakd3)-12)/COUNTA(peakd3)</f>
        <v>1.8914588093636366</v>
      </c>
      <c r="E6" s="150">
        <f t="shared" si="1"/>
        <v>0.52138546593488977</v>
      </c>
      <c r="F6" s="80">
        <v>1</v>
      </c>
      <c r="G6" s="77">
        <f>MAX(peakd4)*1.1</f>
        <v>3.4359646101000005</v>
      </c>
      <c r="H6" s="75">
        <f>MAX(newPeakd4)</f>
        <v>1.9066965960909088</v>
      </c>
      <c r="I6" s="75">
        <f>SUM(chargingSolard4)</f>
        <v>44.217548491999992</v>
      </c>
      <c r="J6" s="77">
        <f>SUM(solarCharged4)</f>
        <v>-12</v>
      </c>
      <c r="K6" s="77">
        <f>SUM(gridTopUpd4)</f>
        <v>0</v>
      </c>
      <c r="L6" s="134">
        <f t="shared" si="0"/>
        <v>0.41055115377393214</v>
      </c>
      <c r="M6" s="134">
        <f t="shared" si="2"/>
        <v>1</v>
      </c>
      <c r="N6" s="77">
        <f t="shared" si="3"/>
        <v>0</v>
      </c>
      <c r="O6" s="77">
        <f t="shared" si="4"/>
        <v>1.2316534613217964</v>
      </c>
      <c r="P6" s="141"/>
      <c r="Q6" s="141"/>
    </row>
    <row r="7" spans="1:17" x14ac:dyDescent="0.3">
      <c r="A7" s="137"/>
      <c r="B7" s="79">
        <v>5</v>
      </c>
      <c r="C7" s="77">
        <f>MAX(peakd5)</f>
        <v>3.073930759</v>
      </c>
      <c r="D7" s="80">
        <f>(SUM(peakd4)-12)/COUNTA(peakd4)</f>
        <v>1.855375937</v>
      </c>
      <c r="E7" s="150">
        <f t="shared" si="1"/>
        <v>0.65306134443464847</v>
      </c>
      <c r="F7" s="80">
        <v>1</v>
      </c>
      <c r="G7" s="77">
        <f>MAX(peakd5)*1.25</f>
        <v>3.8424134487499999</v>
      </c>
      <c r="H7" s="75">
        <f>MAX(newPeakd5)</f>
        <v>1.9066965960909088</v>
      </c>
      <c r="I7" s="75">
        <f>SUM(chargingSolard5)</f>
        <v>29.772143038999992</v>
      </c>
      <c r="J7" s="77">
        <f>SUM(solarCharged5)</f>
        <v>-12</v>
      </c>
      <c r="K7" s="77">
        <f>SUM(gridTopUpd5)</f>
        <v>0</v>
      </c>
      <c r="L7" s="134">
        <f t="shared" si="0"/>
        <v>0.41055115377393214</v>
      </c>
      <c r="M7" s="134">
        <f t="shared" si="2"/>
        <v>1</v>
      </c>
      <c r="N7" s="77">
        <f t="shared" si="3"/>
        <v>0</v>
      </c>
      <c r="O7" s="77">
        <f t="shared" si="4"/>
        <v>1.2316534613217964</v>
      </c>
      <c r="P7" s="141"/>
      <c r="Q7" s="141"/>
    </row>
    <row r="8" spans="1:17" x14ac:dyDescent="0.3">
      <c r="A8" s="137"/>
      <c r="B8" s="79">
        <v>6</v>
      </c>
      <c r="C8" s="77">
        <f>MAX(peakd6)</f>
        <v>3.163495406</v>
      </c>
      <c r="D8" s="80">
        <f>(SUM(peakd5)-12)/COUNTA(peakd5)</f>
        <v>1.8033711687272729</v>
      </c>
      <c r="E8" s="150">
        <f t="shared" si="1"/>
        <v>0.6457779588352881</v>
      </c>
      <c r="F8" s="80">
        <v>1</v>
      </c>
      <c r="G8" s="77">
        <f>MAX(peakd6)*1.25</f>
        <v>3.9543692574999998</v>
      </c>
      <c r="H8" s="75">
        <f>MAX(newPeakd6)</f>
        <v>1.9066965960909088</v>
      </c>
      <c r="I8" s="75">
        <f>SUM(chargingSolard6)</f>
        <v>30.320031047999997</v>
      </c>
      <c r="J8" s="77">
        <f>SUM(solarCharged6)</f>
        <v>-12</v>
      </c>
      <c r="K8" s="77">
        <f>SUM(gridTopUpd6)</f>
        <v>0</v>
      </c>
      <c r="L8" s="134">
        <f t="shared" si="0"/>
        <v>0.41055115377393214</v>
      </c>
      <c r="M8" s="134">
        <f t="shared" si="2"/>
        <v>1</v>
      </c>
      <c r="N8" s="77">
        <f t="shared" si="3"/>
        <v>0</v>
      </c>
      <c r="O8" s="77">
        <f t="shared" si="4"/>
        <v>1.2316534613217964</v>
      </c>
      <c r="P8" s="141"/>
      <c r="Q8" s="141"/>
    </row>
    <row r="9" spans="1:17" x14ac:dyDescent="0.3">
      <c r="A9" s="137"/>
      <c r="B9" s="79">
        <v>7</v>
      </c>
      <c r="C9" s="77">
        <f>MAX(peakd7)</f>
        <v>3.1953945309999998</v>
      </c>
      <c r="D9" s="80">
        <f>(SUM(peakd6)-12)/COUNTA(peakd6)</f>
        <v>1.8360169815454548</v>
      </c>
      <c r="E9" s="150">
        <f t="shared" si="1"/>
        <v>0.66557962617854471</v>
      </c>
      <c r="F9" s="80">
        <v>1</v>
      </c>
      <c r="G9" s="77">
        <f>MAX(peakd7)*1.25</f>
        <v>3.9942431637499998</v>
      </c>
      <c r="H9" s="75">
        <f>MAX(newPeakd7)</f>
        <v>1.9066965960909088</v>
      </c>
      <c r="I9" s="75">
        <f>SUM(chargingSolard7)</f>
        <v>28.875332773999997</v>
      </c>
      <c r="J9" s="77">
        <f>SUM(solarCharged7)</f>
        <v>-12</v>
      </c>
      <c r="K9" s="77">
        <f>SUM(gridTopUpd7)</f>
        <v>0</v>
      </c>
      <c r="L9" s="134">
        <f t="shared" si="0"/>
        <v>0.41055115377393214</v>
      </c>
      <c r="M9" s="134">
        <f t="shared" si="2"/>
        <v>1</v>
      </c>
      <c r="N9" s="134">
        <f t="shared" si="3"/>
        <v>0</v>
      </c>
      <c r="O9" s="77">
        <f t="shared" si="4"/>
        <v>1.2316534613217964</v>
      </c>
      <c r="P9" s="141"/>
      <c r="Q9" s="141"/>
    </row>
    <row r="10" spans="1:17" x14ac:dyDescent="0.3">
      <c r="A10" s="137"/>
      <c r="B10" s="137"/>
      <c r="C10" s="154" t="s">
        <v>13</v>
      </c>
      <c r="D10" s="153" t="s">
        <v>39</v>
      </c>
      <c r="E10" s="138"/>
      <c r="F10" s="136"/>
      <c r="G10" s="139"/>
      <c r="H10" s="139"/>
      <c r="I10" s="140"/>
      <c r="J10" s="140"/>
      <c r="K10" s="140"/>
      <c r="L10" s="139"/>
      <c r="M10" s="139"/>
      <c r="N10" s="149" t="s">
        <v>37</v>
      </c>
      <c r="O10" s="149">
        <f>SUM(O3:O9)</f>
        <v>8.6094789284537185</v>
      </c>
    </row>
    <row r="11" spans="1:17" x14ac:dyDescent="0.3">
      <c r="A11" s="137"/>
      <c r="B11" s="137"/>
      <c r="C11" s="136"/>
      <c r="D11" s="153" t="s">
        <v>40</v>
      </c>
      <c r="E11" s="138"/>
      <c r="F11" s="136"/>
      <c r="G11" s="139"/>
      <c r="H11" s="139"/>
      <c r="I11" s="140"/>
      <c r="J11" s="140"/>
      <c r="K11" s="140"/>
      <c r="L11" s="139"/>
      <c r="M11" s="139"/>
      <c r="N11" s="149"/>
      <c r="O11" s="149"/>
    </row>
    <row r="12" spans="1:17" x14ac:dyDescent="0.3">
      <c r="A12" s="137"/>
      <c r="B12" s="137"/>
      <c r="C12" s="136"/>
      <c r="D12" s="153" t="s">
        <v>42</v>
      </c>
      <c r="E12" s="138"/>
      <c r="F12" s="136"/>
      <c r="G12" s="139"/>
      <c r="H12" s="139"/>
      <c r="I12" s="140"/>
      <c r="J12" s="140"/>
      <c r="K12" s="140"/>
      <c r="L12" s="139"/>
      <c r="M12" s="139"/>
      <c r="N12" s="141"/>
      <c r="O12" s="141"/>
    </row>
    <row r="13" spans="1:17" x14ac:dyDescent="0.3">
      <c r="A13" s="137"/>
      <c r="B13" s="137"/>
      <c r="C13" s="136"/>
      <c r="D13" s="153" t="s">
        <v>43</v>
      </c>
      <c r="E13" s="138"/>
      <c r="F13" s="136"/>
      <c r="G13" s="139"/>
      <c r="H13" s="139"/>
      <c r="I13" s="140"/>
      <c r="J13" s="140"/>
      <c r="K13" s="140"/>
      <c r="L13" s="139"/>
      <c r="M13" s="139"/>
      <c r="N13" s="141"/>
      <c r="O13" s="141"/>
    </row>
    <row r="14" spans="1:17" s="2" customFormat="1" x14ac:dyDescent="0.3">
      <c r="A14" s="142" t="s">
        <v>7</v>
      </c>
      <c r="B14" s="142" t="s">
        <v>11</v>
      </c>
      <c r="C14" s="142" t="s">
        <v>0</v>
      </c>
      <c r="D14" s="143" t="s">
        <v>1</v>
      </c>
      <c r="E14" s="144" t="s">
        <v>10</v>
      </c>
      <c r="F14" s="142" t="s">
        <v>38</v>
      </c>
      <c r="G14" s="145" t="s">
        <v>44</v>
      </c>
      <c r="H14" s="145" t="s">
        <v>2</v>
      </c>
      <c r="I14" s="146" t="s">
        <v>4</v>
      </c>
      <c r="J14" s="146" t="s">
        <v>3</v>
      </c>
      <c r="K14" s="146" t="s">
        <v>21</v>
      </c>
      <c r="L14" s="145" t="s">
        <v>5</v>
      </c>
      <c r="M14" s="145" t="s">
        <v>6</v>
      </c>
      <c r="N14" s="142" t="s">
        <v>8</v>
      </c>
      <c r="O14" s="142" t="s">
        <v>9</v>
      </c>
    </row>
    <row r="15" spans="1:17" x14ac:dyDescent="0.3">
      <c r="A15" s="35">
        <v>1</v>
      </c>
      <c r="B15" s="35">
        <v>1</v>
      </c>
      <c r="C15" s="14">
        <v>43304</v>
      </c>
      <c r="D15" s="18">
        <v>1.698212598</v>
      </c>
      <c r="E15" s="19">
        <f t="shared" ref="E15:E78" si="5">D15-J15-I15</f>
        <v>1.698212598</v>
      </c>
      <c r="F15" s="16">
        <v>1.831472E-3</v>
      </c>
      <c r="G15" s="10">
        <f>-SUM(I15,J15,K15)</f>
        <v>0</v>
      </c>
      <c r="H15" s="10">
        <v>0</v>
      </c>
      <c r="I15" s="73">
        <v>0</v>
      </c>
      <c r="J15" s="9">
        <v>0</v>
      </c>
      <c r="K15" s="9">
        <f t="shared" ref="K15:K78" si="6">IF(A15&lt;&gt;31,0,-2*((6-H14+((J15*0.5)))))</f>
        <v>0</v>
      </c>
      <c r="L15" s="9">
        <f t="shared" ref="L15:L78" si="7">MIN(J15,F15)</f>
        <v>0</v>
      </c>
      <c r="M15" s="9">
        <f>J15-L15</f>
        <v>0</v>
      </c>
      <c r="N15" s="8">
        <v>-2.5</v>
      </c>
      <c r="O15" s="8">
        <v>0</v>
      </c>
      <c r="P15" s="2"/>
      <c r="Q15" s="82" t="s">
        <v>13</v>
      </c>
    </row>
    <row r="16" spans="1:17" x14ac:dyDescent="0.3">
      <c r="A16" s="35">
        <f>A15+1</f>
        <v>2</v>
      </c>
      <c r="B16" s="35">
        <v>1</v>
      </c>
      <c r="C16" s="14">
        <v>43304.020833333336</v>
      </c>
      <c r="D16" s="18">
        <v>1.6298786409999999</v>
      </c>
      <c r="E16" s="19">
        <f t="shared" si="5"/>
        <v>1.6298786409999999</v>
      </c>
      <c r="F16" s="16">
        <v>1.831472E-3</v>
      </c>
      <c r="G16" s="10">
        <f t="shared" ref="G16:G79" si="8">-SUM(I16,J16,K16)</f>
        <v>0</v>
      </c>
      <c r="H16" s="10">
        <f>H15+((G16*0.5))</f>
        <v>0</v>
      </c>
      <c r="I16" s="73">
        <f t="shared" ref="I16:I62" si="9">MAX(0,MIN(O16,H15*2,(D16-targetPeakd1)))</f>
        <v>0</v>
      </c>
      <c r="J16" s="9">
        <f>IF(F16&gt;VLOOKUP($B$16,$B$2:$F$9,5,FALSE),MAX(N16,-F16*(VLOOKUP(B16,$B$2:$E$9,4,FALSE)),-2*(6-H15),-(VLOOKUP(B16,$B$2:$G$9,6,FALSE)-D16)),0)</f>
        <v>0</v>
      </c>
      <c r="K16" s="9">
        <f t="shared" si="6"/>
        <v>0</v>
      </c>
      <c r="L16" s="9">
        <f t="shared" si="7"/>
        <v>0</v>
      </c>
      <c r="M16" s="9">
        <f t="shared" ref="M16:M62" si="10">J16-L16</f>
        <v>0</v>
      </c>
      <c r="N16" s="8">
        <v>-2.5</v>
      </c>
      <c r="O16" s="8">
        <v>0</v>
      </c>
      <c r="P16" s="2"/>
      <c r="Q16" s="81" t="s">
        <v>22</v>
      </c>
    </row>
    <row r="17" spans="1:23" x14ac:dyDescent="0.3">
      <c r="A17" s="35">
        <f t="shared" ref="A17:A62" si="11">A16+1</f>
        <v>3</v>
      </c>
      <c r="B17" s="35">
        <v>1</v>
      </c>
      <c r="C17" s="14">
        <v>43304.041666666664</v>
      </c>
      <c r="D17" s="18">
        <v>1.553648683</v>
      </c>
      <c r="E17" s="19">
        <f t="shared" si="5"/>
        <v>1.553648683</v>
      </c>
      <c r="F17" s="16">
        <v>1.831472E-3</v>
      </c>
      <c r="G17" s="10">
        <f t="shared" si="8"/>
        <v>0</v>
      </c>
      <c r="H17" s="10">
        <f t="shared" ref="H17:H80" si="12">H16+((G17*0.5))</f>
        <v>0</v>
      </c>
      <c r="I17" s="73">
        <f t="shared" si="9"/>
        <v>0</v>
      </c>
      <c r="J17" s="9">
        <f>IF(F17&gt;VLOOKUP($B$16,$B$2:$F$9,5,FALSE),MAX(N17,-F17*(VLOOKUP(B17,$B$2:$E$9,4,FALSE)),-2*(6-H16),-(VLOOKUP(B17,$B$2:$G$9,6,FALSE)-D17)),0)</f>
        <v>0</v>
      </c>
      <c r="K17" s="9">
        <f t="shared" si="6"/>
        <v>0</v>
      </c>
      <c r="L17" s="9">
        <f t="shared" si="7"/>
        <v>0</v>
      </c>
      <c r="M17" s="9">
        <f t="shared" si="10"/>
        <v>0</v>
      </c>
      <c r="N17" s="8">
        <v>-2.5</v>
      </c>
      <c r="O17" s="8">
        <v>0</v>
      </c>
      <c r="P17" s="2"/>
      <c r="Q17" s="95" t="s">
        <v>16</v>
      </c>
    </row>
    <row r="18" spans="1:23" x14ac:dyDescent="0.3">
      <c r="A18" s="35">
        <f t="shared" si="11"/>
        <v>4</v>
      </c>
      <c r="B18" s="35">
        <v>1</v>
      </c>
      <c r="C18" s="14">
        <v>43304.0625</v>
      </c>
      <c r="D18" s="18">
        <v>1.5157839040000001</v>
      </c>
      <c r="E18" s="19">
        <f t="shared" si="5"/>
        <v>1.5157839040000001</v>
      </c>
      <c r="F18" s="16">
        <v>1.831472E-3</v>
      </c>
      <c r="G18" s="10">
        <f t="shared" si="8"/>
        <v>0</v>
      </c>
      <c r="H18" s="10">
        <f t="shared" si="12"/>
        <v>0</v>
      </c>
      <c r="I18" s="73">
        <f t="shared" si="9"/>
        <v>0</v>
      </c>
      <c r="J18" s="9">
        <f>IF(F18&gt;VLOOKUP($B$16,$B$2:$F$9,5,FALSE),MAX(N18,-F18*(VLOOKUP(B18,$B$2:$E$9,4,FALSE)),-2*(6-H17),-(VLOOKUP(B18,$B$2:$G$9,6,FALSE)-D18)),0)</f>
        <v>0</v>
      </c>
      <c r="K18" s="9">
        <f t="shared" si="6"/>
        <v>0</v>
      </c>
      <c r="L18" s="9">
        <f t="shared" si="7"/>
        <v>0</v>
      </c>
      <c r="M18" s="9">
        <f t="shared" si="10"/>
        <v>0</v>
      </c>
      <c r="N18" s="8">
        <v>-2.5</v>
      </c>
      <c r="O18" s="8">
        <v>0</v>
      </c>
      <c r="P18" s="2"/>
      <c r="Q18" s="2" t="s">
        <v>17</v>
      </c>
    </row>
    <row r="19" spans="1:23" x14ac:dyDescent="0.3">
      <c r="A19" s="35">
        <f t="shared" si="11"/>
        <v>5</v>
      </c>
      <c r="B19" s="35">
        <v>1</v>
      </c>
      <c r="C19" s="14">
        <v>43304.083333333336</v>
      </c>
      <c r="D19" s="18">
        <v>1.507427689</v>
      </c>
      <c r="E19" s="19">
        <f t="shared" si="5"/>
        <v>1.507427689</v>
      </c>
      <c r="F19" s="16">
        <v>1.831472E-3</v>
      </c>
      <c r="G19" s="10">
        <f t="shared" si="8"/>
        <v>0</v>
      </c>
      <c r="H19" s="10">
        <f t="shared" si="12"/>
        <v>0</v>
      </c>
      <c r="I19" s="73">
        <f t="shared" si="9"/>
        <v>0</v>
      </c>
      <c r="J19" s="9">
        <f>IF(F19&gt;VLOOKUP($B$16,$B$2:$F$9,5,FALSE),MAX(N19,-F19*(VLOOKUP(B19,$B$2:$E$9,4,FALSE)),-2*(6-H18),-(VLOOKUP(B19,$B$2:$G$9,6,FALSE)-D19)),0)</f>
        <v>0</v>
      </c>
      <c r="K19" s="9">
        <f t="shared" si="6"/>
        <v>0</v>
      </c>
      <c r="L19" s="9">
        <f t="shared" si="7"/>
        <v>0</v>
      </c>
      <c r="M19" s="9">
        <f t="shared" si="10"/>
        <v>0</v>
      </c>
      <c r="N19" s="8">
        <v>-2.5</v>
      </c>
      <c r="O19" s="8">
        <v>0</v>
      </c>
      <c r="P19" s="2"/>
      <c r="Q19" s="2" t="s">
        <v>29</v>
      </c>
    </row>
    <row r="20" spans="1:23" x14ac:dyDescent="0.3">
      <c r="A20" s="35">
        <f t="shared" si="11"/>
        <v>6</v>
      </c>
      <c r="B20" s="35">
        <v>1</v>
      </c>
      <c r="C20" s="14">
        <v>43304.104166666664</v>
      </c>
      <c r="D20" s="18">
        <v>1.4756327119999999</v>
      </c>
      <c r="E20" s="19">
        <f t="shared" si="5"/>
        <v>1.4756327119999999</v>
      </c>
      <c r="F20" s="16">
        <v>1.831472E-3</v>
      </c>
      <c r="G20" s="10">
        <f t="shared" si="8"/>
        <v>0</v>
      </c>
      <c r="H20" s="10">
        <f t="shared" si="12"/>
        <v>0</v>
      </c>
      <c r="I20" s="73">
        <f t="shared" si="9"/>
        <v>0</v>
      </c>
      <c r="J20" s="9">
        <f>IF(F20&gt;VLOOKUP($B$16,$B$2:$F$9,5,FALSE),MAX(N20,-F20*(VLOOKUP(B20,$B$2:$E$9,4,FALSE)),-2*(6-H19),-(VLOOKUP(B20,$B$2:$G$9,6,FALSE)-D20)),0)</f>
        <v>0</v>
      </c>
      <c r="K20" s="9">
        <f t="shared" si="6"/>
        <v>0</v>
      </c>
      <c r="L20" s="9">
        <f t="shared" si="7"/>
        <v>0</v>
      </c>
      <c r="M20" s="9">
        <f t="shared" si="10"/>
        <v>0</v>
      </c>
      <c r="N20" s="8">
        <v>-2.5</v>
      </c>
      <c r="O20" s="8">
        <v>0</v>
      </c>
      <c r="P20" s="2"/>
    </row>
    <row r="21" spans="1:23" x14ac:dyDescent="0.3">
      <c r="A21" s="35">
        <f t="shared" si="11"/>
        <v>7</v>
      </c>
      <c r="B21" s="35">
        <v>1</v>
      </c>
      <c r="C21" s="14">
        <v>43304.125</v>
      </c>
      <c r="D21" s="18">
        <v>1.469025515</v>
      </c>
      <c r="E21" s="19">
        <f t="shared" si="5"/>
        <v>1.469025515</v>
      </c>
      <c r="F21" s="16">
        <v>1.831472E-3</v>
      </c>
      <c r="G21" s="10">
        <f t="shared" si="8"/>
        <v>0</v>
      </c>
      <c r="H21" s="10">
        <f t="shared" si="12"/>
        <v>0</v>
      </c>
      <c r="I21" s="73">
        <f t="shared" si="9"/>
        <v>0</v>
      </c>
      <c r="J21" s="9">
        <f>IF(F21&gt;VLOOKUP($B$16,$B$2:$F$9,5,FALSE),MAX(N21,-F21*(VLOOKUP(B21,$B$2:$E$9,4,FALSE)),-2*(6-H20),-(VLOOKUP(B21,$B$2:$G$9,6,FALSE)-D21)),0)</f>
        <v>0</v>
      </c>
      <c r="K21" s="9">
        <f t="shared" si="6"/>
        <v>0</v>
      </c>
      <c r="L21" s="9">
        <f t="shared" si="7"/>
        <v>0</v>
      </c>
      <c r="M21" s="9">
        <f t="shared" si="10"/>
        <v>0</v>
      </c>
      <c r="N21" s="8">
        <v>-2.5</v>
      </c>
      <c r="O21" s="8">
        <v>0</v>
      </c>
      <c r="P21" s="2"/>
    </row>
    <row r="22" spans="1:23" x14ac:dyDescent="0.3">
      <c r="A22" s="35">
        <f t="shared" si="11"/>
        <v>8</v>
      </c>
      <c r="B22" s="35">
        <v>1</v>
      </c>
      <c r="C22" s="14">
        <v>43304.145833333336</v>
      </c>
      <c r="D22" s="18">
        <v>1.439907072</v>
      </c>
      <c r="E22" s="19">
        <f t="shared" si="5"/>
        <v>1.439907072</v>
      </c>
      <c r="F22" s="16">
        <v>1.831472E-3</v>
      </c>
      <c r="G22" s="10">
        <f t="shared" si="8"/>
        <v>0</v>
      </c>
      <c r="H22" s="10">
        <f t="shared" si="12"/>
        <v>0</v>
      </c>
      <c r="I22" s="73">
        <f t="shared" si="9"/>
        <v>0</v>
      </c>
      <c r="J22" s="9">
        <f>IF(F22&gt;VLOOKUP($B$16,$B$2:$F$9,5,FALSE),MAX(N22,-F22*(VLOOKUP(B22,$B$2:$E$9,4,FALSE)),-2*(6-H21),-(VLOOKUP(B22,$B$2:$G$9,6,FALSE)-D22)),0)</f>
        <v>0</v>
      </c>
      <c r="K22" s="9">
        <f t="shared" si="6"/>
        <v>0</v>
      </c>
      <c r="L22" s="9">
        <f t="shared" si="7"/>
        <v>0</v>
      </c>
      <c r="M22" s="9">
        <f t="shared" si="10"/>
        <v>0</v>
      </c>
      <c r="N22" s="8">
        <v>-2.5</v>
      </c>
      <c r="O22" s="8">
        <v>0</v>
      </c>
      <c r="P22" s="2"/>
    </row>
    <row r="23" spans="1:23" x14ac:dyDescent="0.3">
      <c r="A23" s="35">
        <f t="shared" si="11"/>
        <v>9</v>
      </c>
      <c r="B23" s="35">
        <v>1</v>
      </c>
      <c r="C23" s="14">
        <v>43304.166666666664</v>
      </c>
      <c r="D23" s="18">
        <v>1.5209820009999999</v>
      </c>
      <c r="E23" s="19">
        <f t="shared" si="5"/>
        <v>1.5209820009999999</v>
      </c>
      <c r="F23" s="16">
        <v>1.431644E-2</v>
      </c>
      <c r="G23" s="10">
        <f t="shared" si="8"/>
        <v>0</v>
      </c>
      <c r="H23" s="10">
        <f t="shared" si="12"/>
        <v>0</v>
      </c>
      <c r="I23" s="73">
        <f t="shared" si="9"/>
        <v>0</v>
      </c>
      <c r="J23" s="9">
        <f>IF(F23&gt;VLOOKUP($B$16,$B$2:$F$9,5,FALSE),MAX(N23,-F23*(VLOOKUP(B23,$B$2:$E$9,4,FALSE)),-2*(6-H22),-(VLOOKUP(B23,$B$2:$G$9,6,FALSE)-D23)),0)</f>
        <v>0</v>
      </c>
      <c r="K23" s="9">
        <f t="shared" si="6"/>
        <v>0</v>
      </c>
      <c r="L23" s="9">
        <f t="shared" si="7"/>
        <v>0</v>
      </c>
      <c r="M23" s="9">
        <f t="shared" si="10"/>
        <v>0</v>
      </c>
      <c r="N23" s="8">
        <v>-2.5</v>
      </c>
      <c r="O23" s="8">
        <v>0</v>
      </c>
      <c r="P23" s="2"/>
    </row>
    <row r="24" spans="1:23" x14ac:dyDescent="0.3">
      <c r="A24" s="35">
        <f t="shared" si="11"/>
        <v>10</v>
      </c>
      <c r="B24" s="35">
        <v>1</v>
      </c>
      <c r="C24" s="14">
        <v>43304.1875</v>
      </c>
      <c r="D24" s="18">
        <v>1.6528150150000001</v>
      </c>
      <c r="E24" s="19">
        <f t="shared" si="5"/>
        <v>1.6528150150000001</v>
      </c>
      <c r="F24" s="16">
        <v>1.431644E-2</v>
      </c>
      <c r="G24" s="10">
        <f t="shared" si="8"/>
        <v>0</v>
      </c>
      <c r="H24" s="10">
        <f t="shared" si="12"/>
        <v>0</v>
      </c>
      <c r="I24" s="73">
        <f t="shared" si="9"/>
        <v>0</v>
      </c>
      <c r="J24" s="9">
        <f>IF(F24&gt;VLOOKUP($B$16,$B$2:$F$9,5,FALSE),MAX(N24,-F24*(VLOOKUP(B24,$B$2:$E$9,4,FALSE)),-2*(6-H23),-(VLOOKUP(B24,$B$2:$G$9,6,FALSE)-D24)),0)</f>
        <v>0</v>
      </c>
      <c r="K24" s="9">
        <f t="shared" si="6"/>
        <v>0</v>
      </c>
      <c r="L24" s="9">
        <f t="shared" si="7"/>
        <v>0</v>
      </c>
      <c r="M24" s="9">
        <f t="shared" si="10"/>
        <v>0</v>
      </c>
      <c r="N24" s="8">
        <v>-2.5</v>
      </c>
      <c r="O24" s="8">
        <v>0</v>
      </c>
      <c r="P24" s="2"/>
      <c r="Q24" s="2"/>
    </row>
    <row r="25" spans="1:23" x14ac:dyDescent="0.3">
      <c r="A25" s="35">
        <f t="shared" si="11"/>
        <v>11</v>
      </c>
      <c r="B25" s="35">
        <v>1</v>
      </c>
      <c r="C25" s="14">
        <v>43304.208333333336</v>
      </c>
      <c r="D25" s="18">
        <v>1.957061962</v>
      </c>
      <c r="E25" s="19">
        <f t="shared" si="5"/>
        <v>1.957061962</v>
      </c>
      <c r="F25" s="16">
        <v>0.23742648999999999</v>
      </c>
      <c r="G25" s="10">
        <f t="shared" si="8"/>
        <v>0</v>
      </c>
      <c r="H25" s="10">
        <f t="shared" si="12"/>
        <v>0</v>
      </c>
      <c r="I25" s="73">
        <f t="shared" si="9"/>
        <v>0</v>
      </c>
      <c r="J25" s="9">
        <f>IF(F25&gt;VLOOKUP($B$16,$B$2:$F$9,5,FALSE),MAX(N25,-F25*(VLOOKUP(B25,$B$2:$E$9,4,FALSE)),-2*(6-H24),-(VLOOKUP(B25,$B$2:$G$9,6,FALSE)-D25)),0)</f>
        <v>0</v>
      </c>
      <c r="K25" s="9">
        <f>IF(A25&lt;&gt;31,0,-2*((6-H24+((J25*0.5)))))</f>
        <v>0</v>
      </c>
      <c r="L25" s="9">
        <f>MIN(J25,F25)</f>
        <v>0</v>
      </c>
      <c r="M25" s="9">
        <f t="shared" si="10"/>
        <v>0</v>
      </c>
      <c r="N25" s="8">
        <v>-2.5</v>
      </c>
      <c r="O25" s="8">
        <v>0</v>
      </c>
      <c r="P25" s="2"/>
      <c r="Q25" s="2"/>
    </row>
    <row r="26" spans="1:23" x14ac:dyDescent="0.3">
      <c r="A26" s="35">
        <f t="shared" si="11"/>
        <v>12</v>
      </c>
      <c r="B26" s="35">
        <v>1</v>
      </c>
      <c r="C26" s="14">
        <v>43304.229166666664</v>
      </c>
      <c r="D26" s="18">
        <v>2.228058705</v>
      </c>
      <c r="E26" s="19">
        <f t="shared" si="5"/>
        <v>2.228058705</v>
      </c>
      <c r="F26" s="16">
        <v>0.23742648999999999</v>
      </c>
      <c r="G26" s="10">
        <f t="shared" si="8"/>
        <v>0</v>
      </c>
      <c r="H26" s="10">
        <f t="shared" si="12"/>
        <v>0</v>
      </c>
      <c r="I26" s="73">
        <f t="shared" si="9"/>
        <v>0</v>
      </c>
      <c r="J26" s="9">
        <f>IF(F26&gt;VLOOKUP($B$16,$B$2:$F$9,5,FALSE),MAX(N26,-F26*(VLOOKUP(B26,$B$2:$E$9,4,FALSE)),-2*(6-H25),-(VLOOKUP(B26,$B$2:$G$9,6,FALSE)-D26)),0)</f>
        <v>0</v>
      </c>
      <c r="K26" s="9">
        <f t="shared" si="6"/>
        <v>0</v>
      </c>
      <c r="L26" s="9">
        <f t="shared" si="7"/>
        <v>0</v>
      </c>
      <c r="M26" s="9">
        <f t="shared" si="10"/>
        <v>0</v>
      </c>
      <c r="N26" s="8">
        <v>-2.5</v>
      </c>
      <c r="O26" s="8">
        <v>0</v>
      </c>
      <c r="P26" s="2"/>
      <c r="Q26" s="2"/>
    </row>
    <row r="27" spans="1:23" x14ac:dyDescent="0.3">
      <c r="A27" s="35">
        <f t="shared" si="11"/>
        <v>13</v>
      </c>
      <c r="B27" s="35">
        <v>1</v>
      </c>
      <c r="C27" s="14">
        <v>43304.25</v>
      </c>
      <c r="D27" s="18">
        <v>2.61416001</v>
      </c>
      <c r="E27" s="19">
        <f t="shared" si="5"/>
        <v>2.61416001</v>
      </c>
      <c r="F27" s="16">
        <v>0.53840911400000002</v>
      </c>
      <c r="G27" s="10">
        <f t="shared" si="8"/>
        <v>0</v>
      </c>
      <c r="H27" s="10">
        <f t="shared" si="12"/>
        <v>0</v>
      </c>
      <c r="I27" s="73">
        <f t="shared" si="9"/>
        <v>0</v>
      </c>
      <c r="J27" s="9">
        <f>IF(F27&gt;VLOOKUP($B$16,$B$2:$F$9,5,FALSE),MAX(N27,-F27*(VLOOKUP(B27,$B$2:$E$9,4,FALSE)),-2*(6-H26),-(VLOOKUP(B27,$B$2:$G$9,6,FALSE)-D27)),0)</f>
        <v>0</v>
      </c>
      <c r="K27" s="9">
        <f t="shared" si="6"/>
        <v>0</v>
      </c>
      <c r="L27" s="9">
        <f t="shared" si="7"/>
        <v>0</v>
      </c>
      <c r="M27" s="9">
        <f t="shared" si="10"/>
        <v>0</v>
      </c>
      <c r="N27" s="8">
        <v>-2.5</v>
      </c>
      <c r="O27" s="8">
        <v>0</v>
      </c>
      <c r="P27" s="2"/>
    </row>
    <row r="28" spans="1:23" x14ac:dyDescent="0.3">
      <c r="A28" s="35">
        <f t="shared" si="11"/>
        <v>14</v>
      </c>
      <c r="B28" s="35">
        <v>1</v>
      </c>
      <c r="C28" s="14">
        <v>43304.270833333336</v>
      </c>
      <c r="D28" s="18">
        <v>2.7672307479999998</v>
      </c>
      <c r="E28" s="19">
        <f t="shared" si="5"/>
        <v>2.7672307479999998</v>
      </c>
      <c r="F28" s="16">
        <v>0.76786124700000002</v>
      </c>
      <c r="G28" s="10">
        <f t="shared" si="8"/>
        <v>0</v>
      </c>
      <c r="H28" s="10">
        <f t="shared" si="12"/>
        <v>0</v>
      </c>
      <c r="I28" s="73">
        <f t="shared" si="9"/>
        <v>0</v>
      </c>
      <c r="J28" s="9">
        <f>IF(F28&gt;VLOOKUP($B$16,$B$2:$F$9,5,FALSE),MAX(N28,-F28*(VLOOKUP(B28,$B$2:$E$9,4,FALSE)),-2*(6-H27),-(VLOOKUP(B28,$B$2:$G$9,6,FALSE)-D28)),0)</f>
        <v>0</v>
      </c>
      <c r="K28" s="9">
        <f t="shared" si="6"/>
        <v>0</v>
      </c>
      <c r="L28" s="9">
        <f t="shared" si="7"/>
        <v>0</v>
      </c>
      <c r="M28" s="9">
        <f t="shared" si="10"/>
        <v>0</v>
      </c>
      <c r="N28" s="8">
        <v>-2.5</v>
      </c>
      <c r="O28" s="8">
        <v>0</v>
      </c>
      <c r="P28" s="2"/>
      <c r="Q28" s="2"/>
    </row>
    <row r="29" spans="1:23" x14ac:dyDescent="0.3">
      <c r="A29" s="35">
        <f t="shared" si="11"/>
        <v>15</v>
      </c>
      <c r="B29" s="35">
        <v>1</v>
      </c>
      <c r="C29" s="14">
        <v>43304.291666666664</v>
      </c>
      <c r="D29" s="18">
        <v>2.8303460660000002</v>
      </c>
      <c r="E29" s="19">
        <f t="shared" si="5"/>
        <v>3.2347108800000002</v>
      </c>
      <c r="F29" s="16">
        <v>1.2969576119999999</v>
      </c>
      <c r="G29" s="10">
        <f t="shared" si="8"/>
        <v>0.40436481400000002</v>
      </c>
      <c r="H29" s="10">
        <f t="shared" si="12"/>
        <v>0.20218240700000001</v>
      </c>
      <c r="I29" s="73">
        <f t="shared" si="9"/>
        <v>0</v>
      </c>
      <c r="J29" s="9">
        <f>IF(F29&gt;VLOOKUP($B$16,$B$2:$F$9,5,FALSE),MAX(N29,-F29*(VLOOKUP(B29,$B$2:$E$9,4,FALSE)),-2*(6-H28),-(VLOOKUP(B29,$B$2:$G$9,6,FALSE)-D29)),0)</f>
        <v>-0.40436481400000002</v>
      </c>
      <c r="K29" s="9">
        <f t="shared" si="6"/>
        <v>0</v>
      </c>
      <c r="L29" s="9">
        <f t="shared" si="7"/>
        <v>-0.40436481400000002</v>
      </c>
      <c r="M29" s="9">
        <f t="shared" si="10"/>
        <v>0</v>
      </c>
      <c r="N29" s="8">
        <v>-2.5</v>
      </c>
      <c r="O29" s="8">
        <v>0</v>
      </c>
      <c r="P29" s="2"/>
    </row>
    <row r="30" spans="1:23" x14ac:dyDescent="0.3">
      <c r="A30" s="35">
        <f t="shared" si="11"/>
        <v>16</v>
      </c>
      <c r="B30" s="35">
        <v>1</v>
      </c>
      <c r="C30" s="14">
        <v>43304.3125</v>
      </c>
      <c r="D30" s="18">
        <v>2.8193388599999998</v>
      </c>
      <c r="E30" s="19">
        <f t="shared" si="5"/>
        <v>3.2347108800000002</v>
      </c>
      <c r="F30" s="16">
        <v>1.4876036640000001</v>
      </c>
      <c r="G30" s="10">
        <f t="shared" si="8"/>
        <v>0.4153720200000004</v>
      </c>
      <c r="H30" s="10">
        <f t="shared" si="12"/>
        <v>0.40986841700000021</v>
      </c>
      <c r="I30" s="73">
        <f t="shared" si="9"/>
        <v>0</v>
      </c>
      <c r="J30" s="9">
        <f>IF(F30&gt;VLOOKUP($B$16,$B$2:$F$9,5,FALSE),MAX(N30,-F30*(VLOOKUP(B30,$B$2:$E$9,4,FALSE)),-2*(6-H29),-(VLOOKUP(B30,$B$2:$G$9,6,FALSE)-D30)),0)</f>
        <v>-0.4153720200000004</v>
      </c>
      <c r="K30" s="9">
        <f t="shared" si="6"/>
        <v>0</v>
      </c>
      <c r="L30" s="9">
        <f t="shared" si="7"/>
        <v>-0.4153720200000004</v>
      </c>
      <c r="M30" s="9">
        <f t="shared" si="10"/>
        <v>0</v>
      </c>
      <c r="N30" s="8">
        <v>-2.5</v>
      </c>
      <c r="O30" s="8">
        <v>0</v>
      </c>
      <c r="P30" s="2"/>
      <c r="Q30" s="78"/>
    </row>
    <row r="31" spans="1:23" x14ac:dyDescent="0.3">
      <c r="A31" s="35">
        <f t="shared" si="11"/>
        <v>17</v>
      </c>
      <c r="B31" s="35">
        <v>1</v>
      </c>
      <c r="C31" s="14">
        <v>43304.333333333336</v>
      </c>
      <c r="D31" s="18">
        <v>2.675355825</v>
      </c>
      <c r="E31" s="19">
        <f t="shared" si="5"/>
        <v>3.2347108800000002</v>
      </c>
      <c r="F31" s="16">
        <v>2.0629451269999999</v>
      </c>
      <c r="G31" s="10">
        <f t="shared" si="8"/>
        <v>0.55935505500000016</v>
      </c>
      <c r="H31" s="10">
        <f t="shared" si="12"/>
        <v>0.68954594450000029</v>
      </c>
      <c r="I31" s="73">
        <f t="shared" si="9"/>
        <v>0</v>
      </c>
      <c r="J31" s="9">
        <f>IF(F31&gt;VLOOKUP($B$16,$B$2:$F$9,5,FALSE),MAX(N31,-F31*(VLOOKUP(B31,$B$2:$E$9,4,FALSE)),-2*(6-H30),-(VLOOKUP(B31,$B$2:$G$9,6,FALSE)-D31)),0)</f>
        <v>-0.55935505500000016</v>
      </c>
      <c r="K31" s="9">
        <f t="shared" si="6"/>
        <v>0</v>
      </c>
      <c r="L31" s="9">
        <f t="shared" si="7"/>
        <v>-0.55935505500000016</v>
      </c>
      <c r="M31" s="9">
        <f t="shared" si="10"/>
        <v>0</v>
      </c>
      <c r="N31" s="8">
        <v>-2.5</v>
      </c>
      <c r="O31" s="8">
        <v>0</v>
      </c>
      <c r="P31" s="2"/>
      <c r="S31" s="96"/>
      <c r="T31" s="96"/>
      <c r="U31" s="96"/>
      <c r="V31" s="96"/>
      <c r="W31" s="96"/>
    </row>
    <row r="32" spans="1:23" x14ac:dyDescent="0.3">
      <c r="A32" s="35">
        <f t="shared" si="11"/>
        <v>18</v>
      </c>
      <c r="B32" s="35">
        <v>1</v>
      </c>
      <c r="C32" s="14">
        <v>43304.354166666664</v>
      </c>
      <c r="D32" s="18">
        <v>2.6399473499999999</v>
      </c>
      <c r="E32" s="19">
        <f t="shared" si="5"/>
        <v>3.2347108800000002</v>
      </c>
      <c r="F32" s="16">
        <v>2.236751318</v>
      </c>
      <c r="G32" s="10">
        <f t="shared" si="8"/>
        <v>0.59476353000000026</v>
      </c>
      <c r="H32" s="10">
        <f t="shared" si="12"/>
        <v>0.98692770950000042</v>
      </c>
      <c r="I32" s="73">
        <f t="shared" si="9"/>
        <v>0</v>
      </c>
      <c r="J32" s="9">
        <f>IF(F32&gt;VLOOKUP($B$16,$B$2:$F$9,5,FALSE),MAX(N32,-F32*(VLOOKUP(B32,$B$2:$E$9,4,FALSE)),-2*(6-H31),-(VLOOKUP(B32,$B$2:$G$9,6,FALSE)-D32)),0)</f>
        <v>-0.59476353000000026</v>
      </c>
      <c r="K32" s="9">
        <f t="shared" si="6"/>
        <v>0</v>
      </c>
      <c r="L32" s="9">
        <f t="shared" si="7"/>
        <v>-0.59476353000000026</v>
      </c>
      <c r="M32" s="9">
        <f t="shared" si="10"/>
        <v>0</v>
      </c>
      <c r="N32" s="8">
        <v>-2.5</v>
      </c>
      <c r="O32" s="8">
        <v>0</v>
      </c>
      <c r="P32" s="2"/>
    </row>
    <row r="33" spans="1:28" x14ac:dyDescent="0.3">
      <c r="A33" s="35">
        <f t="shared" si="11"/>
        <v>19</v>
      </c>
      <c r="B33" s="35">
        <v>1</v>
      </c>
      <c r="C33" s="14">
        <v>43304.375</v>
      </c>
      <c r="D33" s="18">
        <v>2.5525240789999999</v>
      </c>
      <c r="E33" s="19">
        <f t="shared" si="5"/>
        <v>3.2347108800000002</v>
      </c>
      <c r="F33" s="16">
        <v>2.550806761</v>
      </c>
      <c r="G33" s="10">
        <f t="shared" si="8"/>
        <v>0.68218680100000029</v>
      </c>
      <c r="H33" s="10">
        <f t="shared" si="12"/>
        <v>1.3280211100000006</v>
      </c>
      <c r="I33" s="73">
        <f t="shared" si="9"/>
        <v>0</v>
      </c>
      <c r="J33" s="9">
        <f>IF(F33&gt;VLOOKUP($B$16,$B$2:$F$9,5,FALSE),MAX(N33,-F33*(VLOOKUP(B33,$B$2:$E$9,4,FALSE)),-2*(6-H32),-(VLOOKUP(B33,$B$2:$G$9,6,FALSE)-D33)),0)</f>
        <v>-0.68218680100000029</v>
      </c>
      <c r="K33" s="9">
        <f t="shared" si="6"/>
        <v>0</v>
      </c>
      <c r="L33" s="9">
        <f t="shared" si="7"/>
        <v>-0.68218680100000029</v>
      </c>
      <c r="M33" s="9">
        <f t="shared" si="10"/>
        <v>0</v>
      </c>
      <c r="N33" s="8">
        <v>-2.5</v>
      </c>
      <c r="O33" s="8">
        <v>0</v>
      </c>
      <c r="P33" s="2"/>
      <c r="Q33" s="2"/>
    </row>
    <row r="34" spans="1:28" x14ac:dyDescent="0.3">
      <c r="A34" s="35">
        <f t="shared" si="11"/>
        <v>20</v>
      </c>
      <c r="B34" s="35">
        <v>1</v>
      </c>
      <c r="C34" s="14">
        <v>43304.395833333336</v>
      </c>
      <c r="D34" s="18">
        <v>2.5124367639999998</v>
      </c>
      <c r="E34" s="19">
        <f t="shared" si="5"/>
        <v>3.2347108800000002</v>
      </c>
      <c r="F34" s="16">
        <v>2.7332479950000002</v>
      </c>
      <c r="G34" s="10">
        <f t="shared" si="8"/>
        <v>0.72227411600000035</v>
      </c>
      <c r="H34" s="10">
        <f t="shared" si="12"/>
        <v>1.6891581680000007</v>
      </c>
      <c r="I34" s="73">
        <f t="shared" si="9"/>
        <v>0</v>
      </c>
      <c r="J34" s="9">
        <f>IF(F34&gt;VLOOKUP($B$16,$B$2:$F$9,5,FALSE),MAX(N34,-F34*(VLOOKUP(B34,$B$2:$E$9,4,FALSE)),-2*(6-H33),-(VLOOKUP(B34,$B$2:$G$9,6,FALSE)-D34)),0)</f>
        <v>-0.72227411600000035</v>
      </c>
      <c r="K34" s="9">
        <f t="shared" si="6"/>
        <v>0</v>
      </c>
      <c r="L34" s="9">
        <f t="shared" si="7"/>
        <v>-0.72227411600000035</v>
      </c>
      <c r="M34" s="9">
        <f t="shared" si="10"/>
        <v>0</v>
      </c>
      <c r="N34" s="8">
        <v>-2.5</v>
      </c>
      <c r="O34" s="8">
        <v>0</v>
      </c>
      <c r="P34" s="2"/>
      <c r="Q34" s="2"/>
    </row>
    <row r="35" spans="1:28" x14ac:dyDescent="0.3">
      <c r="A35" s="35">
        <f t="shared" si="11"/>
        <v>21</v>
      </c>
      <c r="B35" s="35">
        <v>1</v>
      </c>
      <c r="C35" s="14">
        <v>43304.416666666664</v>
      </c>
      <c r="D35" s="18">
        <v>2.505472132</v>
      </c>
      <c r="E35" s="19">
        <f t="shared" si="5"/>
        <v>3.2347108800000002</v>
      </c>
      <c r="F35" s="16">
        <v>2.9782257080000001</v>
      </c>
      <c r="G35" s="10">
        <f t="shared" si="8"/>
        <v>0.72923874800000021</v>
      </c>
      <c r="H35" s="10">
        <f t="shared" si="12"/>
        <v>2.0537775420000006</v>
      </c>
      <c r="I35" s="73">
        <f t="shared" si="9"/>
        <v>0</v>
      </c>
      <c r="J35" s="9">
        <f>IF(F35&gt;VLOOKUP($B$16,$B$2:$F$9,5,FALSE),MAX(N35,-F35*(VLOOKUP(B35,$B$2:$E$9,4,FALSE)),-2*(6-H34),-(VLOOKUP(B35,$B$2:$G$9,6,FALSE)-D35)),0)</f>
        <v>-0.72923874800000021</v>
      </c>
      <c r="K35" s="9">
        <f t="shared" si="6"/>
        <v>0</v>
      </c>
      <c r="L35" s="9">
        <f t="shared" si="7"/>
        <v>-0.72923874800000021</v>
      </c>
      <c r="M35" s="9">
        <f t="shared" si="10"/>
        <v>0</v>
      </c>
      <c r="N35" s="8">
        <v>-2.5</v>
      </c>
      <c r="O35" s="8">
        <v>0</v>
      </c>
      <c r="P35" s="2"/>
      <c r="Q35" s="2"/>
    </row>
    <row r="36" spans="1:28" x14ac:dyDescent="0.3">
      <c r="A36" s="35">
        <f t="shared" si="11"/>
        <v>22</v>
      </c>
      <c r="B36" s="35">
        <v>1</v>
      </c>
      <c r="C36" s="14">
        <v>43304.4375</v>
      </c>
      <c r="D36" s="18">
        <v>2.48283348</v>
      </c>
      <c r="E36" s="19">
        <f t="shared" si="5"/>
        <v>3.2347108800000002</v>
      </c>
      <c r="F36" s="16">
        <v>3.013282061</v>
      </c>
      <c r="G36" s="10">
        <f t="shared" si="8"/>
        <v>0.75187740000000014</v>
      </c>
      <c r="H36" s="10">
        <f t="shared" si="12"/>
        <v>2.4297162420000005</v>
      </c>
      <c r="I36" s="73">
        <f t="shared" si="9"/>
        <v>0</v>
      </c>
      <c r="J36" s="9">
        <f>IF(F36&gt;VLOOKUP($B$16,$B$2:$F$9,5,FALSE),MAX(N36,-F36*(VLOOKUP(B36,$B$2:$E$9,4,FALSE)),-2*(6-H35),-(VLOOKUP(B36,$B$2:$G$9,6,FALSE)-D36)),0)</f>
        <v>-0.75187740000000014</v>
      </c>
      <c r="K36" s="9">
        <f t="shared" si="6"/>
        <v>0</v>
      </c>
      <c r="L36" s="9">
        <f t="shared" si="7"/>
        <v>-0.75187740000000014</v>
      </c>
      <c r="M36" s="9">
        <f t="shared" si="10"/>
        <v>0</v>
      </c>
      <c r="N36" s="8">
        <v>-2.5</v>
      </c>
      <c r="O36" s="8">
        <v>0</v>
      </c>
      <c r="P36" s="2"/>
      <c r="Q36" s="2"/>
    </row>
    <row r="37" spans="1:28" x14ac:dyDescent="0.3">
      <c r="A37" s="35">
        <f t="shared" si="11"/>
        <v>23</v>
      </c>
      <c r="B37" s="35">
        <v>1</v>
      </c>
      <c r="C37" s="14">
        <v>43304.458333333336</v>
      </c>
      <c r="D37" s="18">
        <v>2.4614983929999998</v>
      </c>
      <c r="E37" s="19">
        <f t="shared" si="5"/>
        <v>3.2347108800000002</v>
      </c>
      <c r="F37" s="16">
        <v>3.2301878930000001</v>
      </c>
      <c r="G37" s="10">
        <f t="shared" si="8"/>
        <v>0.77321248700000034</v>
      </c>
      <c r="H37" s="10">
        <f t="shared" si="12"/>
        <v>2.8163224855000006</v>
      </c>
      <c r="I37" s="73">
        <f t="shared" si="9"/>
        <v>0</v>
      </c>
      <c r="J37" s="9">
        <f>IF(F37&gt;VLOOKUP($B$16,$B$2:$F$9,5,FALSE),MAX(N37,-F37*(VLOOKUP(B37,$B$2:$E$9,4,FALSE)),-2*(6-H36),-(VLOOKUP(B37,$B$2:$G$9,6,FALSE)-D37)),0)</f>
        <v>-0.77321248700000034</v>
      </c>
      <c r="K37" s="9">
        <f t="shared" si="6"/>
        <v>0</v>
      </c>
      <c r="L37" s="9">
        <f t="shared" si="7"/>
        <v>-0.77321248700000034</v>
      </c>
      <c r="M37" s="9">
        <f t="shared" si="10"/>
        <v>0</v>
      </c>
      <c r="N37" s="8">
        <v>-2.5</v>
      </c>
      <c r="O37" s="8">
        <v>0</v>
      </c>
      <c r="P37" s="2"/>
      <c r="Q37" s="2"/>
    </row>
    <row r="38" spans="1:28" ht="16.2" customHeight="1" x14ac:dyDescent="0.3">
      <c r="A38" s="35">
        <f t="shared" si="11"/>
        <v>24</v>
      </c>
      <c r="B38" s="35">
        <v>1</v>
      </c>
      <c r="C38" s="14">
        <v>43304.479166666664</v>
      </c>
      <c r="D38" s="18">
        <v>2.418011307</v>
      </c>
      <c r="E38" s="19">
        <f t="shared" si="5"/>
        <v>3.2347108800000002</v>
      </c>
      <c r="F38" s="16">
        <v>3.247507572</v>
      </c>
      <c r="G38" s="10">
        <f t="shared" si="8"/>
        <v>0.81669957300000018</v>
      </c>
      <c r="H38" s="10">
        <f t="shared" si="12"/>
        <v>3.2246722720000007</v>
      </c>
      <c r="I38" s="73">
        <f t="shared" si="9"/>
        <v>0</v>
      </c>
      <c r="J38" s="9">
        <f>IF(F38&gt;VLOOKUP($B$16,$B$2:$F$9,5,FALSE),MAX(N38,-F38*(VLOOKUP(B38,$B$2:$E$9,4,FALSE)),-2*(6-H37),-(VLOOKUP(B38,$B$2:$G$9,6,FALSE)-D38)),0)</f>
        <v>-0.81669957300000018</v>
      </c>
      <c r="K38" s="9">
        <f t="shared" si="6"/>
        <v>0</v>
      </c>
      <c r="L38" s="9">
        <f t="shared" si="7"/>
        <v>-0.81669957300000018</v>
      </c>
      <c r="M38" s="9">
        <f t="shared" si="10"/>
        <v>0</v>
      </c>
      <c r="N38" s="8">
        <v>-2.5</v>
      </c>
      <c r="O38" s="8">
        <v>0</v>
      </c>
      <c r="P38" s="2"/>
      <c r="Q38" s="2"/>
      <c r="Y38" s="4"/>
    </row>
    <row r="39" spans="1:28" x14ac:dyDescent="0.3">
      <c r="A39" s="35">
        <f t="shared" si="11"/>
        <v>25</v>
      </c>
      <c r="B39" s="35">
        <v>1</v>
      </c>
      <c r="C39" s="14">
        <v>43304.5</v>
      </c>
      <c r="D39" s="18">
        <v>2.3752737100000001</v>
      </c>
      <c r="E39" s="19">
        <f t="shared" si="5"/>
        <v>3.2347108800000002</v>
      </c>
      <c r="F39" s="16">
        <v>3.0935804839999999</v>
      </c>
      <c r="G39" s="10">
        <f t="shared" si="8"/>
        <v>0.85943717000000008</v>
      </c>
      <c r="H39" s="10">
        <f t="shared" si="12"/>
        <v>3.654390857000001</v>
      </c>
      <c r="I39" s="73">
        <f t="shared" si="9"/>
        <v>0</v>
      </c>
      <c r="J39" s="9">
        <f>IF(F39&gt;VLOOKUP($B$16,$B$2:$F$9,5,FALSE),MAX(N39,-F39*(VLOOKUP(B39,$B$2:$E$9,4,FALSE)),-2*(6-H38),-(VLOOKUP(B39,$B$2:$G$9,6,FALSE)-D39)),0)</f>
        <v>-0.85943717000000008</v>
      </c>
      <c r="K39" s="9">
        <f t="shared" si="6"/>
        <v>0</v>
      </c>
      <c r="L39" s="9">
        <f t="shared" si="7"/>
        <v>-0.85943717000000008</v>
      </c>
      <c r="M39" s="9">
        <f t="shared" si="10"/>
        <v>0</v>
      </c>
      <c r="N39" s="8">
        <v>-2.5</v>
      </c>
      <c r="O39" s="8">
        <v>0</v>
      </c>
      <c r="P39" s="2"/>
      <c r="Q39" s="2"/>
      <c r="Y39" s="6"/>
    </row>
    <row r="40" spans="1:28" x14ac:dyDescent="0.3">
      <c r="A40" s="35">
        <f t="shared" si="11"/>
        <v>26</v>
      </c>
      <c r="B40" s="35">
        <v>1</v>
      </c>
      <c r="C40" s="14">
        <v>43304.520833333336</v>
      </c>
      <c r="D40" s="18">
        <v>2.342252357</v>
      </c>
      <c r="E40" s="19">
        <f t="shared" si="5"/>
        <v>3.2347108800000002</v>
      </c>
      <c r="F40" s="16">
        <v>2.997031212</v>
      </c>
      <c r="G40" s="10">
        <f t="shared" si="8"/>
        <v>0.89245852300000017</v>
      </c>
      <c r="H40" s="10">
        <f t="shared" si="12"/>
        <v>4.1006201185000011</v>
      </c>
      <c r="I40" s="73">
        <f t="shared" si="9"/>
        <v>0</v>
      </c>
      <c r="J40" s="9">
        <f>IF(F40&gt;VLOOKUP($B$16,$B$2:$F$9,5,FALSE),MAX(N40,-F40*(VLOOKUP(B40,$B$2:$E$9,4,FALSE)),-2*(6-H39),-(VLOOKUP(B40,$B$2:$G$9,6,FALSE)-D40)),0)</f>
        <v>-0.89245852300000017</v>
      </c>
      <c r="K40" s="9">
        <f t="shared" si="6"/>
        <v>0</v>
      </c>
      <c r="L40" s="9">
        <f t="shared" si="7"/>
        <v>-0.89245852300000017</v>
      </c>
      <c r="M40" s="9">
        <f t="shared" si="10"/>
        <v>0</v>
      </c>
      <c r="N40" s="8">
        <v>-2.5</v>
      </c>
      <c r="O40" s="8">
        <v>0</v>
      </c>
      <c r="P40" s="2"/>
      <c r="Q40" s="2"/>
    </row>
    <row r="41" spans="1:28" x14ac:dyDescent="0.3">
      <c r="A41" s="35">
        <f t="shared" si="11"/>
        <v>27</v>
      </c>
      <c r="B41" s="35">
        <v>1</v>
      </c>
      <c r="C41" s="14">
        <v>43304.541666666664</v>
      </c>
      <c r="D41" s="18">
        <v>2.283860088</v>
      </c>
      <c r="E41" s="19">
        <f t="shared" si="5"/>
        <v>3.2347108800000002</v>
      </c>
      <c r="F41" s="16">
        <v>2.9361350540000002</v>
      </c>
      <c r="G41" s="10">
        <f t="shared" si="8"/>
        <v>0.95085079200000022</v>
      </c>
      <c r="H41" s="10">
        <f t="shared" si="12"/>
        <v>4.5760455145000014</v>
      </c>
      <c r="I41" s="73">
        <f t="shared" si="9"/>
        <v>0</v>
      </c>
      <c r="J41" s="9">
        <f>IF(F41&gt;VLOOKUP($B$16,$B$2:$F$9,5,FALSE),MAX(N41,-F41*(VLOOKUP(B41,$B$2:$E$9,4,FALSE)),-2*(6-H40),-(VLOOKUP(B41,$B$2:$G$9,6,FALSE)-D41)),0)</f>
        <v>-0.95085079200000022</v>
      </c>
      <c r="K41" s="9">
        <f t="shared" si="6"/>
        <v>0</v>
      </c>
      <c r="L41" s="9">
        <f t="shared" si="7"/>
        <v>-0.95085079200000022</v>
      </c>
      <c r="M41" s="9">
        <f t="shared" si="10"/>
        <v>0</v>
      </c>
      <c r="N41" s="8">
        <v>-2.5</v>
      </c>
      <c r="O41" s="8">
        <v>0</v>
      </c>
      <c r="P41" s="2"/>
      <c r="Q41" s="2"/>
    </row>
    <row r="42" spans="1:28" x14ac:dyDescent="0.3">
      <c r="A42" s="35">
        <f t="shared" si="11"/>
        <v>28</v>
      </c>
      <c r="B42" s="35">
        <v>1</v>
      </c>
      <c r="C42" s="14">
        <v>43304.5625</v>
      </c>
      <c r="D42" s="18">
        <v>2.2899392089999999</v>
      </c>
      <c r="E42" s="19">
        <f t="shared" si="5"/>
        <v>3.2347108800000002</v>
      </c>
      <c r="F42" s="16">
        <v>2.9205141069999998</v>
      </c>
      <c r="G42" s="10">
        <f t="shared" si="8"/>
        <v>0.94477167100000026</v>
      </c>
      <c r="H42" s="10">
        <f t="shared" si="12"/>
        <v>5.0484313500000013</v>
      </c>
      <c r="I42" s="73">
        <f t="shared" si="9"/>
        <v>0</v>
      </c>
      <c r="J42" s="9">
        <f>IF(F42&gt;VLOOKUP($B$16,$B$2:$F$9,5,FALSE),MAX(N42,-F42*(VLOOKUP(B42,$B$2:$E$9,4,FALSE)),-2*(6-H41),-(VLOOKUP(B42,$B$2:$G$9,6,FALSE)-D42)),0)</f>
        <v>-0.94477167100000026</v>
      </c>
      <c r="K42" s="9">
        <f t="shared" si="6"/>
        <v>0</v>
      </c>
      <c r="L42" s="9">
        <f t="shared" si="7"/>
        <v>-0.94477167100000026</v>
      </c>
      <c r="M42" s="9">
        <f t="shared" si="10"/>
        <v>0</v>
      </c>
      <c r="N42" s="8">
        <v>-2.5</v>
      </c>
      <c r="O42" s="8">
        <v>0</v>
      </c>
      <c r="P42" s="2"/>
      <c r="Q42" s="2"/>
    </row>
    <row r="43" spans="1:28" x14ac:dyDescent="0.3">
      <c r="A43" s="35">
        <f t="shared" si="11"/>
        <v>29</v>
      </c>
      <c r="B43" s="35">
        <v>1</v>
      </c>
      <c r="C43" s="14">
        <v>43304.583333333336</v>
      </c>
      <c r="D43" s="18">
        <v>2.2994372869999999</v>
      </c>
      <c r="E43" s="19">
        <f t="shared" si="5"/>
        <v>3.2347108800000002</v>
      </c>
      <c r="F43" s="16">
        <v>2.7893986700000002</v>
      </c>
      <c r="G43" s="10">
        <f t="shared" si="8"/>
        <v>0.93527359300000024</v>
      </c>
      <c r="H43" s="10">
        <f t="shared" si="12"/>
        <v>5.5160681465000012</v>
      </c>
      <c r="I43" s="73">
        <f t="shared" si="9"/>
        <v>0</v>
      </c>
      <c r="J43" s="9">
        <f>IF(F43&gt;VLOOKUP($B$16,$B$2:$F$9,5,FALSE),MAX(N43,-F43*(VLOOKUP(B43,$B$2:$E$9,4,FALSE)),-2*(6-H42),-(VLOOKUP(B43,$B$2:$G$9,6,FALSE)-D43)),0)</f>
        <v>-0.93527359300000024</v>
      </c>
      <c r="K43" s="9">
        <f t="shared" si="6"/>
        <v>0</v>
      </c>
      <c r="L43" s="9">
        <f t="shared" si="7"/>
        <v>-0.93527359300000024</v>
      </c>
      <c r="M43" s="9">
        <f t="shared" si="10"/>
        <v>0</v>
      </c>
      <c r="N43" s="8">
        <v>-2.5</v>
      </c>
      <c r="O43" s="8">
        <v>0</v>
      </c>
      <c r="Q43" s="2"/>
    </row>
    <row r="44" spans="1:28" x14ac:dyDescent="0.3">
      <c r="A44" s="37">
        <f t="shared" si="11"/>
        <v>30</v>
      </c>
      <c r="B44" s="37">
        <v>1</v>
      </c>
      <c r="C44" s="24">
        <v>43304.604166666664</v>
      </c>
      <c r="D44" s="25">
        <v>2.3895533879999999</v>
      </c>
      <c r="E44" s="26">
        <f t="shared" si="5"/>
        <v>3.2347108800000002</v>
      </c>
      <c r="F44" s="27">
        <v>2.5858731270000002</v>
      </c>
      <c r="G44" s="10">
        <f t="shared" si="8"/>
        <v>0.84515749200000023</v>
      </c>
      <c r="H44" s="10">
        <f t="shared" si="12"/>
        <v>5.9386468925000013</v>
      </c>
      <c r="I44" s="73">
        <f t="shared" si="9"/>
        <v>0</v>
      </c>
      <c r="J44" s="9">
        <f>IF(F44&gt;VLOOKUP($B$16,$B$2:$F$9,5,FALSE),MAX(N44,-F44*(VLOOKUP(B44,$B$2:$E$9,4,FALSE)),-2*(6-H43),-(VLOOKUP(B44,$B$2:$G$9,6,FALSE)-D44)),0)</f>
        <v>-0.84515749200000023</v>
      </c>
      <c r="K44" s="9">
        <f t="shared" si="6"/>
        <v>0</v>
      </c>
      <c r="L44" s="42">
        <f t="shared" si="7"/>
        <v>-0.84515749200000023</v>
      </c>
      <c r="M44" s="42">
        <f t="shared" si="10"/>
        <v>0</v>
      </c>
      <c r="N44" s="23">
        <v>-2.5</v>
      </c>
      <c r="O44" s="23">
        <v>0</v>
      </c>
      <c r="P44" s="2"/>
      <c r="Q44" s="2"/>
    </row>
    <row r="45" spans="1:28" s="64" customFormat="1" ht="15" thickBot="1" x14ac:dyDescent="0.35">
      <c r="A45" s="54">
        <f t="shared" si="11"/>
        <v>31</v>
      </c>
      <c r="B45" s="54">
        <v>1</v>
      </c>
      <c r="C45" s="55">
        <v>43304.625</v>
      </c>
      <c r="D45" s="56">
        <v>2.5264257730000002</v>
      </c>
      <c r="E45" s="57">
        <f t="shared" si="5"/>
        <v>2.6491319879999975</v>
      </c>
      <c r="F45" s="58">
        <v>2.448071718</v>
      </c>
      <c r="G45" s="111">
        <f t="shared" si="8"/>
        <v>0.12270621499999734</v>
      </c>
      <c r="H45" s="111">
        <f t="shared" si="12"/>
        <v>6</v>
      </c>
      <c r="I45" s="74">
        <f t="shared" si="9"/>
        <v>0</v>
      </c>
      <c r="J45" s="9">
        <f>IF(F45&gt;VLOOKUP($B$16,$B$2:$F$9,5,FALSE),MAX(N45,-F45*(VLOOKUP(B45,$B$2:$E$9,4,FALSE)),-2*(6-H44),-(VLOOKUP(B45,$B$2:$G$9,6,FALSE)-D45)),0)</f>
        <v>-0.12270621499999734</v>
      </c>
      <c r="K45" s="60">
        <f t="shared" si="6"/>
        <v>0</v>
      </c>
      <c r="L45" s="60">
        <f t="shared" si="7"/>
        <v>-0.12270621499999734</v>
      </c>
      <c r="M45" s="60">
        <f t="shared" si="10"/>
        <v>0</v>
      </c>
      <c r="N45" s="61">
        <v>-2.5</v>
      </c>
      <c r="O45" s="61">
        <v>0</v>
      </c>
      <c r="P45" s="62"/>
      <c r="Q45" s="62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8" s="43" customFormat="1" x14ac:dyDescent="0.3">
      <c r="A46" s="44">
        <f>A45+1</f>
        <v>32</v>
      </c>
      <c r="B46" s="44">
        <v>1</v>
      </c>
      <c r="C46" s="45">
        <v>43304.645833333336</v>
      </c>
      <c r="D46" s="46">
        <v>2.732436935</v>
      </c>
      <c r="E46" s="33">
        <f t="shared" si="5"/>
        <v>1.9066965960909088</v>
      </c>
      <c r="F46" s="47">
        <v>2.3818759919999999</v>
      </c>
      <c r="G46" s="97">
        <f t="shared" si="8"/>
        <v>-0.82574033890909115</v>
      </c>
      <c r="H46" s="97">
        <f t="shared" si="12"/>
        <v>5.5871298305454546</v>
      </c>
      <c r="I46" s="72">
        <f t="shared" si="9"/>
        <v>0.82574033890909115</v>
      </c>
      <c r="J46" s="9">
        <f>IF(F46&gt;VLOOKUP($B$16,$B$2:$F$9,5,FALSE),MAX(N46,-F46*(VLOOKUP(B46,$B$2:$E$9,4,FALSE)),-2*(6-H45),-(VLOOKUP(B46,$B$2:$G$9,6,FALSE)-D46)),0)</f>
        <v>0</v>
      </c>
      <c r="K46" s="40">
        <f t="shared" si="6"/>
        <v>0</v>
      </c>
      <c r="L46" s="40">
        <f t="shared" si="7"/>
        <v>0</v>
      </c>
      <c r="M46" s="72">
        <f t="shared" si="10"/>
        <v>0</v>
      </c>
      <c r="N46" s="48">
        <v>0</v>
      </c>
      <c r="O46" s="48">
        <v>2.5</v>
      </c>
      <c r="P46" s="2"/>
      <c r="Q46" s="2"/>
      <c r="R46"/>
      <c r="S46"/>
      <c r="T46"/>
      <c r="U46"/>
      <c r="V46"/>
      <c r="W46"/>
      <c r="X46"/>
      <c r="Y46"/>
      <c r="Z46"/>
      <c r="AA46"/>
      <c r="AB46"/>
    </row>
    <row r="47" spans="1:28" s="43" customFormat="1" x14ac:dyDescent="0.3">
      <c r="A47" s="36">
        <f t="shared" si="11"/>
        <v>33</v>
      </c>
      <c r="B47" s="36">
        <v>1</v>
      </c>
      <c r="C47" s="15">
        <v>43304.666666666664</v>
      </c>
      <c r="D47" s="20">
        <v>3.0550534489999999</v>
      </c>
      <c r="E47" s="19">
        <f t="shared" si="5"/>
        <v>1.9066965960909088</v>
      </c>
      <c r="F47" s="17">
        <v>2.055265903</v>
      </c>
      <c r="G47" s="10">
        <f t="shared" si="8"/>
        <v>-1.1483568529090911</v>
      </c>
      <c r="H47" s="10">
        <f t="shared" si="12"/>
        <v>5.0129514040909093</v>
      </c>
      <c r="I47" s="73">
        <f t="shared" si="9"/>
        <v>1.1483568529090911</v>
      </c>
      <c r="J47" s="9">
        <f>IF(F47&gt;VLOOKUP($B$16,$B$2:$F$9,5,FALSE),MAX(N47,-F47*(VLOOKUP(B47,$B$2:$E$9,4,FALSE)),-2*(6-H46),-(VLOOKUP(B47,$B$2:$G$9,6,FALSE)-D47)),0)</f>
        <v>0</v>
      </c>
      <c r="K47" s="9">
        <f t="shared" si="6"/>
        <v>0</v>
      </c>
      <c r="L47" s="9">
        <f t="shared" si="7"/>
        <v>0</v>
      </c>
      <c r="M47" s="73">
        <f t="shared" si="10"/>
        <v>0</v>
      </c>
      <c r="N47" s="13">
        <v>0</v>
      </c>
      <c r="O47" s="13">
        <v>2.5</v>
      </c>
      <c r="P47" s="2"/>
      <c r="Q47" s="2"/>
      <c r="R47"/>
      <c r="S47"/>
      <c r="T47"/>
      <c r="U47"/>
      <c r="V47"/>
      <c r="W47"/>
      <c r="X47"/>
      <c r="Y47"/>
      <c r="Z47"/>
      <c r="AA47"/>
      <c r="AB47"/>
    </row>
    <row r="48" spans="1:28" s="43" customFormat="1" x14ac:dyDescent="0.3">
      <c r="A48" s="36">
        <f t="shared" si="11"/>
        <v>34</v>
      </c>
      <c r="B48" s="36">
        <v>1</v>
      </c>
      <c r="C48" s="15">
        <v>43304.6875</v>
      </c>
      <c r="D48" s="20">
        <v>3.0732383649999999</v>
      </c>
      <c r="E48" s="19">
        <f t="shared" si="5"/>
        <v>1.9066965960909088</v>
      </c>
      <c r="F48" s="17">
        <v>1.8658380510000001</v>
      </c>
      <c r="G48" s="10">
        <f t="shared" si="8"/>
        <v>-1.1665417689090911</v>
      </c>
      <c r="H48" s="10">
        <f t="shared" si="12"/>
        <v>4.4296805196363636</v>
      </c>
      <c r="I48" s="73">
        <f t="shared" si="9"/>
        <v>1.1665417689090911</v>
      </c>
      <c r="J48" s="9">
        <f>IF(F48&gt;VLOOKUP($B$16,$B$2:$F$9,5,FALSE),MAX(N48,-F48*(VLOOKUP(B48,$B$2:$E$9,4,FALSE)),-2*(6-H47),-(VLOOKUP(B48,$B$2:$G$9,6,FALSE)-D48)),0)</f>
        <v>0</v>
      </c>
      <c r="K48" s="9">
        <f t="shared" si="6"/>
        <v>0</v>
      </c>
      <c r="L48" s="9">
        <f t="shared" si="7"/>
        <v>0</v>
      </c>
      <c r="M48" s="73">
        <f t="shared" si="10"/>
        <v>0</v>
      </c>
      <c r="N48" s="13">
        <v>0</v>
      </c>
      <c r="O48" s="13">
        <v>2.5</v>
      </c>
      <c r="P48" s="2"/>
      <c r="Q48" s="2"/>
      <c r="R48"/>
      <c r="S48"/>
      <c r="T48"/>
      <c r="U48"/>
      <c r="V48"/>
      <c r="W48"/>
      <c r="X48"/>
      <c r="Y48"/>
      <c r="Z48"/>
      <c r="AA48"/>
      <c r="AB48"/>
    </row>
    <row r="49" spans="1:28" s="43" customFormat="1" x14ac:dyDescent="0.3">
      <c r="A49" s="36">
        <f t="shared" si="11"/>
        <v>35</v>
      </c>
      <c r="B49" s="36">
        <v>1</v>
      </c>
      <c r="C49" s="15">
        <v>43304.708333333336</v>
      </c>
      <c r="D49" s="20">
        <v>3.2347108800000002</v>
      </c>
      <c r="E49" s="19">
        <f t="shared" si="5"/>
        <v>1.9066965960909088</v>
      </c>
      <c r="F49" s="17">
        <v>1.329788923</v>
      </c>
      <c r="G49" s="10">
        <f t="shared" si="8"/>
        <v>-1.3280142839090914</v>
      </c>
      <c r="H49" s="10">
        <f t="shared" si="12"/>
        <v>3.7656733776818179</v>
      </c>
      <c r="I49" s="73">
        <f t="shared" si="9"/>
        <v>1.3280142839090914</v>
      </c>
      <c r="J49" s="9">
        <f>IF(F49&gt;VLOOKUP($B$16,$B$2:$F$9,5,FALSE),MAX(N49,-F49*(VLOOKUP(B49,$B$2:$E$9,4,FALSE)),-2*(6-H48),-(VLOOKUP(B49,$B$2:$G$9,6,FALSE)-D49)),0)</f>
        <v>0</v>
      </c>
      <c r="K49" s="9">
        <f t="shared" si="6"/>
        <v>0</v>
      </c>
      <c r="L49" s="9">
        <f t="shared" si="7"/>
        <v>0</v>
      </c>
      <c r="M49" s="73">
        <f t="shared" si="10"/>
        <v>0</v>
      </c>
      <c r="N49" s="13">
        <v>0</v>
      </c>
      <c r="O49" s="13">
        <v>2.5</v>
      </c>
      <c r="P49" s="2"/>
      <c r="Q49" s="2"/>
      <c r="R49"/>
      <c r="S49"/>
      <c r="T49"/>
      <c r="U49"/>
      <c r="V49"/>
      <c r="W49"/>
      <c r="X49"/>
      <c r="Y49"/>
      <c r="Z49"/>
      <c r="AA49"/>
      <c r="AB49"/>
    </row>
    <row r="50" spans="1:28" s="43" customFormat="1" x14ac:dyDescent="0.3">
      <c r="A50" s="36">
        <f t="shared" si="11"/>
        <v>36</v>
      </c>
      <c r="B50" s="36">
        <v>1</v>
      </c>
      <c r="C50" s="15">
        <v>43304.729166666664</v>
      </c>
      <c r="D50" s="20">
        <v>3.218792857</v>
      </c>
      <c r="E50" s="19">
        <f t="shared" si="5"/>
        <v>1.9066965960909088</v>
      </c>
      <c r="F50" s="17">
        <v>1.031996489</v>
      </c>
      <c r="G50" s="10">
        <f t="shared" si="8"/>
        <v>-1.3120962609090911</v>
      </c>
      <c r="H50" s="10">
        <f t="shared" si="12"/>
        <v>3.1096252472272723</v>
      </c>
      <c r="I50" s="73">
        <f t="shared" si="9"/>
        <v>1.3120962609090911</v>
      </c>
      <c r="J50" s="9">
        <f>IF(F50&gt;VLOOKUP($B$16,$B$2:$F$9,5,FALSE),MAX(N50,-F50*(VLOOKUP(B50,$B$2:$E$9,4,FALSE)),-2*(6-H49),-(VLOOKUP(B50,$B$2:$G$9,6,FALSE)-D50)),0)</f>
        <v>0</v>
      </c>
      <c r="K50" s="9">
        <f t="shared" si="6"/>
        <v>0</v>
      </c>
      <c r="L50" s="9">
        <f t="shared" si="7"/>
        <v>0</v>
      </c>
      <c r="M50" s="73">
        <f t="shared" si="10"/>
        <v>0</v>
      </c>
      <c r="N50" s="13">
        <v>0</v>
      </c>
      <c r="O50" s="13">
        <v>2.5</v>
      </c>
      <c r="P50" s="2"/>
      <c r="Q50" s="2"/>
      <c r="R50"/>
      <c r="S50"/>
      <c r="T50"/>
      <c r="U50"/>
      <c r="V50"/>
      <c r="W50"/>
      <c r="X50"/>
      <c r="Y50"/>
      <c r="Z50"/>
      <c r="AA50"/>
      <c r="AB50"/>
    </row>
    <row r="51" spans="1:28" s="43" customFormat="1" x14ac:dyDescent="0.3">
      <c r="A51" s="36">
        <f t="shared" si="11"/>
        <v>37</v>
      </c>
      <c r="B51" s="36">
        <v>1</v>
      </c>
      <c r="C51" s="15">
        <v>43304.75</v>
      </c>
      <c r="D51" s="20">
        <v>3.1201084090000002</v>
      </c>
      <c r="E51" s="19">
        <f t="shared" si="5"/>
        <v>1.9066965960909088</v>
      </c>
      <c r="F51" s="17">
        <v>0.46224013000000003</v>
      </c>
      <c r="G51" s="10">
        <f t="shared" si="8"/>
        <v>-1.2134118129090914</v>
      </c>
      <c r="H51" s="10">
        <f t="shared" si="12"/>
        <v>2.5029193407727268</v>
      </c>
      <c r="I51" s="73">
        <f t="shared" si="9"/>
        <v>1.2134118129090914</v>
      </c>
      <c r="J51" s="9">
        <f>IF(F51&gt;VLOOKUP($B$16,$B$2:$F$9,5,FALSE),MAX(N51,-F51*(VLOOKUP(B51,$B$2:$E$9,4,FALSE)),-2*(6-H50),-(VLOOKUP(B51,$B$2:$G$9,6,FALSE)-D51)),0)</f>
        <v>0</v>
      </c>
      <c r="K51" s="9">
        <f t="shared" si="6"/>
        <v>0</v>
      </c>
      <c r="L51" s="9">
        <f t="shared" si="7"/>
        <v>0</v>
      </c>
      <c r="M51" s="73">
        <f t="shared" si="10"/>
        <v>0</v>
      </c>
      <c r="N51" s="13">
        <v>0</v>
      </c>
      <c r="O51" s="13">
        <v>2.5</v>
      </c>
      <c r="P51" s="2"/>
      <c r="Q51" s="2"/>
      <c r="R51"/>
      <c r="S51"/>
      <c r="T51"/>
      <c r="U51"/>
      <c r="V51"/>
      <c r="W51"/>
      <c r="X51"/>
      <c r="Y51"/>
      <c r="Z51"/>
      <c r="AA51"/>
      <c r="AB51"/>
    </row>
    <row r="52" spans="1:28" s="43" customFormat="1" x14ac:dyDescent="0.3">
      <c r="A52" s="36">
        <f t="shared" si="11"/>
        <v>38</v>
      </c>
      <c r="B52" s="36">
        <v>1</v>
      </c>
      <c r="C52" s="15">
        <v>43304.770833333336</v>
      </c>
      <c r="D52" s="20">
        <v>3.0527909389999999</v>
      </c>
      <c r="E52" s="19">
        <f t="shared" si="5"/>
        <v>1.9066965960909088</v>
      </c>
      <c r="F52" s="17">
        <v>0.44575551200000002</v>
      </c>
      <c r="G52" s="10">
        <f t="shared" si="8"/>
        <v>-1.1460943429090911</v>
      </c>
      <c r="H52" s="10">
        <f t="shared" si="12"/>
        <v>1.9298721693181813</v>
      </c>
      <c r="I52" s="73">
        <f t="shared" si="9"/>
        <v>1.1460943429090911</v>
      </c>
      <c r="J52" s="9">
        <f>IF(F52&gt;VLOOKUP($B$16,$B$2:$F$9,5,FALSE),MAX(N52,-F52*(VLOOKUP(B52,$B$2:$E$9,4,FALSE)),-2*(6-H51),-(VLOOKUP(B52,$B$2:$G$9,6,FALSE)-D52)),0)</f>
        <v>0</v>
      </c>
      <c r="K52" s="9">
        <f t="shared" si="6"/>
        <v>0</v>
      </c>
      <c r="L52" s="9">
        <f t="shared" si="7"/>
        <v>0</v>
      </c>
      <c r="M52" s="73">
        <f t="shared" si="10"/>
        <v>0</v>
      </c>
      <c r="N52" s="13">
        <v>0</v>
      </c>
      <c r="O52" s="13">
        <v>2.5</v>
      </c>
      <c r="P52" s="2"/>
      <c r="Q52" s="2"/>
      <c r="R52"/>
      <c r="S52"/>
      <c r="T52"/>
      <c r="U52"/>
      <c r="V52"/>
      <c r="W52"/>
      <c r="X52"/>
      <c r="Y52"/>
      <c r="Z52"/>
      <c r="AA52"/>
      <c r="AB52"/>
    </row>
    <row r="53" spans="1:28" s="43" customFormat="1" x14ac:dyDescent="0.3">
      <c r="A53" s="36">
        <f t="shared" si="11"/>
        <v>39</v>
      </c>
      <c r="B53" s="36">
        <v>1</v>
      </c>
      <c r="C53" s="15">
        <v>43304.791666666664</v>
      </c>
      <c r="D53" s="20">
        <v>2.9703153879999999</v>
      </c>
      <c r="E53" s="19">
        <f t="shared" si="5"/>
        <v>1.9066965960909088</v>
      </c>
      <c r="F53" s="17">
        <v>0.123593837</v>
      </c>
      <c r="G53" s="10">
        <f t="shared" si="8"/>
        <v>-1.0636187919090911</v>
      </c>
      <c r="H53" s="10">
        <f t="shared" si="12"/>
        <v>1.3980627733636357</v>
      </c>
      <c r="I53" s="73">
        <f t="shared" si="9"/>
        <v>1.0636187919090911</v>
      </c>
      <c r="J53" s="9">
        <f>IF(F53&gt;VLOOKUP($B$16,$B$2:$F$9,5,FALSE),MAX(N53,-F53*(VLOOKUP(B53,$B$2:$E$9,4,FALSE)),-2*(6-H52),-(VLOOKUP(B53,$B$2:$G$9,6,FALSE)-D53)),0)</f>
        <v>0</v>
      </c>
      <c r="K53" s="9">
        <f t="shared" si="6"/>
        <v>0</v>
      </c>
      <c r="L53" s="9">
        <f t="shared" si="7"/>
        <v>0</v>
      </c>
      <c r="M53" s="73">
        <f t="shared" si="10"/>
        <v>0</v>
      </c>
      <c r="N53" s="13">
        <v>0</v>
      </c>
      <c r="O53" s="13">
        <v>2.5</v>
      </c>
      <c r="P53" s="2"/>
      <c r="Q53" s="2"/>
      <c r="R53"/>
      <c r="S53"/>
      <c r="T53"/>
      <c r="U53"/>
      <c r="V53"/>
      <c r="W53"/>
      <c r="X53"/>
      <c r="Y53"/>
      <c r="Z53"/>
      <c r="AA53"/>
      <c r="AB53"/>
    </row>
    <row r="54" spans="1:28" s="43" customFormat="1" x14ac:dyDescent="0.3">
      <c r="A54" s="36">
        <f t="shared" si="11"/>
        <v>40</v>
      </c>
      <c r="B54" s="36">
        <v>1</v>
      </c>
      <c r="C54" s="15">
        <v>43304.8125</v>
      </c>
      <c r="D54" s="20">
        <v>2.9262778690000002</v>
      </c>
      <c r="E54" s="19">
        <f t="shared" si="5"/>
        <v>1.9066965960909088</v>
      </c>
      <c r="F54" s="17">
        <v>0.113556832</v>
      </c>
      <c r="G54" s="10">
        <f t="shared" si="8"/>
        <v>-1.0195812729090914</v>
      </c>
      <c r="H54" s="10">
        <f t="shared" si="12"/>
        <v>0.88827213690909002</v>
      </c>
      <c r="I54" s="73">
        <f t="shared" si="9"/>
        <v>1.0195812729090914</v>
      </c>
      <c r="J54" s="9">
        <f>IF(F54&gt;VLOOKUP($B$16,$B$2:$F$9,5,FALSE),MAX(N54,-F54*(VLOOKUP(B54,$B$2:$E$9,4,FALSE)),-2*(6-H53),-(VLOOKUP(B54,$B$2:$G$9,6,FALSE)-D54)),0)</f>
        <v>0</v>
      </c>
      <c r="K54" s="9">
        <f t="shared" si="6"/>
        <v>0</v>
      </c>
      <c r="L54" s="9">
        <f t="shared" si="7"/>
        <v>0</v>
      </c>
      <c r="M54" s="73">
        <f t="shared" si="10"/>
        <v>0</v>
      </c>
      <c r="N54" s="13">
        <v>0</v>
      </c>
      <c r="O54" s="13">
        <v>2.5</v>
      </c>
      <c r="P54" s="2"/>
      <c r="Q54" s="2"/>
      <c r="R54"/>
      <c r="S54"/>
      <c r="T54"/>
      <c r="U54"/>
      <c r="V54"/>
      <c r="W54"/>
      <c r="X54"/>
      <c r="Y54"/>
      <c r="Z54"/>
      <c r="AA54"/>
      <c r="AB54"/>
    </row>
    <row r="55" spans="1:28" s="43" customFormat="1" x14ac:dyDescent="0.3">
      <c r="A55" s="36">
        <f t="shared" si="11"/>
        <v>41</v>
      </c>
      <c r="B55" s="36">
        <v>1</v>
      </c>
      <c r="C55" s="15">
        <v>43304.833333333336</v>
      </c>
      <c r="D55" s="20">
        <v>2.840825191</v>
      </c>
      <c r="E55" s="19">
        <f t="shared" si="5"/>
        <v>1.9066965960909088</v>
      </c>
      <c r="F55" s="17">
        <v>5.3364930000000003E-3</v>
      </c>
      <c r="G55" s="10">
        <f t="shared" si="8"/>
        <v>-0.93412859490909117</v>
      </c>
      <c r="H55" s="10">
        <f t="shared" si="12"/>
        <v>0.42120783945454443</v>
      </c>
      <c r="I55" s="73">
        <f t="shared" si="9"/>
        <v>0.93412859490909117</v>
      </c>
      <c r="J55" s="9">
        <f>IF(F55&gt;VLOOKUP($B$16,$B$2:$F$9,5,FALSE),MAX(N55,-F55*(VLOOKUP(B55,$B$2:$E$9,4,FALSE)),-2*(6-H54),-(VLOOKUP(B55,$B$2:$G$9,6,FALSE)-D55)),0)</f>
        <v>0</v>
      </c>
      <c r="K55" s="9">
        <f t="shared" si="6"/>
        <v>0</v>
      </c>
      <c r="L55" s="9">
        <f t="shared" si="7"/>
        <v>0</v>
      </c>
      <c r="M55" s="73">
        <f t="shared" si="10"/>
        <v>0</v>
      </c>
      <c r="N55" s="13">
        <v>0</v>
      </c>
      <c r="O55" s="13">
        <v>2.5</v>
      </c>
      <c r="P55" s="2"/>
      <c r="Q55" s="2"/>
      <c r="R55"/>
      <c r="S55"/>
      <c r="T55"/>
      <c r="U55"/>
      <c r="V55"/>
      <c r="W55"/>
      <c r="X55"/>
      <c r="Y55"/>
      <c r="Z55"/>
      <c r="AA55"/>
      <c r="AB55"/>
    </row>
    <row r="56" spans="1:28" s="70" customFormat="1" ht="15" thickBot="1" x14ac:dyDescent="0.35">
      <c r="A56" s="65">
        <f t="shared" si="11"/>
        <v>42</v>
      </c>
      <c r="B56" s="65">
        <v>1</v>
      </c>
      <c r="C56" s="66">
        <v>43304.854166666664</v>
      </c>
      <c r="D56" s="67">
        <v>2.7491122749999999</v>
      </c>
      <c r="E56" s="57">
        <f t="shared" si="5"/>
        <v>1.906696596090911</v>
      </c>
      <c r="F56" s="68">
        <v>5.3364930000000003E-3</v>
      </c>
      <c r="G56" s="111">
        <f t="shared" si="8"/>
        <v>-0.84241567890908886</v>
      </c>
      <c r="H56" s="111">
        <f t="shared" si="12"/>
        <v>0</v>
      </c>
      <c r="I56" s="74">
        <f t="shared" si="9"/>
        <v>0.84241567890908886</v>
      </c>
      <c r="J56" s="9">
        <f>IF(F56&gt;VLOOKUP($B$16,$B$2:$F$9,5,FALSE),MAX(N56,-F56*(VLOOKUP(B56,$B$2:$E$9,4,FALSE)),-2*(6-H55),-(VLOOKUP(B56,$B$2:$G$9,6,FALSE)-D56)),0)</f>
        <v>0</v>
      </c>
      <c r="K56" s="60">
        <f t="shared" si="6"/>
        <v>0</v>
      </c>
      <c r="L56" s="60">
        <f t="shared" si="7"/>
        <v>0</v>
      </c>
      <c r="M56" s="74">
        <f t="shared" si="10"/>
        <v>0</v>
      </c>
      <c r="N56" s="69">
        <v>0</v>
      </c>
      <c r="O56" s="69">
        <v>2.5</v>
      </c>
      <c r="P56" s="62"/>
      <c r="Q56" s="62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28" x14ac:dyDescent="0.3">
      <c r="A57" s="38">
        <f t="shared" si="11"/>
        <v>43</v>
      </c>
      <c r="B57" s="38">
        <v>1</v>
      </c>
      <c r="C57" s="31">
        <v>43304.875</v>
      </c>
      <c r="D57" s="32">
        <v>2.635854079</v>
      </c>
      <c r="E57" s="33">
        <f t="shared" si="5"/>
        <v>2.635854079</v>
      </c>
      <c r="F57" s="39">
        <v>5.3364930000000003E-3</v>
      </c>
      <c r="G57" s="97">
        <f t="shared" si="8"/>
        <v>0</v>
      </c>
      <c r="H57" s="97">
        <f t="shared" si="12"/>
        <v>0</v>
      </c>
      <c r="I57" s="72">
        <f t="shared" si="9"/>
        <v>0</v>
      </c>
      <c r="J57" s="9">
        <f>IF(F57&gt;VLOOKUP($B$16,$B$2:$F$9,5,FALSE),MAX(N57,-F57*(VLOOKUP(B57,$B$2:$E$9,4,FALSE)),-2*(6-H56),-(VLOOKUP(B57,$B$2:$G$9,6,FALSE)-D57)),0)</f>
        <v>0</v>
      </c>
      <c r="K57" s="40">
        <f t="shared" si="6"/>
        <v>0</v>
      </c>
      <c r="L57" s="40">
        <f t="shared" si="7"/>
        <v>0</v>
      </c>
      <c r="M57" s="40">
        <f t="shared" si="10"/>
        <v>0</v>
      </c>
      <c r="N57" s="30">
        <v>0</v>
      </c>
      <c r="O57" s="30">
        <v>0</v>
      </c>
      <c r="P57" s="2"/>
      <c r="Q57" s="2"/>
    </row>
    <row r="58" spans="1:28" x14ac:dyDescent="0.3">
      <c r="A58" s="35">
        <f t="shared" si="11"/>
        <v>44</v>
      </c>
      <c r="B58" s="35">
        <v>1</v>
      </c>
      <c r="C58" s="14">
        <v>43304.895833333336</v>
      </c>
      <c r="D58" s="18">
        <v>2.4427066659999999</v>
      </c>
      <c r="E58" s="19">
        <f t="shared" si="5"/>
        <v>2.4427066659999999</v>
      </c>
      <c r="F58" s="16">
        <v>5.3364930000000003E-3</v>
      </c>
      <c r="G58" s="10">
        <f t="shared" si="8"/>
        <v>0</v>
      </c>
      <c r="H58" s="10">
        <f t="shared" si="12"/>
        <v>0</v>
      </c>
      <c r="I58" s="73">
        <f t="shared" si="9"/>
        <v>0</v>
      </c>
      <c r="J58" s="9">
        <f>IF(F58&gt;VLOOKUP($B$16,$B$2:$F$9,5,FALSE),MAX(N58,-F58*(VLOOKUP(B58,$B$2:$E$9,4,FALSE)),-2*(6-H57),-(VLOOKUP(B58,$B$2:$G$9,6,FALSE)-D58)),0)</f>
        <v>0</v>
      </c>
      <c r="K58" s="9">
        <f t="shared" si="6"/>
        <v>0</v>
      </c>
      <c r="L58" s="9">
        <f t="shared" si="7"/>
        <v>0</v>
      </c>
      <c r="M58" s="9">
        <f t="shared" si="10"/>
        <v>0</v>
      </c>
      <c r="N58" s="8">
        <v>0</v>
      </c>
      <c r="O58" s="8">
        <v>0</v>
      </c>
      <c r="P58" s="2"/>
      <c r="Q58" s="2"/>
    </row>
    <row r="59" spans="1:28" x14ac:dyDescent="0.3">
      <c r="A59" s="35">
        <f t="shared" si="11"/>
        <v>45</v>
      </c>
      <c r="B59" s="35">
        <v>1</v>
      </c>
      <c r="C59" s="14">
        <v>43304.916666666664</v>
      </c>
      <c r="D59" s="18">
        <v>2.1535736160000001</v>
      </c>
      <c r="E59" s="19">
        <f t="shared" si="5"/>
        <v>2.1535736160000001</v>
      </c>
      <c r="F59" s="16">
        <v>5.3364930000000003E-3</v>
      </c>
      <c r="G59" s="10">
        <f t="shared" si="8"/>
        <v>0</v>
      </c>
      <c r="H59" s="10">
        <f t="shared" si="12"/>
        <v>0</v>
      </c>
      <c r="I59" s="73">
        <f t="shared" si="9"/>
        <v>0</v>
      </c>
      <c r="J59" s="9">
        <f>IF(F59&gt;VLOOKUP($B$16,$B$2:$F$9,5,FALSE),MAX(N59,-F59*(VLOOKUP(B59,$B$2:$E$9,4,FALSE)),-2*(6-H58),-(VLOOKUP(B59,$B$2:$G$9,6,FALSE)-D59)),0)</f>
        <v>0</v>
      </c>
      <c r="K59" s="9">
        <f t="shared" si="6"/>
        <v>0</v>
      </c>
      <c r="L59" s="9">
        <f t="shared" si="7"/>
        <v>0</v>
      </c>
      <c r="M59" s="9">
        <f t="shared" si="10"/>
        <v>0</v>
      </c>
      <c r="N59" s="8">
        <v>0</v>
      </c>
      <c r="O59" s="8">
        <v>0</v>
      </c>
      <c r="P59" s="2"/>
      <c r="Q59" s="2"/>
    </row>
    <row r="60" spans="1:28" s="5" customFormat="1" x14ac:dyDescent="0.3">
      <c r="A60" s="35">
        <f t="shared" si="11"/>
        <v>46</v>
      </c>
      <c r="B60" s="35">
        <v>1</v>
      </c>
      <c r="C60" s="14">
        <v>43304.9375</v>
      </c>
      <c r="D60" s="18">
        <v>1.8980909850000001</v>
      </c>
      <c r="E60" s="19">
        <f t="shared" si="5"/>
        <v>1.8980909850000001</v>
      </c>
      <c r="F60" s="16">
        <v>5.3364930000000003E-3</v>
      </c>
      <c r="G60" s="10">
        <f t="shared" si="8"/>
        <v>0</v>
      </c>
      <c r="H60" s="10">
        <f t="shared" si="12"/>
        <v>0</v>
      </c>
      <c r="I60" s="73">
        <f t="shared" si="9"/>
        <v>0</v>
      </c>
      <c r="J60" s="9">
        <f>IF(F60&gt;VLOOKUP($B$16,$B$2:$F$9,5,FALSE),MAX(N60,-F60*(VLOOKUP(B60,$B$2:$E$9,4,FALSE)),-2*(6-H59),-(VLOOKUP(B60,$B$2:$G$9,6,FALSE)-D60)),0)</f>
        <v>0</v>
      </c>
      <c r="K60" s="9">
        <f t="shared" si="6"/>
        <v>0</v>
      </c>
      <c r="L60" s="9">
        <f t="shared" si="7"/>
        <v>0</v>
      </c>
      <c r="M60" s="9">
        <f t="shared" si="10"/>
        <v>0</v>
      </c>
      <c r="N60" s="8">
        <v>0</v>
      </c>
      <c r="O60" s="8">
        <v>0</v>
      </c>
      <c r="P60" s="2"/>
      <c r="Q60" s="2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37">
        <f t="shared" si="11"/>
        <v>47</v>
      </c>
      <c r="B61" s="37">
        <v>1</v>
      </c>
      <c r="C61" s="24">
        <v>43304.958333333336</v>
      </c>
      <c r="D61" s="25">
        <v>1.800951628</v>
      </c>
      <c r="E61" s="26">
        <f t="shared" si="5"/>
        <v>1.800951628</v>
      </c>
      <c r="F61" s="27">
        <v>1.831472E-3</v>
      </c>
      <c r="G61" s="10">
        <f t="shared" si="8"/>
        <v>0</v>
      </c>
      <c r="H61" s="10">
        <f t="shared" si="12"/>
        <v>0</v>
      </c>
      <c r="I61" s="73">
        <f t="shared" si="9"/>
        <v>0</v>
      </c>
      <c r="J61" s="9">
        <f>IF(F61&gt;VLOOKUP($B$16,$B$2:$F$9,5,FALSE),MAX(N61,-F61*(VLOOKUP(B61,$B$2:$E$9,4,FALSE)),-2*(6-H60),-(VLOOKUP(B61,$B$2:$G$9,6,FALSE)-D61)),0)</f>
        <v>0</v>
      </c>
      <c r="K61" s="9">
        <f t="shared" si="6"/>
        <v>0</v>
      </c>
      <c r="L61" s="9">
        <f t="shared" si="7"/>
        <v>0</v>
      </c>
      <c r="M61" s="9">
        <f t="shared" si="10"/>
        <v>0</v>
      </c>
      <c r="N61" s="23">
        <v>0</v>
      </c>
      <c r="O61" s="23">
        <v>0</v>
      </c>
      <c r="P61" s="2"/>
      <c r="Q61" s="2"/>
    </row>
    <row r="62" spans="1:28" s="110" customFormat="1" ht="15" thickBot="1" x14ac:dyDescent="0.35">
      <c r="A62" s="99">
        <f t="shared" si="11"/>
        <v>48</v>
      </c>
      <c r="B62" s="99">
        <v>1</v>
      </c>
      <c r="C62" s="100">
        <v>43304.979166666664</v>
      </c>
      <c r="D62" s="101">
        <v>1.7036656290000001</v>
      </c>
      <c r="E62" s="102">
        <f t="shared" si="5"/>
        <v>1.7036656290000001</v>
      </c>
      <c r="F62" s="103">
        <v>1.831472E-3</v>
      </c>
      <c r="G62" s="104">
        <f t="shared" si="8"/>
        <v>0</v>
      </c>
      <c r="H62" s="104">
        <f t="shared" si="12"/>
        <v>0</v>
      </c>
      <c r="I62" s="105">
        <f t="shared" si="9"/>
        <v>0</v>
      </c>
      <c r="J62" s="106">
        <f>IF(F62&gt;VLOOKUP($B$16,$B$2:$F$9,5,FALSE),MAX(N62,-F62*(VLOOKUP(B62,$B$2:$E$9,4,FALSE)),-2*(6-H61),-(VLOOKUP(B62,$B$2:$G$9,6,FALSE)-D62)),0)</f>
        <v>0</v>
      </c>
      <c r="K62" s="106">
        <f t="shared" si="6"/>
        <v>0</v>
      </c>
      <c r="L62" s="106">
        <f t="shared" si="7"/>
        <v>0</v>
      </c>
      <c r="M62" s="106">
        <f t="shared" si="10"/>
        <v>0</v>
      </c>
      <c r="N62" s="108">
        <v>0</v>
      </c>
      <c r="O62" s="108">
        <v>0</v>
      </c>
      <c r="P62" s="151"/>
      <c r="Q62" s="151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</row>
    <row r="63" spans="1:28" x14ac:dyDescent="0.3">
      <c r="A63" s="38">
        <v>1</v>
      </c>
      <c r="B63" s="38">
        <v>2</v>
      </c>
      <c r="C63" s="31">
        <v>43305</v>
      </c>
      <c r="D63" s="32">
        <v>1.714477931</v>
      </c>
      <c r="E63" s="33">
        <f t="shared" si="5"/>
        <v>1.714477931</v>
      </c>
      <c r="F63" s="39">
        <v>1.831472E-3</v>
      </c>
      <c r="G63" s="97">
        <f t="shared" si="8"/>
        <v>0</v>
      </c>
      <c r="H63" s="97">
        <f t="shared" si="12"/>
        <v>0</v>
      </c>
      <c r="I63" s="72">
        <v>0</v>
      </c>
      <c r="J63" s="40">
        <f>IF(F63&gt;VLOOKUP($B$16,$B$2:$F$9,5,FALSE),MAX(N63,-F63*(VLOOKUP(B63,$B$2:$E$9,4,FALSE)),-2*(6-H62),-(VLOOKUP(B63,$B$2:$G$9,6,FALSE)-D63)),0)</f>
        <v>0</v>
      </c>
      <c r="K63" s="40">
        <f t="shared" si="6"/>
        <v>0</v>
      </c>
      <c r="L63" s="40">
        <f t="shared" si="7"/>
        <v>0</v>
      </c>
      <c r="M63" s="40">
        <f>J63-L63</f>
        <v>0</v>
      </c>
      <c r="N63" s="30">
        <v>-2.5</v>
      </c>
      <c r="O63" s="30">
        <v>0</v>
      </c>
      <c r="P63" s="2"/>
      <c r="Q63" s="2"/>
    </row>
    <row r="64" spans="1:28" x14ac:dyDescent="0.3">
      <c r="A64" s="35">
        <f>A63+1</f>
        <v>2</v>
      </c>
      <c r="B64" s="35">
        <v>2</v>
      </c>
      <c r="C64" s="14">
        <v>43305.020833333336</v>
      </c>
      <c r="D64" s="18">
        <v>1.6425509069999999</v>
      </c>
      <c r="E64" s="19">
        <f t="shared" si="5"/>
        <v>1.6425509069999999</v>
      </c>
      <c r="F64" s="16">
        <v>1.831472E-3</v>
      </c>
      <c r="G64" s="10">
        <f t="shared" si="8"/>
        <v>0</v>
      </c>
      <c r="H64" s="10">
        <f t="shared" si="12"/>
        <v>0</v>
      </c>
      <c r="I64" s="73">
        <f t="shared" ref="I64:I110" si="13">MAX(0,MIN(O64,H63*2,(D64-targetpeakd2)))</f>
        <v>0</v>
      </c>
      <c r="J64" s="9">
        <f>IF(F64&gt;VLOOKUP($B$16,$B$2:$F$9,5,FALSE),MAX(N64,-F64*(VLOOKUP(B64,$B$2:$E$9,4,FALSE)),-2*(6-H63),-(VLOOKUP(B64,$B$2:$G$9,6,FALSE)-D64)),0)</f>
        <v>0</v>
      </c>
      <c r="K64" s="9">
        <f t="shared" si="6"/>
        <v>0</v>
      </c>
      <c r="L64" s="9">
        <f t="shared" si="7"/>
        <v>0</v>
      </c>
      <c r="M64" s="9">
        <f t="shared" ref="M64:M93" si="14">J64-L64</f>
        <v>0</v>
      </c>
      <c r="N64" s="8">
        <v>-2.5</v>
      </c>
      <c r="O64" s="8">
        <v>0</v>
      </c>
      <c r="P64" s="2"/>
      <c r="Q64" s="2"/>
    </row>
    <row r="65" spans="1:17" x14ac:dyDescent="0.3">
      <c r="A65" s="35">
        <f t="shared" ref="A65:A110" si="15">A64+1</f>
        <v>3</v>
      </c>
      <c r="B65" s="35">
        <v>2</v>
      </c>
      <c r="C65" s="14">
        <v>43305.041666666664</v>
      </c>
      <c r="D65" s="18">
        <v>1.5616476850000001</v>
      </c>
      <c r="E65" s="19">
        <f t="shared" si="5"/>
        <v>1.5616476850000001</v>
      </c>
      <c r="F65" s="16">
        <v>1.831472E-3</v>
      </c>
      <c r="G65" s="10">
        <f t="shared" si="8"/>
        <v>0</v>
      </c>
      <c r="H65" s="10">
        <f t="shared" si="12"/>
        <v>0</v>
      </c>
      <c r="I65" s="73">
        <f t="shared" si="13"/>
        <v>0</v>
      </c>
      <c r="J65" s="9">
        <f>IF(F65&gt;VLOOKUP($B$16,$B$2:$F$9,5,FALSE),MAX(N65,-F65*(VLOOKUP(B65,$B$2:$E$9,4,FALSE)),-2*(6-H64),-(VLOOKUP(B65,$B$2:$G$9,6,FALSE)-D65)),0)</f>
        <v>0</v>
      </c>
      <c r="K65" s="9">
        <f t="shared" si="6"/>
        <v>0</v>
      </c>
      <c r="L65" s="9">
        <f t="shared" si="7"/>
        <v>0</v>
      </c>
      <c r="M65" s="9">
        <f t="shared" si="14"/>
        <v>0</v>
      </c>
      <c r="N65" s="8">
        <v>-2.5</v>
      </c>
      <c r="O65" s="8">
        <v>0</v>
      </c>
      <c r="P65" s="2"/>
      <c r="Q65" s="2"/>
    </row>
    <row r="66" spans="1:17" x14ac:dyDescent="0.3">
      <c r="A66" s="35">
        <f t="shared" si="15"/>
        <v>4</v>
      </c>
      <c r="B66" s="35">
        <v>2</v>
      </c>
      <c r="C66" s="14">
        <v>43305.0625</v>
      </c>
      <c r="D66" s="18">
        <v>1.521647789</v>
      </c>
      <c r="E66" s="19">
        <f t="shared" si="5"/>
        <v>1.521647789</v>
      </c>
      <c r="F66" s="16">
        <v>1.831472E-3</v>
      </c>
      <c r="G66" s="10">
        <f t="shared" si="8"/>
        <v>0</v>
      </c>
      <c r="H66" s="10">
        <f t="shared" si="12"/>
        <v>0</v>
      </c>
      <c r="I66" s="73">
        <f t="shared" si="13"/>
        <v>0</v>
      </c>
      <c r="J66" s="9">
        <f>IF(F66&gt;VLOOKUP($B$16,$B$2:$F$9,5,FALSE),MAX(N66,-F66*(VLOOKUP(B66,$B$2:$E$9,4,FALSE)),-2*(6-H65),-(VLOOKUP(B66,$B$2:$G$9,6,FALSE)-D66)),0)</f>
        <v>0</v>
      </c>
      <c r="K66" s="9">
        <f t="shared" si="6"/>
        <v>0</v>
      </c>
      <c r="L66" s="9">
        <f t="shared" si="7"/>
        <v>0</v>
      </c>
      <c r="M66" s="9">
        <f t="shared" si="14"/>
        <v>0</v>
      </c>
      <c r="N66" s="8">
        <v>-2.5</v>
      </c>
      <c r="O66" s="8">
        <v>0</v>
      </c>
      <c r="P66" s="2"/>
      <c r="Q66" s="2"/>
    </row>
    <row r="67" spans="1:17" x14ac:dyDescent="0.3">
      <c r="A67" s="35">
        <f t="shared" si="15"/>
        <v>5</v>
      </c>
      <c r="B67" s="35">
        <v>2</v>
      </c>
      <c r="C67" s="14">
        <v>43305.083333333336</v>
      </c>
      <c r="D67" s="18">
        <v>1.5173539700000001</v>
      </c>
      <c r="E67" s="19">
        <f t="shared" si="5"/>
        <v>1.5173539700000001</v>
      </c>
      <c r="F67" s="16">
        <v>1.831472E-3</v>
      </c>
      <c r="G67" s="10">
        <f t="shared" si="8"/>
        <v>0</v>
      </c>
      <c r="H67" s="10">
        <f t="shared" si="12"/>
        <v>0</v>
      </c>
      <c r="I67" s="73">
        <f t="shared" si="13"/>
        <v>0</v>
      </c>
      <c r="J67" s="9">
        <f>IF(F67&gt;VLOOKUP($B$16,$B$2:$F$9,5,FALSE),MAX(N67,-F67*(VLOOKUP(B67,$B$2:$E$9,4,FALSE)),-2*(6-H66),-(VLOOKUP(B67,$B$2:$G$9,6,FALSE)-D67)),0)</f>
        <v>0</v>
      </c>
      <c r="K67" s="9">
        <f t="shared" si="6"/>
        <v>0</v>
      </c>
      <c r="L67" s="9">
        <f t="shared" si="7"/>
        <v>0</v>
      </c>
      <c r="M67" s="9">
        <f t="shared" si="14"/>
        <v>0</v>
      </c>
      <c r="N67" s="8">
        <v>-2.5</v>
      </c>
      <c r="O67" s="8">
        <v>0</v>
      </c>
      <c r="P67" s="2"/>
      <c r="Q67" s="2"/>
    </row>
    <row r="68" spans="1:17" x14ac:dyDescent="0.3">
      <c r="A68" s="35">
        <f t="shared" si="15"/>
        <v>6</v>
      </c>
      <c r="B68" s="35">
        <v>2</v>
      </c>
      <c r="C68" s="14">
        <v>43305.104166666664</v>
      </c>
      <c r="D68" s="18">
        <v>1.4834241829999999</v>
      </c>
      <c r="E68" s="19">
        <f t="shared" si="5"/>
        <v>1.4834241829999999</v>
      </c>
      <c r="F68" s="16">
        <v>1.831472E-3</v>
      </c>
      <c r="G68" s="10">
        <f t="shared" si="8"/>
        <v>0</v>
      </c>
      <c r="H68" s="10">
        <f t="shared" si="12"/>
        <v>0</v>
      </c>
      <c r="I68" s="73">
        <f t="shared" si="13"/>
        <v>0</v>
      </c>
      <c r="J68" s="9">
        <f>IF(F68&gt;VLOOKUP($B$16,$B$2:$F$9,5,FALSE),MAX(N68,-F68*(VLOOKUP(B68,$B$2:$E$9,4,FALSE)),-2*(6-H67),-(VLOOKUP(B68,$B$2:$G$9,6,FALSE)-D68)),0)</f>
        <v>0</v>
      </c>
      <c r="K68" s="9">
        <f t="shared" si="6"/>
        <v>0</v>
      </c>
      <c r="L68" s="9">
        <f t="shared" si="7"/>
        <v>0</v>
      </c>
      <c r="M68" s="9">
        <f t="shared" si="14"/>
        <v>0</v>
      </c>
      <c r="N68" s="8">
        <v>-2.5</v>
      </c>
      <c r="O68" s="8">
        <v>0</v>
      </c>
      <c r="P68" s="2"/>
      <c r="Q68" s="2"/>
    </row>
    <row r="69" spans="1:17" x14ac:dyDescent="0.3">
      <c r="A69" s="35">
        <f t="shared" si="15"/>
        <v>7</v>
      </c>
      <c r="B69" s="35">
        <v>2</v>
      </c>
      <c r="C69" s="14">
        <v>43305.125</v>
      </c>
      <c r="D69" s="18">
        <v>1.472155608</v>
      </c>
      <c r="E69" s="19">
        <f t="shared" si="5"/>
        <v>1.472155608</v>
      </c>
      <c r="F69" s="16">
        <v>1.831472E-3</v>
      </c>
      <c r="G69" s="10">
        <f t="shared" si="8"/>
        <v>0</v>
      </c>
      <c r="H69" s="10">
        <f t="shared" si="12"/>
        <v>0</v>
      </c>
      <c r="I69" s="73">
        <f t="shared" si="13"/>
        <v>0</v>
      </c>
      <c r="J69" s="9">
        <f>IF(F69&gt;VLOOKUP($B$16,$B$2:$F$9,5,FALSE),MAX(N69,-F69*(VLOOKUP(B69,$B$2:$E$9,4,FALSE)),-2*(6-H68),-(VLOOKUP(B69,$B$2:$G$9,6,FALSE)-D69)),0)</f>
        <v>0</v>
      </c>
      <c r="K69" s="9">
        <f t="shared" si="6"/>
        <v>0</v>
      </c>
      <c r="L69" s="9">
        <f t="shared" si="7"/>
        <v>0</v>
      </c>
      <c r="M69" s="9">
        <f t="shared" si="14"/>
        <v>0</v>
      </c>
      <c r="N69" s="8">
        <v>-2.5</v>
      </c>
      <c r="O69" s="8">
        <v>0</v>
      </c>
      <c r="P69" s="2"/>
      <c r="Q69" s="2"/>
    </row>
    <row r="70" spans="1:17" x14ac:dyDescent="0.3">
      <c r="A70" s="35">
        <f t="shared" si="15"/>
        <v>8</v>
      </c>
      <c r="B70" s="35">
        <v>2</v>
      </c>
      <c r="C70" s="14">
        <v>43305.145833333336</v>
      </c>
      <c r="D70" s="18">
        <v>1.4393452309999999</v>
      </c>
      <c r="E70" s="19">
        <f t="shared" si="5"/>
        <v>1.4393452309999999</v>
      </c>
      <c r="F70" s="16">
        <v>1.831472E-3</v>
      </c>
      <c r="G70" s="10">
        <f t="shared" si="8"/>
        <v>0</v>
      </c>
      <c r="H70" s="10">
        <f t="shared" si="12"/>
        <v>0</v>
      </c>
      <c r="I70" s="73">
        <f t="shared" si="13"/>
        <v>0</v>
      </c>
      <c r="J70" s="9">
        <f>IF(F70&gt;VLOOKUP($B$16,$B$2:$F$9,5,FALSE),MAX(N70,-F70*(VLOOKUP(B70,$B$2:$E$9,4,FALSE)),-2*(6-H69),-(VLOOKUP(B70,$B$2:$G$9,6,FALSE)-D70)),0)</f>
        <v>0</v>
      </c>
      <c r="K70" s="9">
        <f t="shared" si="6"/>
        <v>0</v>
      </c>
      <c r="L70" s="9">
        <f t="shared" si="7"/>
        <v>0</v>
      </c>
      <c r="M70" s="9">
        <f t="shared" si="14"/>
        <v>0</v>
      </c>
      <c r="N70" s="8">
        <v>-2.5</v>
      </c>
      <c r="O70" s="8">
        <v>0</v>
      </c>
      <c r="P70" s="2"/>
      <c r="Q70" s="2"/>
    </row>
    <row r="71" spans="1:17" x14ac:dyDescent="0.3">
      <c r="A71" s="35">
        <f t="shared" si="15"/>
        <v>9</v>
      </c>
      <c r="B71" s="35">
        <v>2</v>
      </c>
      <c r="C71" s="14">
        <v>43305.166666666664</v>
      </c>
      <c r="D71" s="18">
        <v>1.5412842330000001</v>
      </c>
      <c r="E71" s="19">
        <f t="shared" si="5"/>
        <v>1.5412842330000001</v>
      </c>
      <c r="F71" s="16">
        <v>1.431644E-2</v>
      </c>
      <c r="G71" s="10">
        <f t="shared" si="8"/>
        <v>0</v>
      </c>
      <c r="H71" s="10">
        <f t="shared" si="12"/>
        <v>0</v>
      </c>
      <c r="I71" s="73">
        <f t="shared" si="13"/>
        <v>0</v>
      </c>
      <c r="J71" s="9">
        <f>IF(F71&gt;VLOOKUP($B$16,$B$2:$F$9,5,FALSE),MAX(N71,-F71*(VLOOKUP(B71,$B$2:$E$9,4,FALSE)),-2*(6-H70),-(VLOOKUP(B71,$B$2:$G$9,6,FALSE)-D71)),0)</f>
        <v>0</v>
      </c>
      <c r="K71" s="9">
        <f t="shared" si="6"/>
        <v>0</v>
      </c>
      <c r="L71" s="9">
        <f t="shared" si="7"/>
        <v>0</v>
      </c>
      <c r="M71" s="9">
        <f t="shared" si="14"/>
        <v>0</v>
      </c>
      <c r="N71" s="8">
        <v>-2.5</v>
      </c>
      <c r="O71" s="8">
        <v>0</v>
      </c>
      <c r="P71" s="2"/>
      <c r="Q71" s="2"/>
    </row>
    <row r="72" spans="1:17" x14ac:dyDescent="0.3">
      <c r="A72" s="35">
        <f t="shared" si="15"/>
        <v>10</v>
      </c>
      <c r="B72" s="35">
        <v>2</v>
      </c>
      <c r="C72" s="14">
        <v>43305.1875</v>
      </c>
      <c r="D72" s="18">
        <v>1.671916162</v>
      </c>
      <c r="E72" s="19">
        <f t="shared" si="5"/>
        <v>1.671916162</v>
      </c>
      <c r="F72" s="16">
        <v>1.431644E-2</v>
      </c>
      <c r="G72" s="10">
        <f t="shared" si="8"/>
        <v>0</v>
      </c>
      <c r="H72" s="10">
        <f t="shared" si="12"/>
        <v>0</v>
      </c>
      <c r="I72" s="73">
        <f t="shared" si="13"/>
        <v>0</v>
      </c>
      <c r="J72" s="9">
        <f>IF(F72&gt;VLOOKUP($B$16,$B$2:$F$9,5,FALSE),MAX(N72,-F72*(VLOOKUP(B72,$B$2:$E$9,4,FALSE)),-2*(6-H71),-(VLOOKUP(B72,$B$2:$G$9,6,FALSE)-D72)),0)</f>
        <v>0</v>
      </c>
      <c r="K72" s="9">
        <f t="shared" si="6"/>
        <v>0</v>
      </c>
      <c r="L72" s="9">
        <f t="shared" si="7"/>
        <v>0</v>
      </c>
      <c r="M72" s="9">
        <f t="shared" si="14"/>
        <v>0</v>
      </c>
      <c r="N72" s="8">
        <v>-2.5</v>
      </c>
      <c r="O72" s="8">
        <v>0</v>
      </c>
      <c r="P72" s="2"/>
      <c r="Q72" s="2"/>
    </row>
    <row r="73" spans="1:17" x14ac:dyDescent="0.3">
      <c r="A73" s="35">
        <f t="shared" si="15"/>
        <v>11</v>
      </c>
      <c r="B73" s="35">
        <v>2</v>
      </c>
      <c r="C73" s="14">
        <v>43305.208333333336</v>
      </c>
      <c r="D73" s="18">
        <v>1.9567959189999999</v>
      </c>
      <c r="E73" s="19">
        <f t="shared" si="5"/>
        <v>1.9567959189999999</v>
      </c>
      <c r="F73" s="16">
        <v>0.235431314</v>
      </c>
      <c r="G73" s="10">
        <f t="shared" si="8"/>
        <v>0</v>
      </c>
      <c r="H73" s="10">
        <f t="shared" si="12"/>
        <v>0</v>
      </c>
      <c r="I73" s="73">
        <f t="shared" si="13"/>
        <v>0</v>
      </c>
      <c r="J73" s="9">
        <f>IF(F73&gt;VLOOKUP($B$16,$B$2:$F$9,5,FALSE),MAX(N73,-F73*(VLOOKUP(B73,$B$2:$E$9,4,FALSE)),-2*(6-H72),-(VLOOKUP(B73,$B$2:$G$9,6,FALSE)-D73)),0)</f>
        <v>0</v>
      </c>
      <c r="K73" s="9">
        <f t="shared" si="6"/>
        <v>0</v>
      </c>
      <c r="L73" s="9">
        <f t="shared" si="7"/>
        <v>0</v>
      </c>
      <c r="M73" s="9">
        <f t="shared" si="14"/>
        <v>0</v>
      </c>
      <c r="N73" s="8">
        <v>-2.5</v>
      </c>
      <c r="O73" s="8">
        <v>0</v>
      </c>
      <c r="P73" s="2"/>
      <c r="Q73" s="2"/>
    </row>
    <row r="74" spans="1:17" x14ac:dyDescent="0.3">
      <c r="A74" s="35">
        <f t="shared" si="15"/>
        <v>12</v>
      </c>
      <c r="B74" s="35">
        <v>2</v>
      </c>
      <c r="C74" s="14">
        <v>43305.229166666664</v>
      </c>
      <c r="D74" s="18">
        <v>2.2453456639999998</v>
      </c>
      <c r="E74" s="19">
        <f t="shared" si="5"/>
        <v>2.2453456639999998</v>
      </c>
      <c r="F74" s="16">
        <v>0.235431314</v>
      </c>
      <c r="G74" s="10">
        <f t="shared" si="8"/>
        <v>0</v>
      </c>
      <c r="H74" s="10">
        <f t="shared" si="12"/>
        <v>0</v>
      </c>
      <c r="I74" s="73">
        <f t="shared" si="13"/>
        <v>0</v>
      </c>
      <c r="J74" s="9">
        <f>IF(F74&gt;VLOOKUP($B$16,$B$2:$F$9,5,FALSE),MAX(N74,-F74*(VLOOKUP(B74,$B$2:$E$9,4,FALSE)),-2*(6-H73),-(VLOOKUP(B74,$B$2:$G$9,6,FALSE)-D74)),0)</f>
        <v>0</v>
      </c>
      <c r="K74" s="9">
        <f t="shared" si="6"/>
        <v>0</v>
      </c>
      <c r="L74" s="9">
        <f t="shared" si="7"/>
        <v>0</v>
      </c>
      <c r="M74" s="9">
        <f t="shared" si="14"/>
        <v>0</v>
      </c>
      <c r="N74" s="8">
        <v>-2.5</v>
      </c>
      <c r="O74" s="8">
        <v>0</v>
      </c>
      <c r="P74" s="2"/>
      <c r="Q74" s="2"/>
    </row>
    <row r="75" spans="1:17" x14ac:dyDescent="0.3">
      <c r="A75" s="35">
        <f t="shared" si="15"/>
        <v>13</v>
      </c>
      <c r="B75" s="35">
        <v>2</v>
      </c>
      <c r="C75" s="14">
        <v>43305.25</v>
      </c>
      <c r="D75" s="18">
        <v>2.6366406699999998</v>
      </c>
      <c r="E75" s="19">
        <f t="shared" si="5"/>
        <v>2.6366406699999998</v>
      </c>
      <c r="F75" s="16">
        <v>0.54010498500000004</v>
      </c>
      <c r="G75" s="10">
        <f t="shared" si="8"/>
        <v>0</v>
      </c>
      <c r="H75" s="10">
        <f t="shared" si="12"/>
        <v>0</v>
      </c>
      <c r="I75" s="73">
        <f t="shared" si="13"/>
        <v>0</v>
      </c>
      <c r="J75" s="9">
        <f>IF(F75&gt;VLOOKUP($B$16,$B$2:$F$9,5,FALSE),MAX(N75,-F75*(VLOOKUP(B75,$B$2:$E$9,4,FALSE)),-2*(6-H74),-(VLOOKUP(B75,$B$2:$G$9,6,FALSE)-D75)),0)</f>
        <v>0</v>
      </c>
      <c r="K75" s="9">
        <f t="shared" si="6"/>
        <v>0</v>
      </c>
      <c r="L75" s="9">
        <f t="shared" si="7"/>
        <v>0</v>
      </c>
      <c r="M75" s="9">
        <f t="shared" si="14"/>
        <v>0</v>
      </c>
      <c r="N75" s="8">
        <v>-2.5</v>
      </c>
      <c r="O75" s="8">
        <v>0</v>
      </c>
      <c r="P75" s="2"/>
      <c r="Q75" s="2"/>
    </row>
    <row r="76" spans="1:17" x14ac:dyDescent="0.3">
      <c r="A76" s="35">
        <f t="shared" si="15"/>
        <v>14</v>
      </c>
      <c r="B76" s="35">
        <v>2</v>
      </c>
      <c r="C76" s="14">
        <v>43305.270833333336</v>
      </c>
      <c r="D76" s="18">
        <v>2.7680084570000001</v>
      </c>
      <c r="E76" s="19">
        <f t="shared" si="5"/>
        <v>2.7680084570000001</v>
      </c>
      <c r="F76" s="16">
        <v>0.75360548500000002</v>
      </c>
      <c r="G76" s="10">
        <f t="shared" si="8"/>
        <v>0</v>
      </c>
      <c r="H76" s="10">
        <f t="shared" si="12"/>
        <v>0</v>
      </c>
      <c r="I76" s="73">
        <f t="shared" si="13"/>
        <v>0</v>
      </c>
      <c r="J76" s="9">
        <f>IF(F76&gt;VLOOKUP($B$16,$B$2:$F$9,5,FALSE),MAX(N76,-F76*(VLOOKUP(B76,$B$2:$E$9,4,FALSE)),-2*(6-H75),-(VLOOKUP(B76,$B$2:$G$9,6,FALSE)-D76)),0)</f>
        <v>0</v>
      </c>
      <c r="K76" s="9">
        <f t="shared" si="6"/>
        <v>0</v>
      </c>
      <c r="L76" s="9">
        <f t="shared" si="7"/>
        <v>0</v>
      </c>
      <c r="M76" s="9">
        <f t="shared" si="14"/>
        <v>0</v>
      </c>
      <c r="N76" s="8">
        <v>-2.5</v>
      </c>
      <c r="O76" s="8">
        <v>0</v>
      </c>
      <c r="P76" s="2"/>
      <c r="Q76" s="2"/>
    </row>
    <row r="77" spans="1:17" x14ac:dyDescent="0.3">
      <c r="A77" s="35">
        <f t="shared" si="15"/>
        <v>15</v>
      </c>
      <c r="B77" s="35">
        <v>2</v>
      </c>
      <c r="C77" s="14">
        <v>43305.291666666664</v>
      </c>
      <c r="D77" s="18">
        <v>2.8373674379999998</v>
      </c>
      <c r="E77" s="19">
        <f t="shared" si="5"/>
        <v>3.239753662</v>
      </c>
      <c r="F77" s="16">
        <v>1.2452659610000001</v>
      </c>
      <c r="G77" s="10">
        <f t="shared" si="8"/>
        <v>0.40238622400000024</v>
      </c>
      <c r="H77" s="10">
        <f t="shared" si="12"/>
        <v>0.20119311200000012</v>
      </c>
      <c r="I77" s="73">
        <f t="shared" si="13"/>
        <v>0</v>
      </c>
      <c r="J77" s="9">
        <f>IF(F77&gt;VLOOKUP($B$16,$B$2:$F$9,5,FALSE),MAX(N77,-F77*(VLOOKUP(B77,$B$2:$E$9,4,FALSE)),-2*(6-H76),-(VLOOKUP(B77,$B$2:$G$9,6,FALSE)-D77)),0)</f>
        <v>-0.40238622400000024</v>
      </c>
      <c r="K77" s="9">
        <f t="shared" si="6"/>
        <v>0</v>
      </c>
      <c r="L77" s="9">
        <f t="shared" si="7"/>
        <v>-0.40238622400000024</v>
      </c>
      <c r="M77" s="9">
        <f t="shared" si="14"/>
        <v>0</v>
      </c>
      <c r="N77" s="8">
        <v>-2.5</v>
      </c>
      <c r="O77" s="8">
        <v>0</v>
      </c>
      <c r="P77" s="2"/>
      <c r="Q77" s="2"/>
    </row>
    <row r="78" spans="1:17" x14ac:dyDescent="0.3">
      <c r="A78" s="35">
        <f t="shared" si="15"/>
        <v>16</v>
      </c>
      <c r="B78" s="35">
        <v>2</v>
      </c>
      <c r="C78" s="14">
        <v>43305.3125</v>
      </c>
      <c r="D78" s="18">
        <v>2.8128162680000002</v>
      </c>
      <c r="E78" s="19">
        <f t="shared" si="5"/>
        <v>3.239753662</v>
      </c>
      <c r="F78" s="16">
        <v>1.479420543</v>
      </c>
      <c r="G78" s="10">
        <f t="shared" si="8"/>
        <v>0.42693739399999986</v>
      </c>
      <c r="H78" s="10">
        <f t="shared" si="12"/>
        <v>0.41466180900000005</v>
      </c>
      <c r="I78" s="73">
        <f t="shared" si="13"/>
        <v>0</v>
      </c>
      <c r="J78" s="9">
        <f>IF(F78&gt;VLOOKUP($B$16,$B$2:$F$9,5,FALSE),MAX(N78,-F78*(VLOOKUP(B78,$B$2:$E$9,4,FALSE)),-2*(6-H77),-(VLOOKUP(B78,$B$2:$G$9,6,FALSE)-D78)),0)</f>
        <v>-0.42693739399999986</v>
      </c>
      <c r="K78" s="9">
        <f t="shared" si="6"/>
        <v>0</v>
      </c>
      <c r="L78" s="9">
        <f t="shared" si="7"/>
        <v>-0.42693739399999986</v>
      </c>
      <c r="M78" s="9">
        <f t="shared" si="14"/>
        <v>0</v>
      </c>
      <c r="N78" s="8">
        <v>-2.5</v>
      </c>
      <c r="O78" s="8">
        <v>0</v>
      </c>
      <c r="P78" s="2"/>
      <c r="Q78" s="2"/>
    </row>
    <row r="79" spans="1:17" x14ac:dyDescent="0.3">
      <c r="A79" s="35">
        <f t="shared" si="15"/>
        <v>17</v>
      </c>
      <c r="B79" s="35">
        <v>2</v>
      </c>
      <c r="C79" s="14">
        <v>43305.333333333336</v>
      </c>
      <c r="D79" s="18">
        <v>2.7039144350000002</v>
      </c>
      <c r="E79" s="19">
        <f t="shared" ref="E79:E142" si="16">D79-J79-I79</f>
        <v>3.239753662</v>
      </c>
      <c r="F79" s="16">
        <v>2.0097970959999998</v>
      </c>
      <c r="G79" s="10">
        <f t="shared" si="8"/>
        <v>0.53583922699999986</v>
      </c>
      <c r="H79" s="10">
        <f t="shared" si="12"/>
        <v>0.68258142249999998</v>
      </c>
      <c r="I79" s="73">
        <f t="shared" si="13"/>
        <v>0</v>
      </c>
      <c r="J79" s="9">
        <f>IF(F79&gt;VLOOKUP($B$16,$B$2:$F$9,5,FALSE),MAX(N79,-F79*(VLOOKUP(B79,$B$2:$E$9,4,FALSE)),-2*(6-H78),-(VLOOKUP(B79,$B$2:$G$9,6,FALSE)-D79)),0)</f>
        <v>-0.53583922699999986</v>
      </c>
      <c r="K79" s="9">
        <f t="shared" ref="K79:K142" si="17">IF(A79&lt;&gt;31,0,-2*((6-H78+((J79*0.5)))))</f>
        <v>0</v>
      </c>
      <c r="L79" s="9">
        <f t="shared" ref="L79:L109" si="18">MIN(J79,F79)</f>
        <v>-0.53583922699999986</v>
      </c>
      <c r="M79" s="9">
        <f t="shared" si="14"/>
        <v>0</v>
      </c>
      <c r="N79" s="8">
        <v>-2.5</v>
      </c>
      <c r="O79" s="8">
        <v>0</v>
      </c>
      <c r="P79" s="2"/>
      <c r="Q79" s="2"/>
    </row>
    <row r="80" spans="1:17" x14ac:dyDescent="0.3">
      <c r="A80" s="35">
        <f t="shared" si="15"/>
        <v>18</v>
      </c>
      <c r="B80" s="35">
        <v>2</v>
      </c>
      <c r="C80" s="14">
        <v>43305.354166666664</v>
      </c>
      <c r="D80" s="18">
        <v>2.6709836810000001</v>
      </c>
      <c r="E80" s="19">
        <f t="shared" si="16"/>
        <v>3.239753662</v>
      </c>
      <c r="F80" s="16">
        <v>2.2107481959999999</v>
      </c>
      <c r="G80" s="10">
        <f t="shared" ref="G80:G143" si="19">-SUM(I80,J80,K80)</f>
        <v>0.56876998099999998</v>
      </c>
      <c r="H80" s="10">
        <f t="shared" si="12"/>
        <v>0.96696641299999997</v>
      </c>
      <c r="I80" s="73">
        <f t="shared" si="13"/>
        <v>0</v>
      </c>
      <c r="J80" s="9">
        <f>IF(F80&gt;VLOOKUP($B$16,$B$2:$F$9,5,FALSE),MAX(N80,-F80*(VLOOKUP(B80,$B$2:$E$9,4,FALSE)),-2*(6-H79),-(VLOOKUP(B80,$B$2:$G$9,6,FALSE)-D80)),0)</f>
        <v>-0.56876998099999998</v>
      </c>
      <c r="K80" s="9">
        <f t="shared" si="17"/>
        <v>0</v>
      </c>
      <c r="L80" s="9">
        <f t="shared" si="18"/>
        <v>-0.56876998099999998</v>
      </c>
      <c r="M80" s="9">
        <f t="shared" si="14"/>
        <v>0</v>
      </c>
      <c r="N80" s="8">
        <v>-2.5</v>
      </c>
      <c r="O80" s="8">
        <v>0</v>
      </c>
      <c r="P80" s="2"/>
      <c r="Q80" s="2"/>
    </row>
    <row r="81" spans="1:28" x14ac:dyDescent="0.3">
      <c r="A81" s="35">
        <f t="shared" si="15"/>
        <v>19</v>
      </c>
      <c r="B81" s="35">
        <v>2</v>
      </c>
      <c r="C81" s="14">
        <v>43305.375</v>
      </c>
      <c r="D81" s="18">
        <v>2.5095717340000001</v>
      </c>
      <c r="E81" s="19">
        <f t="shared" si="16"/>
        <v>3.239753662</v>
      </c>
      <c r="F81" s="16">
        <v>2.8781807420000001</v>
      </c>
      <c r="G81" s="10">
        <f t="shared" si="19"/>
        <v>0.73018192799999992</v>
      </c>
      <c r="H81" s="10">
        <f t="shared" ref="H81:H144" si="20">H80+((G81*0.5))</f>
        <v>1.3320573769999999</v>
      </c>
      <c r="I81" s="73">
        <f t="shared" si="13"/>
        <v>0</v>
      </c>
      <c r="J81" s="9">
        <f>IF(F81&gt;VLOOKUP($B$16,$B$2:$F$9,5,FALSE),MAX(N81,-F81*(VLOOKUP(B81,$B$2:$E$9,4,FALSE)),-2*(6-H80),-(VLOOKUP(B81,$B$2:$G$9,6,FALSE)-D81)),0)</f>
        <v>-0.73018192799999992</v>
      </c>
      <c r="K81" s="9">
        <f t="shared" si="17"/>
        <v>0</v>
      </c>
      <c r="L81" s="9">
        <f t="shared" si="18"/>
        <v>-0.73018192799999992</v>
      </c>
      <c r="M81" s="9">
        <f t="shared" si="14"/>
        <v>0</v>
      </c>
      <c r="N81" s="8">
        <v>-2.5</v>
      </c>
      <c r="O81" s="8">
        <v>0</v>
      </c>
      <c r="P81" s="2"/>
      <c r="Q81" s="2"/>
    </row>
    <row r="82" spans="1:28" x14ac:dyDescent="0.3">
      <c r="A82" s="35">
        <f t="shared" si="15"/>
        <v>20</v>
      </c>
      <c r="B82" s="35">
        <v>2</v>
      </c>
      <c r="C82" s="14">
        <v>43305.395833333336</v>
      </c>
      <c r="D82" s="18">
        <v>2.461846977</v>
      </c>
      <c r="E82" s="19">
        <f t="shared" si="16"/>
        <v>3.239753662</v>
      </c>
      <c r="F82" s="16">
        <v>2.99516201</v>
      </c>
      <c r="G82" s="10">
        <f t="shared" si="19"/>
        <v>0.77790668500000004</v>
      </c>
      <c r="H82" s="10">
        <f t="shared" si="20"/>
        <v>1.7210107195</v>
      </c>
      <c r="I82" s="73">
        <f t="shared" si="13"/>
        <v>0</v>
      </c>
      <c r="J82" s="9">
        <f>IF(F82&gt;VLOOKUP($B$16,$B$2:$F$9,5,FALSE),MAX(N82,-F82*(VLOOKUP(B82,$B$2:$E$9,4,FALSE)),-2*(6-H81),-(VLOOKUP(B82,$B$2:$G$9,6,FALSE)-D82)),0)</f>
        <v>-0.77790668500000004</v>
      </c>
      <c r="K82" s="9">
        <f t="shared" si="17"/>
        <v>0</v>
      </c>
      <c r="L82" s="9">
        <f t="shared" si="18"/>
        <v>-0.77790668500000004</v>
      </c>
      <c r="M82" s="9">
        <f t="shared" si="14"/>
        <v>0</v>
      </c>
      <c r="N82" s="8">
        <v>-2.5</v>
      </c>
      <c r="O82" s="8">
        <v>0</v>
      </c>
      <c r="P82" s="2"/>
      <c r="Q82" s="2"/>
    </row>
    <row r="83" spans="1:28" x14ac:dyDescent="0.3">
      <c r="A83" s="35">
        <f t="shared" si="15"/>
        <v>21</v>
      </c>
      <c r="B83" s="35">
        <v>2</v>
      </c>
      <c r="C83" s="14">
        <v>43305.416666666664</v>
      </c>
      <c r="D83" s="18">
        <v>2.3512308979999998</v>
      </c>
      <c r="E83" s="19">
        <f t="shared" si="16"/>
        <v>3.239753662</v>
      </c>
      <c r="F83" s="16">
        <v>3.199110031</v>
      </c>
      <c r="G83" s="10">
        <f t="shared" si="19"/>
        <v>0.88852276400000019</v>
      </c>
      <c r="H83" s="10">
        <f t="shared" si="20"/>
        <v>2.1652721015000003</v>
      </c>
      <c r="I83" s="73">
        <f t="shared" si="13"/>
        <v>0</v>
      </c>
      <c r="J83" s="9">
        <f>IF(F83&gt;VLOOKUP($B$16,$B$2:$F$9,5,FALSE),MAX(N83,-F83*(VLOOKUP(B83,$B$2:$E$9,4,FALSE)),-2*(6-H82),-(VLOOKUP(B83,$B$2:$G$9,6,FALSE)-D83)),0)</f>
        <v>-0.88852276400000019</v>
      </c>
      <c r="K83" s="9">
        <f t="shared" si="17"/>
        <v>0</v>
      </c>
      <c r="L83" s="9">
        <f t="shared" si="18"/>
        <v>-0.88852276400000019</v>
      </c>
      <c r="M83" s="9">
        <f t="shared" si="14"/>
        <v>0</v>
      </c>
      <c r="N83" s="8">
        <v>-2.5</v>
      </c>
      <c r="O83" s="8">
        <v>0</v>
      </c>
      <c r="P83" s="2"/>
      <c r="Q83" s="2"/>
    </row>
    <row r="84" spans="1:28" x14ac:dyDescent="0.3">
      <c r="A84" s="35">
        <f t="shared" si="15"/>
        <v>22</v>
      </c>
      <c r="B84" s="35">
        <v>2</v>
      </c>
      <c r="C84" s="14">
        <v>43305.4375</v>
      </c>
      <c r="D84" s="18">
        <v>2.3254950459999999</v>
      </c>
      <c r="E84" s="19">
        <f t="shared" si="16"/>
        <v>3.239753662</v>
      </c>
      <c r="F84" s="16">
        <v>3.2411100859999999</v>
      </c>
      <c r="G84" s="10">
        <f t="shared" si="19"/>
        <v>0.91425861600000013</v>
      </c>
      <c r="H84" s="10">
        <f t="shared" si="20"/>
        <v>2.6224014095000001</v>
      </c>
      <c r="I84" s="73">
        <f t="shared" si="13"/>
        <v>0</v>
      </c>
      <c r="J84" s="9">
        <f>IF(F84&gt;VLOOKUP($B$16,$B$2:$F$9,5,FALSE),MAX(N84,-F84*(VLOOKUP(B84,$B$2:$E$9,4,FALSE)),-2*(6-H83),-(VLOOKUP(B84,$B$2:$G$9,6,FALSE)-D84)),0)</f>
        <v>-0.91425861600000013</v>
      </c>
      <c r="K84" s="9">
        <f t="shared" si="17"/>
        <v>0</v>
      </c>
      <c r="L84" s="9">
        <f t="shared" si="18"/>
        <v>-0.91425861600000013</v>
      </c>
      <c r="M84" s="9">
        <f t="shared" si="14"/>
        <v>0</v>
      </c>
      <c r="N84" s="8">
        <v>-2.5</v>
      </c>
      <c r="O84" s="8">
        <v>0</v>
      </c>
      <c r="P84" s="2"/>
      <c r="Q84" s="2"/>
    </row>
    <row r="85" spans="1:28" x14ac:dyDescent="0.3">
      <c r="A85" s="35">
        <f t="shared" si="15"/>
        <v>23</v>
      </c>
      <c r="B85" s="35">
        <v>2</v>
      </c>
      <c r="C85" s="14">
        <v>43305.458333333336</v>
      </c>
      <c r="D85" s="18">
        <v>2.3258296540000001</v>
      </c>
      <c r="E85" s="19">
        <f t="shared" si="16"/>
        <v>3.239753662</v>
      </c>
      <c r="F85" s="16">
        <v>3.5371582510000001</v>
      </c>
      <c r="G85" s="10">
        <f t="shared" si="19"/>
        <v>0.91392400799999995</v>
      </c>
      <c r="H85" s="10">
        <f t="shared" si="20"/>
        <v>3.0793634135000003</v>
      </c>
      <c r="I85" s="73">
        <f t="shared" si="13"/>
        <v>0</v>
      </c>
      <c r="J85" s="9">
        <f>IF(F85&gt;VLOOKUP($B$16,$B$2:$F$9,5,FALSE),MAX(N85,-F85*(VLOOKUP(B85,$B$2:$E$9,4,FALSE)),-2*(6-H84),-(VLOOKUP(B85,$B$2:$G$9,6,FALSE)-D85)),0)</f>
        <v>-0.91392400799999995</v>
      </c>
      <c r="K85" s="9">
        <f t="shared" si="17"/>
        <v>0</v>
      </c>
      <c r="L85" s="9">
        <f t="shared" si="18"/>
        <v>-0.91392400799999995</v>
      </c>
      <c r="M85" s="9">
        <f t="shared" si="14"/>
        <v>0</v>
      </c>
      <c r="N85" s="8">
        <v>-2.5</v>
      </c>
      <c r="O85" s="8">
        <v>0</v>
      </c>
      <c r="P85" s="2"/>
      <c r="Q85" s="2"/>
    </row>
    <row r="86" spans="1:28" x14ac:dyDescent="0.3">
      <c r="A86" s="35">
        <f t="shared" si="15"/>
        <v>24</v>
      </c>
      <c r="B86" s="35">
        <v>2</v>
      </c>
      <c r="C86" s="14">
        <v>43305.479166666664</v>
      </c>
      <c r="D86" s="18">
        <v>2.2973016070000001</v>
      </c>
      <c r="E86" s="19">
        <f t="shared" si="16"/>
        <v>3.239753662</v>
      </c>
      <c r="F86" s="16">
        <v>3.55447793</v>
      </c>
      <c r="G86" s="10">
        <f t="shared" si="19"/>
        <v>0.94245205499999996</v>
      </c>
      <c r="H86" s="10">
        <f t="shared" si="20"/>
        <v>3.5505894410000005</v>
      </c>
      <c r="I86" s="73">
        <f t="shared" si="13"/>
        <v>0</v>
      </c>
      <c r="J86" s="9">
        <f>IF(F86&gt;VLOOKUP($B$16,$B$2:$F$9,5,FALSE),MAX(N86,-F86*(VLOOKUP(B86,$B$2:$E$9,4,FALSE)),-2*(6-H85),-(VLOOKUP(B86,$B$2:$G$9,6,FALSE)-D86)),0)</f>
        <v>-0.94245205499999996</v>
      </c>
      <c r="K86" s="9">
        <f t="shared" si="17"/>
        <v>0</v>
      </c>
      <c r="L86" s="9">
        <f t="shared" si="18"/>
        <v>-0.94245205499999996</v>
      </c>
      <c r="M86" s="9">
        <f t="shared" si="14"/>
        <v>0</v>
      </c>
      <c r="N86" s="8">
        <v>-2.5</v>
      </c>
      <c r="O86" s="8">
        <v>0</v>
      </c>
      <c r="P86" s="2"/>
      <c r="Q86" s="2"/>
    </row>
    <row r="87" spans="1:28" x14ac:dyDescent="0.3">
      <c r="A87" s="35">
        <f t="shared" si="15"/>
        <v>25</v>
      </c>
      <c r="B87" s="35">
        <v>2</v>
      </c>
      <c r="C87" s="14">
        <v>43305.5</v>
      </c>
      <c r="D87" s="18">
        <v>2.2669821959999998</v>
      </c>
      <c r="E87" s="19">
        <f t="shared" si="16"/>
        <v>3.239753662</v>
      </c>
      <c r="F87" s="16">
        <v>3.6141524309999999</v>
      </c>
      <c r="G87" s="10">
        <f t="shared" si="19"/>
        <v>0.9727714660000002</v>
      </c>
      <c r="H87" s="10">
        <f t="shared" si="20"/>
        <v>4.0369751740000002</v>
      </c>
      <c r="I87" s="73">
        <f t="shared" si="13"/>
        <v>0</v>
      </c>
      <c r="J87" s="9">
        <f>IF(F87&gt;VLOOKUP($B$16,$B$2:$F$9,5,FALSE),MAX(N87,-F87*(VLOOKUP(B87,$B$2:$E$9,4,FALSE)),-2*(6-H86),-(VLOOKUP(B87,$B$2:$G$9,6,FALSE)-D87)),0)</f>
        <v>-0.9727714660000002</v>
      </c>
      <c r="K87" s="9">
        <f t="shared" si="17"/>
        <v>0</v>
      </c>
      <c r="L87" s="9">
        <f t="shared" si="18"/>
        <v>-0.9727714660000002</v>
      </c>
      <c r="M87" s="9">
        <f t="shared" si="14"/>
        <v>0</v>
      </c>
      <c r="N87" s="8">
        <v>-2.5</v>
      </c>
      <c r="O87" s="8">
        <v>0</v>
      </c>
      <c r="P87" s="2"/>
      <c r="Q87" s="2"/>
    </row>
    <row r="88" spans="1:28" x14ac:dyDescent="0.3">
      <c r="A88" s="35">
        <f t="shared" si="15"/>
        <v>26</v>
      </c>
      <c r="B88" s="35">
        <v>2</v>
      </c>
      <c r="C88" s="14">
        <v>43305.520833333336</v>
      </c>
      <c r="D88" s="18">
        <v>2.2092467789999999</v>
      </c>
      <c r="E88" s="19">
        <f t="shared" si="16"/>
        <v>3.239753662</v>
      </c>
      <c r="F88" s="16">
        <v>3.5469958780000002</v>
      </c>
      <c r="G88" s="10">
        <f t="shared" si="19"/>
        <v>1.0305068830000002</v>
      </c>
      <c r="H88" s="10">
        <f t="shared" si="20"/>
        <v>4.5522286155000007</v>
      </c>
      <c r="I88" s="73">
        <f t="shared" si="13"/>
        <v>0</v>
      </c>
      <c r="J88" s="9">
        <f>IF(F88&gt;VLOOKUP($B$16,$B$2:$F$9,5,FALSE),MAX(N88,-F88*(VLOOKUP(B88,$B$2:$E$9,4,FALSE)),-2*(6-H87),-(VLOOKUP(B88,$B$2:$G$9,6,FALSE)-D88)),0)</f>
        <v>-1.0305068830000002</v>
      </c>
      <c r="K88" s="9">
        <f t="shared" si="17"/>
        <v>0</v>
      </c>
      <c r="L88" s="9">
        <f t="shared" si="18"/>
        <v>-1.0305068830000002</v>
      </c>
      <c r="M88" s="9">
        <f t="shared" si="14"/>
        <v>0</v>
      </c>
      <c r="N88" s="8">
        <v>-2.5</v>
      </c>
      <c r="O88" s="8">
        <v>0</v>
      </c>
      <c r="P88" s="2"/>
      <c r="Q88" s="2"/>
    </row>
    <row r="89" spans="1:28" x14ac:dyDescent="0.3">
      <c r="A89" s="35">
        <f t="shared" si="15"/>
        <v>27</v>
      </c>
      <c r="B89" s="35">
        <v>2</v>
      </c>
      <c r="C89" s="14">
        <v>43305.541666666664</v>
      </c>
      <c r="D89" s="18">
        <v>2.2480795599999999</v>
      </c>
      <c r="E89" s="19">
        <f t="shared" si="16"/>
        <v>3.239753662</v>
      </c>
      <c r="F89" s="16">
        <v>3.2821564670000001</v>
      </c>
      <c r="G89" s="10">
        <f t="shared" si="19"/>
        <v>0.99167410200000017</v>
      </c>
      <c r="H89" s="10">
        <f t="shared" si="20"/>
        <v>5.0480656665000012</v>
      </c>
      <c r="I89" s="73">
        <f t="shared" si="13"/>
        <v>0</v>
      </c>
      <c r="J89" s="9">
        <f>IF(F89&gt;VLOOKUP($B$16,$B$2:$F$9,5,FALSE),MAX(N89,-F89*(VLOOKUP(B89,$B$2:$E$9,4,FALSE)),-2*(6-H88),-(VLOOKUP(B89,$B$2:$G$9,6,FALSE)-D89)),0)</f>
        <v>-0.99167410200000017</v>
      </c>
      <c r="K89" s="9">
        <f t="shared" si="17"/>
        <v>0</v>
      </c>
      <c r="L89" s="9">
        <f t="shared" si="18"/>
        <v>-0.99167410200000017</v>
      </c>
      <c r="M89" s="9">
        <f t="shared" si="14"/>
        <v>0</v>
      </c>
      <c r="N89" s="8">
        <v>-2.5</v>
      </c>
      <c r="O89" s="8">
        <v>0</v>
      </c>
      <c r="P89" s="2"/>
      <c r="Q89" s="2"/>
    </row>
    <row r="90" spans="1:28" x14ac:dyDescent="0.3">
      <c r="A90" s="35">
        <f t="shared" si="15"/>
        <v>28</v>
      </c>
      <c r="B90" s="35">
        <v>2</v>
      </c>
      <c r="C90" s="14">
        <v>43305.5625</v>
      </c>
      <c r="D90" s="18">
        <v>2.2400601930000001</v>
      </c>
      <c r="E90" s="19">
        <f t="shared" si="16"/>
        <v>3.239753662</v>
      </c>
      <c r="F90" s="16">
        <v>3.2821564670000001</v>
      </c>
      <c r="G90" s="10">
        <f t="shared" si="19"/>
        <v>0.99969346899999989</v>
      </c>
      <c r="H90" s="10">
        <f t="shared" si="20"/>
        <v>5.5479124010000014</v>
      </c>
      <c r="I90" s="73">
        <f t="shared" si="13"/>
        <v>0</v>
      </c>
      <c r="J90" s="9">
        <f>IF(F90&gt;VLOOKUP($B$16,$B$2:$F$9,5,FALSE),MAX(N90,-F90*(VLOOKUP(B90,$B$2:$E$9,4,FALSE)),-2*(6-H89),-(VLOOKUP(B90,$B$2:$G$9,6,FALSE)-D90)),0)</f>
        <v>-0.99969346899999989</v>
      </c>
      <c r="K90" s="9">
        <f t="shared" si="17"/>
        <v>0</v>
      </c>
      <c r="L90" s="9">
        <f t="shared" si="18"/>
        <v>-0.99969346899999989</v>
      </c>
      <c r="M90" s="9">
        <f t="shared" si="14"/>
        <v>0</v>
      </c>
      <c r="N90" s="8">
        <v>-2.5</v>
      </c>
      <c r="O90" s="8">
        <v>0</v>
      </c>
      <c r="P90" s="2"/>
      <c r="Q90" s="2"/>
    </row>
    <row r="91" spans="1:28" x14ac:dyDescent="0.3">
      <c r="A91" s="35">
        <f t="shared" si="15"/>
        <v>29</v>
      </c>
      <c r="B91" s="35">
        <v>2</v>
      </c>
      <c r="C91" s="14">
        <v>43305.583333333336</v>
      </c>
      <c r="D91" s="18">
        <v>2.220088343</v>
      </c>
      <c r="E91" s="19">
        <f t="shared" si="16"/>
        <v>3.1242635409999973</v>
      </c>
      <c r="F91" s="16">
        <v>2.6488058570000002</v>
      </c>
      <c r="G91" s="10">
        <f t="shared" si="19"/>
        <v>0.90417519799999724</v>
      </c>
      <c r="H91" s="10">
        <f t="shared" si="20"/>
        <v>6</v>
      </c>
      <c r="I91" s="73">
        <f t="shared" si="13"/>
        <v>0</v>
      </c>
      <c r="J91" s="9">
        <f>IF(F91&gt;VLOOKUP($B$16,$B$2:$F$9,5,FALSE),MAX(N91,-F91*(VLOOKUP(B91,$B$2:$E$9,4,FALSE)),-2*(6-H90),-(VLOOKUP(B91,$B$2:$G$9,6,FALSE)-D91)),0)</f>
        <v>-0.90417519799999724</v>
      </c>
      <c r="K91" s="9">
        <f t="shared" si="17"/>
        <v>0</v>
      </c>
      <c r="L91" s="9">
        <f t="shared" si="18"/>
        <v>-0.90417519799999724</v>
      </c>
      <c r="M91" s="9">
        <f t="shared" si="14"/>
        <v>0</v>
      </c>
      <c r="N91" s="8">
        <v>-2.5</v>
      </c>
      <c r="O91" s="8">
        <v>0</v>
      </c>
      <c r="P91" s="2"/>
      <c r="Q91" s="2"/>
    </row>
    <row r="92" spans="1:28" x14ac:dyDescent="0.3">
      <c r="A92" s="37">
        <f t="shared" si="15"/>
        <v>30</v>
      </c>
      <c r="B92" s="37">
        <v>2</v>
      </c>
      <c r="C92" s="24">
        <v>43305.604166666664</v>
      </c>
      <c r="D92" s="25">
        <v>2.3421246660000001</v>
      </c>
      <c r="E92" s="26">
        <f t="shared" si="16"/>
        <v>2.3421246660000001</v>
      </c>
      <c r="F92" s="27">
        <v>2.5926811700000001</v>
      </c>
      <c r="G92" s="10">
        <f t="shared" si="19"/>
        <v>0</v>
      </c>
      <c r="H92" s="10">
        <f t="shared" si="20"/>
        <v>6</v>
      </c>
      <c r="I92" s="73">
        <f t="shared" si="13"/>
        <v>0</v>
      </c>
      <c r="J92" s="9">
        <f>IF(F92&gt;VLOOKUP($B$16,$B$2:$F$9,5,FALSE),MAX(N92,-F92*(VLOOKUP(B92,$B$2:$E$9,4,FALSE)),-2*(6-H91),-(VLOOKUP(B92,$B$2:$G$9,6,FALSE)-D92)),0)</f>
        <v>0</v>
      </c>
      <c r="K92" s="9">
        <f t="shared" si="17"/>
        <v>0</v>
      </c>
      <c r="L92" s="42">
        <f t="shared" si="18"/>
        <v>0</v>
      </c>
      <c r="M92" s="42">
        <f t="shared" si="14"/>
        <v>0</v>
      </c>
      <c r="N92" s="23">
        <v>-2.5</v>
      </c>
      <c r="O92" s="23">
        <v>0</v>
      </c>
      <c r="P92" s="2"/>
      <c r="Q92" s="2"/>
    </row>
    <row r="93" spans="1:28" s="64" customFormat="1" ht="15" thickBot="1" x14ac:dyDescent="0.35">
      <c r="A93" s="54">
        <f t="shared" si="15"/>
        <v>31</v>
      </c>
      <c r="B93" s="54">
        <v>2</v>
      </c>
      <c r="C93" s="55">
        <v>43305.625</v>
      </c>
      <c r="D93" s="56">
        <v>2.6054563910000001</v>
      </c>
      <c r="E93" s="57">
        <f t="shared" si="16"/>
        <v>2.6054563910000001</v>
      </c>
      <c r="F93" s="58">
        <v>2.2140746120000001</v>
      </c>
      <c r="G93" s="111">
        <f t="shared" si="19"/>
        <v>0</v>
      </c>
      <c r="H93" s="111">
        <f>H92+((G93*0.5))</f>
        <v>6</v>
      </c>
      <c r="I93" s="74">
        <f t="shared" si="13"/>
        <v>0</v>
      </c>
      <c r="J93" s="9">
        <f>IF(F93&gt;VLOOKUP($B$16,$B$2:$F$9,5,FALSE),MAX(N93,-F93*(VLOOKUP(B93,$B$2:$E$9,4,FALSE)),-2*(6-H92),-(VLOOKUP(B93,$B$2:$G$9,6,FALSE)-D93)),0)</f>
        <v>0</v>
      </c>
      <c r="K93" s="60">
        <f t="shared" si="17"/>
        <v>0</v>
      </c>
      <c r="L93" s="60">
        <f t="shared" si="18"/>
        <v>0</v>
      </c>
      <c r="M93" s="60">
        <f t="shared" si="14"/>
        <v>0</v>
      </c>
      <c r="N93" s="61">
        <v>-2.5</v>
      </c>
      <c r="O93" s="61">
        <v>0</v>
      </c>
      <c r="P93" s="62"/>
      <c r="Q93" s="62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s="1" customFormat="1" x14ac:dyDescent="0.3">
      <c r="A94" s="44">
        <f>A93+1</f>
        <v>32</v>
      </c>
      <c r="B94" s="44">
        <v>2</v>
      </c>
      <c r="C94" s="45">
        <v>43305.645833333336</v>
      </c>
      <c r="D94" s="46">
        <v>2.8244087850000001</v>
      </c>
      <c r="E94" s="33">
        <f t="shared" si="16"/>
        <v>1.919738196454545</v>
      </c>
      <c r="F94" s="47">
        <v>2.1478788849999999</v>
      </c>
      <c r="G94" s="97">
        <f t="shared" si="19"/>
        <v>-0.90467058854545512</v>
      </c>
      <c r="H94" s="97">
        <f t="shared" si="20"/>
        <v>5.5476647057272723</v>
      </c>
      <c r="I94" s="72">
        <f t="shared" si="13"/>
        <v>0.90467058854545512</v>
      </c>
      <c r="J94" s="9">
        <f>IF(F94&gt;VLOOKUP($B$16,$B$2:$F$9,5,FALSE),MAX(N94,-F94*(VLOOKUP(B94,$B$2:$E$9,4,FALSE)),-2*(6-H93),-(VLOOKUP(B94,$B$2:$G$9,6,FALSE)-D94)),0)</f>
        <v>0</v>
      </c>
      <c r="K94" s="40">
        <f t="shared" si="17"/>
        <v>0</v>
      </c>
      <c r="L94" s="41"/>
      <c r="M94" s="41"/>
      <c r="N94" s="48">
        <v>0</v>
      </c>
      <c r="O94" s="48">
        <v>2.5</v>
      </c>
      <c r="P94" s="2"/>
      <c r="Q94" s="2"/>
      <c r="R94"/>
      <c r="S94"/>
      <c r="T94"/>
      <c r="U94"/>
      <c r="V94"/>
      <c r="W94"/>
      <c r="X94"/>
      <c r="Y94"/>
      <c r="Z94"/>
      <c r="AA94"/>
      <c r="AB94"/>
    </row>
    <row r="95" spans="1:28" s="1" customFormat="1" x14ac:dyDescent="0.3">
      <c r="A95" s="36">
        <f t="shared" si="15"/>
        <v>33</v>
      </c>
      <c r="B95" s="36">
        <v>2</v>
      </c>
      <c r="C95" s="15">
        <v>43305.666666666664</v>
      </c>
      <c r="D95" s="20">
        <v>3.0609005439999999</v>
      </c>
      <c r="E95" s="19">
        <f t="shared" si="16"/>
        <v>1.919738196454545</v>
      </c>
      <c r="F95" s="17">
        <v>1.9327372309999999</v>
      </c>
      <c r="G95" s="10">
        <f t="shared" si="19"/>
        <v>-1.1411623475454549</v>
      </c>
      <c r="H95" s="10">
        <f t="shared" si="20"/>
        <v>4.9770835319545448</v>
      </c>
      <c r="I95" s="73">
        <f t="shared" si="13"/>
        <v>1.1411623475454549</v>
      </c>
      <c r="J95" s="9">
        <f>IF(F95&gt;VLOOKUP($B$16,$B$2:$F$9,5,FALSE),MAX(N95,-F95*(VLOOKUP(B95,$B$2:$E$9,4,FALSE)),-2*(6-H94),-(VLOOKUP(B95,$B$2:$G$9,6,FALSE)-D95)),0)</f>
        <v>0</v>
      </c>
      <c r="K95" s="9">
        <f t="shared" si="17"/>
        <v>0</v>
      </c>
      <c r="L95" s="12"/>
      <c r="M95" s="12"/>
      <c r="N95" s="13">
        <v>0</v>
      </c>
      <c r="O95" s="13">
        <v>2.5</v>
      </c>
      <c r="P95" s="2"/>
      <c r="Q95" s="2"/>
      <c r="R95"/>
      <c r="S95"/>
      <c r="T95"/>
      <c r="U95"/>
      <c r="V95"/>
      <c r="W95"/>
      <c r="X95"/>
      <c r="Y95"/>
      <c r="Z95"/>
      <c r="AA95"/>
      <c r="AB95"/>
    </row>
    <row r="96" spans="1:28" s="1" customFormat="1" x14ac:dyDescent="0.3">
      <c r="A96" s="36">
        <f t="shared" si="15"/>
        <v>34</v>
      </c>
      <c r="B96" s="36">
        <v>2</v>
      </c>
      <c r="C96" s="15">
        <v>43305.6875</v>
      </c>
      <c r="D96" s="20">
        <v>3.0959485629999999</v>
      </c>
      <c r="E96" s="19">
        <f t="shared" si="16"/>
        <v>1.919738196454545</v>
      </c>
      <c r="F96" s="17">
        <v>1.7594573499999999</v>
      </c>
      <c r="G96" s="10">
        <f t="shared" si="19"/>
        <v>-1.1762103665454549</v>
      </c>
      <c r="H96" s="10">
        <f t="shared" si="20"/>
        <v>4.3889783486818175</v>
      </c>
      <c r="I96" s="73">
        <f t="shared" si="13"/>
        <v>1.1762103665454549</v>
      </c>
      <c r="J96" s="9">
        <f>IF(F96&gt;VLOOKUP($B$16,$B$2:$F$9,5,FALSE),MAX(N96,-F96*(VLOOKUP(B96,$B$2:$E$9,4,FALSE)),-2*(6-H95),-(VLOOKUP(B96,$B$2:$G$9,6,FALSE)-D96)),0)</f>
        <v>0</v>
      </c>
      <c r="K96" s="9">
        <f t="shared" si="17"/>
        <v>0</v>
      </c>
      <c r="L96" s="12"/>
      <c r="M96" s="12"/>
      <c r="N96" s="13">
        <v>0</v>
      </c>
      <c r="O96" s="13">
        <v>2.5</v>
      </c>
      <c r="P96" s="2"/>
      <c r="Q96" s="2"/>
      <c r="R96"/>
      <c r="S96"/>
      <c r="T96"/>
      <c r="U96"/>
      <c r="V96"/>
      <c r="W96"/>
      <c r="X96"/>
      <c r="Y96"/>
      <c r="Z96"/>
      <c r="AA96"/>
      <c r="AB96"/>
    </row>
    <row r="97" spans="1:28" s="1" customFormat="1" x14ac:dyDescent="0.3">
      <c r="A97" s="36">
        <f t="shared" si="15"/>
        <v>35</v>
      </c>
      <c r="B97" s="36">
        <v>2</v>
      </c>
      <c r="C97" s="15">
        <v>43305.708333333336</v>
      </c>
      <c r="D97" s="20">
        <v>3.239753662</v>
      </c>
      <c r="E97" s="19">
        <f t="shared" si="16"/>
        <v>1.919738196454545</v>
      </c>
      <c r="F97" s="17">
        <v>1.143936157</v>
      </c>
      <c r="G97" s="10">
        <f t="shared" si="19"/>
        <v>-1.320015465545455</v>
      </c>
      <c r="H97" s="10">
        <f t="shared" si="20"/>
        <v>3.7289706159090898</v>
      </c>
      <c r="I97" s="73">
        <f t="shared" si="13"/>
        <v>1.320015465545455</v>
      </c>
      <c r="J97" s="9">
        <f>IF(F97&gt;VLOOKUP($B$16,$B$2:$F$9,5,FALSE),MAX(N97,-F97*(VLOOKUP(B97,$B$2:$E$9,4,FALSE)),-2*(6-H96),-(VLOOKUP(B97,$B$2:$G$9,6,FALSE)-D97)),0)</f>
        <v>0</v>
      </c>
      <c r="K97" s="9">
        <f t="shared" si="17"/>
        <v>0</v>
      </c>
      <c r="L97" s="12"/>
      <c r="M97" s="12"/>
      <c r="N97" s="13">
        <v>0</v>
      </c>
      <c r="O97" s="13">
        <v>2.5</v>
      </c>
      <c r="P97" s="2"/>
      <c r="Q97" s="2"/>
      <c r="R97"/>
      <c r="S97"/>
      <c r="T97"/>
      <c r="U97"/>
      <c r="V97"/>
      <c r="W97"/>
      <c r="X97"/>
      <c r="Y97"/>
      <c r="Z97"/>
      <c r="AA97"/>
      <c r="AB97"/>
    </row>
    <row r="98" spans="1:28" s="1" customFormat="1" x14ac:dyDescent="0.3">
      <c r="A98" s="36">
        <f t="shared" si="15"/>
        <v>36</v>
      </c>
      <c r="B98" s="36">
        <v>2</v>
      </c>
      <c r="C98" s="15">
        <v>43305.729166666664</v>
      </c>
      <c r="D98" s="20">
        <v>3.206720292</v>
      </c>
      <c r="E98" s="19">
        <f t="shared" si="16"/>
        <v>1.919738196454545</v>
      </c>
      <c r="F98" s="17">
        <v>0.94310009500000003</v>
      </c>
      <c r="G98" s="10">
        <f t="shared" si="19"/>
        <v>-1.286982095545455</v>
      </c>
      <c r="H98" s="10">
        <f t="shared" si="20"/>
        <v>3.0854795681363623</v>
      </c>
      <c r="I98" s="73">
        <f t="shared" si="13"/>
        <v>1.286982095545455</v>
      </c>
      <c r="J98" s="9">
        <f>IF(F98&gt;VLOOKUP($B$16,$B$2:$F$9,5,FALSE),MAX(N98,-F98*(VLOOKUP(B98,$B$2:$E$9,4,FALSE)),-2*(6-H97),-(VLOOKUP(B98,$B$2:$G$9,6,FALSE)-D98)),0)</f>
        <v>0</v>
      </c>
      <c r="K98" s="9">
        <f t="shared" si="17"/>
        <v>0</v>
      </c>
      <c r="L98" s="12"/>
      <c r="M98" s="12"/>
      <c r="N98" s="13">
        <v>0</v>
      </c>
      <c r="O98" s="13">
        <v>2.5</v>
      </c>
      <c r="P98" s="2"/>
      <c r="Q98" s="2"/>
      <c r="R98"/>
      <c r="S98"/>
      <c r="T98"/>
      <c r="U98"/>
      <c r="V98"/>
      <c r="W98"/>
      <c r="X98"/>
      <c r="Y98"/>
      <c r="Z98"/>
      <c r="AA98"/>
      <c r="AB98"/>
    </row>
    <row r="99" spans="1:28" s="1" customFormat="1" x14ac:dyDescent="0.3">
      <c r="A99" s="36">
        <f t="shared" si="15"/>
        <v>37</v>
      </c>
      <c r="B99" s="36">
        <v>2</v>
      </c>
      <c r="C99" s="15">
        <v>43305.75</v>
      </c>
      <c r="D99" s="20">
        <v>3.166704384</v>
      </c>
      <c r="E99" s="19">
        <f t="shared" si="16"/>
        <v>1.919738196454545</v>
      </c>
      <c r="F99" s="17">
        <v>0.466520816</v>
      </c>
      <c r="G99" s="10">
        <f t="shared" si="19"/>
        <v>-1.246966187545455</v>
      </c>
      <c r="H99" s="10">
        <f t="shared" si="20"/>
        <v>2.4619964743636347</v>
      </c>
      <c r="I99" s="73">
        <f t="shared" si="13"/>
        <v>1.246966187545455</v>
      </c>
      <c r="J99" s="9">
        <f>IF(F99&gt;VLOOKUP($B$16,$B$2:$F$9,5,FALSE),MAX(N99,-F99*(VLOOKUP(B99,$B$2:$E$9,4,FALSE)),-2*(6-H98),-(VLOOKUP(B99,$B$2:$G$9,6,FALSE)-D99)),0)</f>
        <v>0</v>
      </c>
      <c r="K99" s="9">
        <f t="shared" si="17"/>
        <v>0</v>
      </c>
      <c r="L99" s="12"/>
      <c r="M99" s="12"/>
      <c r="N99" s="13">
        <v>0</v>
      </c>
      <c r="O99" s="13">
        <v>2.5</v>
      </c>
      <c r="P99" s="2"/>
      <c r="Q99" s="2"/>
      <c r="R99"/>
      <c r="S99"/>
      <c r="T99"/>
      <c r="U99"/>
      <c r="V99"/>
      <c r="W99"/>
      <c r="X99"/>
      <c r="Y99"/>
      <c r="Z99"/>
      <c r="AA99"/>
      <c r="AB99"/>
    </row>
    <row r="100" spans="1:28" s="1" customFormat="1" x14ac:dyDescent="0.3">
      <c r="A100" s="36">
        <f t="shared" si="15"/>
        <v>38</v>
      </c>
      <c r="B100" s="36">
        <v>2</v>
      </c>
      <c r="C100" s="15">
        <v>43305.770833333336</v>
      </c>
      <c r="D100" s="20">
        <v>3.0569454280000001</v>
      </c>
      <c r="E100" s="19">
        <f t="shared" si="16"/>
        <v>1.919738196454545</v>
      </c>
      <c r="F100" s="17">
        <v>0.450036198</v>
      </c>
      <c r="G100" s="10">
        <f t="shared" si="19"/>
        <v>-1.1372072315454551</v>
      </c>
      <c r="H100" s="10">
        <f t="shared" si="20"/>
        <v>1.8933928585909072</v>
      </c>
      <c r="I100" s="73">
        <f t="shared" si="13"/>
        <v>1.1372072315454551</v>
      </c>
      <c r="J100" s="9">
        <f>IF(F100&gt;VLOOKUP($B$16,$B$2:$F$9,5,FALSE),MAX(N100,-F100*(VLOOKUP(B100,$B$2:$E$9,4,FALSE)),-2*(6-H99),-(VLOOKUP(B100,$B$2:$G$9,6,FALSE)-D100)),0)</f>
        <v>0</v>
      </c>
      <c r="K100" s="9">
        <f t="shared" si="17"/>
        <v>0</v>
      </c>
      <c r="L100" s="12"/>
      <c r="M100" s="12"/>
      <c r="N100" s="13">
        <v>0</v>
      </c>
      <c r="O100" s="13">
        <v>2.5</v>
      </c>
      <c r="P100" s="2"/>
      <c r="Q100" s="2"/>
      <c r="R100"/>
      <c r="S100"/>
      <c r="T100"/>
      <c r="U100"/>
      <c r="V100"/>
      <c r="W100"/>
      <c r="X100"/>
      <c r="Y100"/>
      <c r="Z100"/>
      <c r="AA100"/>
      <c r="AB100"/>
    </row>
    <row r="101" spans="1:28" s="1" customFormat="1" x14ac:dyDescent="0.3">
      <c r="A101" s="36">
        <f t="shared" si="15"/>
        <v>39</v>
      </c>
      <c r="B101" s="36">
        <v>2</v>
      </c>
      <c r="C101" s="15">
        <v>43305.791666666664</v>
      </c>
      <c r="D101" s="20">
        <v>2.952938616</v>
      </c>
      <c r="E101" s="19">
        <f t="shared" si="16"/>
        <v>1.919738196454545</v>
      </c>
      <c r="F101" s="17">
        <v>0.123593837</v>
      </c>
      <c r="G101" s="10">
        <f t="shared" si="19"/>
        <v>-1.0332004195454549</v>
      </c>
      <c r="H101" s="10">
        <f t="shared" si="20"/>
        <v>1.3767926488181796</v>
      </c>
      <c r="I101" s="73">
        <f t="shared" si="13"/>
        <v>1.0332004195454549</v>
      </c>
      <c r="J101" s="9">
        <f>IF(F101&gt;VLOOKUP($B$16,$B$2:$F$9,5,FALSE),MAX(N101,-F101*(VLOOKUP(B101,$B$2:$E$9,4,FALSE)),-2*(6-H100),-(VLOOKUP(B101,$B$2:$G$9,6,FALSE)-D101)),0)</f>
        <v>0</v>
      </c>
      <c r="K101" s="9">
        <f t="shared" si="17"/>
        <v>0</v>
      </c>
      <c r="L101" s="12"/>
      <c r="M101" s="12"/>
      <c r="N101" s="13">
        <v>0</v>
      </c>
      <c r="O101" s="13">
        <v>2.5</v>
      </c>
      <c r="P101" s="2"/>
      <c r="Q101" s="2"/>
      <c r="R101"/>
      <c r="S101"/>
      <c r="T101"/>
      <c r="U101"/>
      <c r="V101"/>
      <c r="W101"/>
      <c r="X101"/>
      <c r="Y101"/>
      <c r="Z101"/>
      <c r="AA101"/>
      <c r="AB101"/>
    </row>
    <row r="102" spans="1:28" s="1" customFormat="1" x14ac:dyDescent="0.3">
      <c r="A102" s="36">
        <f t="shared" si="15"/>
        <v>40</v>
      </c>
      <c r="B102" s="36">
        <v>2</v>
      </c>
      <c r="C102" s="15">
        <v>43305.8125</v>
      </c>
      <c r="D102" s="20">
        <v>2.9061906479999999</v>
      </c>
      <c r="E102" s="19">
        <f t="shared" si="16"/>
        <v>1.919738196454545</v>
      </c>
      <c r="F102" s="17">
        <v>0.113556832</v>
      </c>
      <c r="G102" s="10">
        <f t="shared" si="19"/>
        <v>-0.98645245154545491</v>
      </c>
      <c r="H102" s="10">
        <f t="shared" si="20"/>
        <v>0.88356642304545219</v>
      </c>
      <c r="I102" s="73">
        <f t="shared" si="13"/>
        <v>0.98645245154545491</v>
      </c>
      <c r="J102" s="9">
        <f>IF(F102&gt;VLOOKUP($B$16,$B$2:$F$9,5,FALSE),MAX(N102,-F102*(VLOOKUP(B102,$B$2:$E$9,4,FALSE)),-2*(6-H101),-(VLOOKUP(B102,$B$2:$G$9,6,FALSE)-D102)),0)</f>
        <v>0</v>
      </c>
      <c r="K102" s="9">
        <f t="shared" si="17"/>
        <v>0</v>
      </c>
      <c r="L102" s="12"/>
      <c r="M102" s="12"/>
      <c r="N102" s="13">
        <v>0</v>
      </c>
      <c r="O102" s="13">
        <v>2.5</v>
      </c>
      <c r="P102" s="2"/>
      <c r="Q102" s="2"/>
      <c r="R102"/>
      <c r="S102"/>
      <c r="T102"/>
      <c r="U102"/>
      <c r="V102"/>
      <c r="W102"/>
      <c r="X102"/>
      <c r="Y102"/>
      <c r="Z102"/>
      <c r="AA102"/>
      <c r="AB102"/>
    </row>
    <row r="103" spans="1:28" s="1" customFormat="1" x14ac:dyDescent="0.3">
      <c r="A103" s="49">
        <f t="shared" si="15"/>
        <v>41</v>
      </c>
      <c r="B103" s="49">
        <v>2</v>
      </c>
      <c r="C103" s="50">
        <v>43305.833333333336</v>
      </c>
      <c r="D103" s="51">
        <v>2.863364582</v>
      </c>
      <c r="E103" s="26">
        <f t="shared" si="16"/>
        <v>1.919738196454545</v>
      </c>
      <c r="F103" s="52">
        <v>5.3364930000000003E-3</v>
      </c>
      <c r="G103" s="10">
        <f t="shared" si="19"/>
        <v>-0.94362638554545497</v>
      </c>
      <c r="H103" s="10">
        <f t="shared" si="20"/>
        <v>0.4117532302727247</v>
      </c>
      <c r="I103" s="73">
        <f t="shared" si="13"/>
        <v>0.94362638554545497</v>
      </c>
      <c r="J103" s="9">
        <f>IF(F103&gt;VLOOKUP($B$16,$B$2:$F$9,5,FALSE),MAX(N103,-F103*(VLOOKUP(B103,$B$2:$E$9,4,FALSE)),-2*(6-H102),-(VLOOKUP(B103,$B$2:$G$9,6,FALSE)-D103)),0)</f>
        <v>0</v>
      </c>
      <c r="K103" s="9">
        <f t="shared" si="17"/>
        <v>0</v>
      </c>
      <c r="L103" s="29"/>
      <c r="M103" s="29"/>
      <c r="N103" s="53">
        <v>0</v>
      </c>
      <c r="O103" s="53">
        <v>2.5</v>
      </c>
      <c r="P103" s="2"/>
      <c r="Q103" s="2"/>
      <c r="R103"/>
      <c r="S103"/>
      <c r="T103"/>
      <c r="U103"/>
      <c r="V103"/>
      <c r="W103"/>
      <c r="X103"/>
      <c r="Y103"/>
      <c r="Z103"/>
      <c r="AA103"/>
      <c r="AB103"/>
    </row>
    <row r="104" spans="1:28" s="71" customFormat="1" ht="15" thickBot="1" x14ac:dyDescent="0.35">
      <c r="A104" s="65">
        <f t="shared" si="15"/>
        <v>42</v>
      </c>
      <c r="B104" s="65">
        <v>2</v>
      </c>
      <c r="C104" s="66">
        <v>43305.854166666664</v>
      </c>
      <c r="D104" s="67">
        <v>2.743244657</v>
      </c>
      <c r="E104" s="57">
        <f t="shared" si="16"/>
        <v>1.9197381964545506</v>
      </c>
      <c r="F104" s="68">
        <v>5.3364930000000003E-3</v>
      </c>
      <c r="G104" s="111">
        <f t="shared" si="19"/>
        <v>-0.8235064605454494</v>
      </c>
      <c r="H104" s="111">
        <f t="shared" si="20"/>
        <v>0</v>
      </c>
      <c r="I104" s="74">
        <f t="shared" si="13"/>
        <v>0.8235064605454494</v>
      </c>
      <c r="J104" s="9">
        <f>IF(F104&gt;VLOOKUP($B$16,$B$2:$F$9,5,FALSE),MAX(N104,-F104*(VLOOKUP(B104,$B$2:$E$9,4,FALSE)),-2*(6-H103),-(VLOOKUP(B104,$B$2:$G$9,6,FALSE)-D104)),0)</f>
        <v>0</v>
      </c>
      <c r="K104" s="60">
        <f t="shared" si="17"/>
        <v>0</v>
      </c>
      <c r="L104" s="59"/>
      <c r="M104" s="59"/>
      <c r="N104" s="69">
        <v>0</v>
      </c>
      <c r="O104" s="69">
        <v>2.5</v>
      </c>
      <c r="P104" s="62"/>
      <c r="Q104" s="62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 spans="1:28" x14ac:dyDescent="0.3">
      <c r="A105" s="38">
        <f t="shared" si="15"/>
        <v>43</v>
      </c>
      <c r="B105" s="38">
        <v>2</v>
      </c>
      <c r="C105" s="31">
        <v>43305.875</v>
      </c>
      <c r="D105" s="32">
        <v>2.6373096999999999</v>
      </c>
      <c r="E105" s="33">
        <f t="shared" si="16"/>
        <v>2.6373096999999999</v>
      </c>
      <c r="F105" s="39">
        <v>5.3364930000000003E-3</v>
      </c>
      <c r="G105" s="97">
        <f t="shared" si="19"/>
        <v>0</v>
      </c>
      <c r="H105" s="97">
        <f t="shared" si="20"/>
        <v>0</v>
      </c>
      <c r="I105" s="72">
        <f t="shared" si="13"/>
        <v>0</v>
      </c>
      <c r="J105" s="9">
        <f>IF(F105&gt;VLOOKUP($B$16,$B$2:$F$9,5,FALSE),MAX(N105,-F105*(VLOOKUP(B105,$B$2:$E$9,4,FALSE)),-2*(6-H104),-(VLOOKUP(B105,$B$2:$G$9,6,FALSE)-D105)),0)</f>
        <v>0</v>
      </c>
      <c r="K105" s="40">
        <f t="shared" si="17"/>
        <v>0</v>
      </c>
      <c r="L105" s="34"/>
      <c r="M105" s="34"/>
      <c r="N105" s="30">
        <v>0</v>
      </c>
      <c r="O105" s="30">
        <v>0</v>
      </c>
      <c r="P105" s="2"/>
      <c r="Q105" s="2"/>
    </row>
    <row r="106" spans="1:28" x14ac:dyDescent="0.3">
      <c r="A106" s="35">
        <f t="shared" si="15"/>
        <v>44</v>
      </c>
      <c r="B106" s="35">
        <v>2</v>
      </c>
      <c r="C106" s="14">
        <v>43305.895833333336</v>
      </c>
      <c r="D106" s="18">
        <v>2.4378673769999999</v>
      </c>
      <c r="E106" s="19">
        <f t="shared" si="16"/>
        <v>2.4378673769999999</v>
      </c>
      <c r="F106" s="16">
        <v>5.3364930000000003E-3</v>
      </c>
      <c r="G106" s="10">
        <f t="shared" si="19"/>
        <v>0</v>
      </c>
      <c r="H106" s="10">
        <f t="shared" si="20"/>
        <v>0</v>
      </c>
      <c r="I106" s="73">
        <f t="shared" si="13"/>
        <v>0</v>
      </c>
      <c r="J106" s="9">
        <f>IF(F106&gt;VLOOKUP($B$16,$B$2:$F$9,5,FALSE),MAX(N106,-F106*(VLOOKUP(B106,$B$2:$E$9,4,FALSE)),-2*(6-H105),-(VLOOKUP(B106,$B$2:$G$9,6,FALSE)-D106)),0)</f>
        <v>0</v>
      </c>
      <c r="K106" s="9">
        <f t="shared" si="17"/>
        <v>0</v>
      </c>
      <c r="L106" s="11"/>
      <c r="M106" s="11"/>
      <c r="N106" s="8">
        <v>0</v>
      </c>
      <c r="O106" s="8">
        <v>0</v>
      </c>
      <c r="P106" s="2"/>
      <c r="Q106" s="2"/>
    </row>
    <row r="107" spans="1:28" x14ac:dyDescent="0.3">
      <c r="A107" s="35">
        <f t="shared" si="15"/>
        <v>45</v>
      </c>
      <c r="B107" s="35">
        <v>2</v>
      </c>
      <c r="C107" s="14">
        <v>43305.916666666664</v>
      </c>
      <c r="D107" s="18">
        <v>2.1379104299999998</v>
      </c>
      <c r="E107" s="19">
        <f t="shared" si="16"/>
        <v>2.1379104299999998</v>
      </c>
      <c r="F107" s="16">
        <v>5.3364930000000003E-3</v>
      </c>
      <c r="G107" s="10">
        <f t="shared" si="19"/>
        <v>0</v>
      </c>
      <c r="H107" s="10">
        <f t="shared" si="20"/>
        <v>0</v>
      </c>
      <c r="I107" s="73">
        <f t="shared" si="13"/>
        <v>0</v>
      </c>
      <c r="J107" s="9">
        <f>IF(F107&gt;VLOOKUP($B$16,$B$2:$F$9,5,FALSE),MAX(N107,-F107*(VLOOKUP(B107,$B$2:$E$9,4,FALSE)),-2*(6-H106),-(VLOOKUP(B107,$B$2:$G$9,6,FALSE)-D107)),0)</f>
        <v>0</v>
      </c>
      <c r="K107" s="9">
        <f t="shared" si="17"/>
        <v>0</v>
      </c>
      <c r="L107" s="11"/>
      <c r="M107" s="11"/>
      <c r="N107" s="8">
        <v>0</v>
      </c>
      <c r="O107" s="8">
        <v>0</v>
      </c>
      <c r="P107" s="2"/>
      <c r="Q107" s="2"/>
    </row>
    <row r="108" spans="1:28" x14ac:dyDescent="0.3">
      <c r="A108" s="35">
        <f t="shared" si="15"/>
        <v>46</v>
      </c>
      <c r="B108" s="35">
        <v>2</v>
      </c>
      <c r="C108" s="14">
        <v>43305.9375</v>
      </c>
      <c r="D108" s="18">
        <v>1.8782934659999999</v>
      </c>
      <c r="E108" s="19">
        <f t="shared" si="16"/>
        <v>1.8782934659999999</v>
      </c>
      <c r="F108" s="16">
        <v>5.3364930000000003E-3</v>
      </c>
      <c r="G108" s="10">
        <f t="shared" si="19"/>
        <v>0</v>
      </c>
      <c r="H108" s="10">
        <f t="shared" si="20"/>
        <v>0</v>
      </c>
      <c r="I108" s="73">
        <f t="shared" si="13"/>
        <v>0</v>
      </c>
      <c r="J108" s="9">
        <f>IF(F108&gt;VLOOKUP($B$16,$B$2:$F$9,5,FALSE),MAX(N108,-F108*(VLOOKUP(B108,$B$2:$E$9,4,FALSE)),-2*(6-H107),-(VLOOKUP(B108,$B$2:$G$9,6,FALSE)-D108)),0)</f>
        <v>0</v>
      </c>
      <c r="K108" s="9">
        <f t="shared" si="17"/>
        <v>0</v>
      </c>
      <c r="L108" s="11"/>
      <c r="M108" s="11"/>
      <c r="N108" s="8">
        <v>0</v>
      </c>
      <c r="O108" s="8">
        <v>0</v>
      </c>
      <c r="P108" s="2"/>
      <c r="Q108" s="2"/>
    </row>
    <row r="109" spans="1:28" x14ac:dyDescent="0.3">
      <c r="A109" s="35">
        <f t="shared" si="15"/>
        <v>47</v>
      </c>
      <c r="B109" s="35">
        <v>2</v>
      </c>
      <c r="C109" s="14">
        <v>43305.958333333336</v>
      </c>
      <c r="D109" s="18">
        <v>1.798332037</v>
      </c>
      <c r="E109" s="26">
        <f t="shared" si="16"/>
        <v>1.798332037</v>
      </c>
      <c r="F109" s="16">
        <v>1.831472E-3</v>
      </c>
      <c r="G109" s="10">
        <f t="shared" si="19"/>
        <v>0</v>
      </c>
      <c r="H109" s="10">
        <f t="shared" si="20"/>
        <v>0</v>
      </c>
      <c r="I109" s="73">
        <f t="shared" si="13"/>
        <v>0</v>
      </c>
      <c r="J109" s="9">
        <f>IF(F109&gt;VLOOKUP($B$16,$B$2:$F$9,5,FALSE),MAX(N109,-F109*(VLOOKUP(B109,$B$2:$E$9,4,FALSE)),-2*(6-H108),-(VLOOKUP(B109,$B$2:$G$9,6,FALSE)-D109)),0)</f>
        <v>0</v>
      </c>
      <c r="K109" s="9">
        <f t="shared" si="17"/>
        <v>0</v>
      </c>
      <c r="L109" s="28"/>
      <c r="M109" s="28"/>
      <c r="N109" s="23">
        <v>0</v>
      </c>
      <c r="O109" s="23">
        <v>0</v>
      </c>
      <c r="P109" s="2"/>
      <c r="Q109" s="2"/>
    </row>
    <row r="110" spans="1:28" s="91" customFormat="1" ht="15" thickBot="1" x14ac:dyDescent="0.35">
      <c r="A110" s="83">
        <f t="shared" si="15"/>
        <v>48</v>
      </c>
      <c r="B110" s="83">
        <v>2</v>
      </c>
      <c r="C110" s="84">
        <v>43305.979166666664</v>
      </c>
      <c r="D110" s="85">
        <v>1.6990239389999999</v>
      </c>
      <c r="E110" s="86">
        <f t="shared" si="16"/>
        <v>1.6990239389999999</v>
      </c>
      <c r="F110" s="87">
        <v>1.831472E-3</v>
      </c>
      <c r="G110" s="133">
        <f t="shared" si="19"/>
        <v>0</v>
      </c>
      <c r="H110" s="133">
        <f t="shared" si="20"/>
        <v>0</v>
      </c>
      <c r="I110" s="94">
        <f t="shared" si="13"/>
        <v>0</v>
      </c>
      <c r="J110" s="9">
        <f>IF(F110&gt;VLOOKUP($B$16,$B$2:$F$9,5,FALSE),MAX(N110,-F110*(VLOOKUP(B110,$B$2:$E$9,4,FALSE)),-2*(6-H109),-(VLOOKUP(B110,$B$2:$G$9,6,FALSE)-D110)),0)</f>
        <v>0</v>
      </c>
      <c r="K110" s="92">
        <f t="shared" si="17"/>
        <v>0</v>
      </c>
      <c r="L110" s="88"/>
      <c r="M110" s="88"/>
      <c r="N110" s="89">
        <v>0</v>
      </c>
      <c r="O110" s="89">
        <v>0</v>
      </c>
      <c r="P110" s="90"/>
      <c r="Q110" s="90"/>
    </row>
    <row r="111" spans="1:28" s="122" customFormat="1" x14ac:dyDescent="0.3">
      <c r="A111" s="113">
        <v>1</v>
      </c>
      <c r="B111" s="113">
        <v>3</v>
      </c>
      <c r="C111" s="114">
        <v>43306</v>
      </c>
      <c r="D111" s="115">
        <v>1.7096580219999999</v>
      </c>
      <c r="E111" s="116">
        <f t="shared" si="16"/>
        <v>1.7096580219999999</v>
      </c>
      <c r="F111" s="117">
        <v>1.831472E-3</v>
      </c>
      <c r="G111" s="118">
        <f t="shared" si="19"/>
        <v>0</v>
      </c>
      <c r="H111" s="118">
        <f t="shared" si="20"/>
        <v>0</v>
      </c>
      <c r="I111" s="119">
        <v>0</v>
      </c>
      <c r="J111" s="9">
        <f>IF(F111&gt;VLOOKUP($B$16,$B$2:$F$9,5,FALSE),MAX(N111,-F111*(VLOOKUP(B111,$B$2:$E$9,4,FALSE)),-2*(6-H110),-(VLOOKUP(B111,$B$2:$G$9,6,FALSE)-D111)),0)</f>
        <v>0</v>
      </c>
      <c r="K111" s="119">
        <f t="shared" si="17"/>
        <v>0</v>
      </c>
      <c r="L111" s="119">
        <f t="shared" ref="L111:L141" si="21">MIN(J111,F111)</f>
        <v>0</v>
      </c>
      <c r="M111" s="119">
        <f>J111-L111</f>
        <v>0</v>
      </c>
      <c r="N111" s="120">
        <v>-2.5</v>
      </c>
      <c r="O111" s="120">
        <v>0</v>
      </c>
      <c r="P111" s="121"/>
      <c r="Q111" s="121"/>
    </row>
    <row r="112" spans="1:28" x14ac:dyDescent="0.3">
      <c r="A112" s="35">
        <f>A111+1</f>
        <v>2</v>
      </c>
      <c r="B112" s="35">
        <v>3</v>
      </c>
      <c r="C112" s="14">
        <v>43306.020833333336</v>
      </c>
      <c r="D112" s="18">
        <v>1.6377309980000001</v>
      </c>
      <c r="E112" s="19">
        <f t="shared" si="16"/>
        <v>1.6377309980000001</v>
      </c>
      <c r="F112" s="16">
        <v>1.831472E-3</v>
      </c>
      <c r="G112" s="10">
        <f t="shared" si="19"/>
        <v>0</v>
      </c>
      <c r="H112" s="10">
        <f t="shared" si="20"/>
        <v>0</v>
      </c>
      <c r="I112" s="73">
        <f>MAX(0,MIN(O112,H111*2,(D112-Sheet1!$C$3)))</f>
        <v>0</v>
      </c>
      <c r="J112" s="9">
        <f>IF(F112&gt;VLOOKUP($B$16,$B$2:$F$9,5,FALSE),MAX(N112,-F112*(VLOOKUP(B112,$B$2:$E$9,4,FALSE)),-2*(6-H111),-(VLOOKUP(B112,$B$2:$G$9,6,FALSE)-D112)),0)</f>
        <v>0</v>
      </c>
      <c r="K112" s="9">
        <f t="shared" si="17"/>
        <v>0</v>
      </c>
      <c r="L112" s="9">
        <f t="shared" si="21"/>
        <v>0</v>
      </c>
      <c r="M112" s="9">
        <f t="shared" ref="M112:M141" si="22">J112-L112</f>
        <v>0</v>
      </c>
      <c r="N112" s="8">
        <v>-2.5</v>
      </c>
      <c r="O112" s="8">
        <v>0</v>
      </c>
      <c r="P112" s="2"/>
      <c r="Q112" s="2"/>
    </row>
    <row r="113" spans="1:17" x14ac:dyDescent="0.3">
      <c r="A113" s="35">
        <f t="shared" ref="A113:A158" si="23">A112+1</f>
        <v>3</v>
      </c>
      <c r="B113" s="35">
        <v>3</v>
      </c>
      <c r="C113" s="14">
        <v>43306.041666666664</v>
      </c>
      <c r="D113" s="18">
        <v>1.5499976900000001</v>
      </c>
      <c r="E113" s="19">
        <f t="shared" si="16"/>
        <v>1.5499976900000001</v>
      </c>
      <c r="F113" s="16">
        <v>1.831472E-3</v>
      </c>
      <c r="G113" s="10">
        <f t="shared" si="19"/>
        <v>0</v>
      </c>
      <c r="H113" s="10">
        <f t="shared" si="20"/>
        <v>0</v>
      </c>
      <c r="I113" s="73">
        <f>MAX(0,MIN(O113,H112*2,(D113-Sheet1!$C$3)))</f>
        <v>0</v>
      </c>
      <c r="J113" s="9">
        <f>IF(F113&gt;VLOOKUP($B$16,$B$2:$F$9,5,FALSE),MAX(N113,-F113*(VLOOKUP(B113,$B$2:$E$9,4,FALSE)),-2*(6-H112),-(VLOOKUP(B113,$B$2:$G$9,6,FALSE)-D113)),0)</f>
        <v>0</v>
      </c>
      <c r="K113" s="9">
        <f t="shared" si="17"/>
        <v>0</v>
      </c>
      <c r="L113" s="9">
        <f t="shared" si="21"/>
        <v>0</v>
      </c>
      <c r="M113" s="9">
        <f t="shared" si="22"/>
        <v>0</v>
      </c>
      <c r="N113" s="8">
        <v>-2.5</v>
      </c>
      <c r="O113" s="8">
        <v>0</v>
      </c>
      <c r="P113" s="2"/>
      <c r="Q113" s="2"/>
    </row>
    <row r="114" spans="1:17" x14ac:dyDescent="0.3">
      <c r="A114" s="35">
        <f t="shared" si="23"/>
        <v>4</v>
      </c>
      <c r="B114" s="35">
        <v>3</v>
      </c>
      <c r="C114" s="14">
        <v>43306.0625</v>
      </c>
      <c r="D114" s="18">
        <v>1.5099977710000001</v>
      </c>
      <c r="E114" s="19">
        <f t="shared" si="16"/>
        <v>1.5099977710000001</v>
      </c>
      <c r="F114" s="16">
        <v>1.831472E-3</v>
      </c>
      <c r="G114" s="10">
        <f t="shared" si="19"/>
        <v>0</v>
      </c>
      <c r="H114" s="10">
        <f t="shared" si="20"/>
        <v>0</v>
      </c>
      <c r="I114" s="73">
        <f>MAX(0,MIN(O114,H113*2,(D114-Sheet1!$C$3)))</f>
        <v>0</v>
      </c>
      <c r="J114" s="9">
        <f>IF(F114&gt;VLOOKUP($B$16,$B$2:$F$9,5,FALSE),MAX(N114,-F114*(VLOOKUP(B114,$B$2:$E$9,4,FALSE)),-2*(6-H113),-(VLOOKUP(B114,$B$2:$G$9,6,FALSE)-D114)),0)</f>
        <v>0</v>
      </c>
      <c r="K114" s="9">
        <f t="shared" si="17"/>
        <v>0</v>
      </c>
      <c r="L114" s="9">
        <f t="shared" si="21"/>
        <v>0</v>
      </c>
      <c r="M114" s="9">
        <f t="shared" si="22"/>
        <v>0</v>
      </c>
      <c r="N114" s="8">
        <v>-2.5</v>
      </c>
      <c r="O114" s="8">
        <v>0</v>
      </c>
      <c r="P114" s="2"/>
      <c r="Q114" s="2"/>
    </row>
    <row r="115" spans="1:17" x14ac:dyDescent="0.3">
      <c r="A115" s="35">
        <f t="shared" si="23"/>
        <v>5</v>
      </c>
      <c r="B115" s="35">
        <v>3</v>
      </c>
      <c r="C115" s="14">
        <v>43306.083333333336</v>
      </c>
      <c r="D115" s="18">
        <v>1.505703875</v>
      </c>
      <c r="E115" s="19">
        <f t="shared" si="16"/>
        <v>1.505703875</v>
      </c>
      <c r="F115" s="16">
        <v>1.831472E-3</v>
      </c>
      <c r="G115" s="10">
        <f t="shared" si="19"/>
        <v>0</v>
      </c>
      <c r="H115" s="10">
        <f t="shared" si="20"/>
        <v>0</v>
      </c>
      <c r="I115" s="73">
        <f>MAX(0,MIN(O115,H114*2,(D115-Sheet1!$C$3)))</f>
        <v>0</v>
      </c>
      <c r="J115" s="9">
        <f>IF(F115&gt;VLOOKUP($B$16,$B$2:$F$9,5,FALSE),MAX(N115,-F115*(VLOOKUP(B115,$B$2:$E$9,4,FALSE)),-2*(6-H114),-(VLOOKUP(B115,$B$2:$G$9,6,FALSE)-D115)),0)</f>
        <v>0</v>
      </c>
      <c r="K115" s="9">
        <f t="shared" si="17"/>
        <v>0</v>
      </c>
      <c r="L115" s="9">
        <f t="shared" si="21"/>
        <v>0</v>
      </c>
      <c r="M115" s="9">
        <f t="shared" si="22"/>
        <v>0</v>
      </c>
      <c r="N115" s="8">
        <v>-2.5</v>
      </c>
      <c r="O115" s="8">
        <v>0</v>
      </c>
      <c r="P115" s="2"/>
      <c r="Q115" s="2"/>
    </row>
    <row r="116" spans="1:17" x14ac:dyDescent="0.3">
      <c r="A116" s="35">
        <f t="shared" si="23"/>
        <v>6</v>
      </c>
      <c r="B116" s="35">
        <v>3</v>
      </c>
      <c r="C116" s="14">
        <v>43306.104166666664</v>
      </c>
      <c r="D116" s="18">
        <v>1.471773835</v>
      </c>
      <c r="E116" s="19">
        <f t="shared" si="16"/>
        <v>1.471773835</v>
      </c>
      <c r="F116" s="16">
        <v>1.831472E-3</v>
      </c>
      <c r="G116" s="10">
        <f t="shared" si="19"/>
        <v>0</v>
      </c>
      <c r="H116" s="10">
        <f t="shared" si="20"/>
        <v>0</v>
      </c>
      <c r="I116" s="73">
        <f>MAX(0,MIN(O116,H115*2,(D116-Sheet1!$C$3)))</f>
        <v>0</v>
      </c>
      <c r="J116" s="9">
        <f>IF(F116&gt;VLOOKUP($B$16,$B$2:$F$9,5,FALSE),MAX(N116,-F116*(VLOOKUP(B116,$B$2:$E$9,4,FALSE)),-2*(6-H115),-(VLOOKUP(B116,$B$2:$G$9,6,FALSE)-D116)),0)</f>
        <v>0</v>
      </c>
      <c r="K116" s="9">
        <f t="shared" si="17"/>
        <v>0</v>
      </c>
      <c r="L116" s="9">
        <f t="shared" si="21"/>
        <v>0</v>
      </c>
      <c r="M116" s="9">
        <f t="shared" si="22"/>
        <v>0</v>
      </c>
      <c r="N116" s="8">
        <v>-2.5</v>
      </c>
      <c r="O116" s="8">
        <v>0</v>
      </c>
      <c r="P116" s="2"/>
      <c r="Q116" s="2"/>
    </row>
    <row r="117" spans="1:17" x14ac:dyDescent="0.3">
      <c r="A117" s="35">
        <f t="shared" si="23"/>
        <v>7</v>
      </c>
      <c r="B117" s="35">
        <v>3</v>
      </c>
      <c r="C117" s="14">
        <v>43306.125</v>
      </c>
      <c r="D117" s="18">
        <v>1.4655074859999999</v>
      </c>
      <c r="E117" s="19">
        <f t="shared" si="16"/>
        <v>1.4655074859999999</v>
      </c>
      <c r="F117" s="16">
        <v>1.831472E-3</v>
      </c>
      <c r="G117" s="10">
        <f t="shared" si="19"/>
        <v>0</v>
      </c>
      <c r="H117" s="10">
        <f t="shared" si="20"/>
        <v>0</v>
      </c>
      <c r="I117" s="73">
        <f>MAX(0,MIN(O117,H116*2,(D117-Sheet1!$C$3)))</f>
        <v>0</v>
      </c>
      <c r="J117" s="9">
        <f>IF(F117&gt;VLOOKUP($B$16,$B$2:$F$9,5,FALSE),MAX(N117,-F117*(VLOOKUP(B117,$B$2:$E$9,4,FALSE)),-2*(6-H116),-(VLOOKUP(B117,$B$2:$G$9,6,FALSE)-D117)),0)</f>
        <v>0</v>
      </c>
      <c r="K117" s="9">
        <f t="shared" si="17"/>
        <v>0</v>
      </c>
      <c r="L117" s="9">
        <f t="shared" si="21"/>
        <v>0</v>
      </c>
      <c r="M117" s="9">
        <f t="shared" si="22"/>
        <v>0</v>
      </c>
      <c r="N117" s="8">
        <v>-2.5</v>
      </c>
      <c r="O117" s="8">
        <v>0</v>
      </c>
      <c r="P117" s="2"/>
      <c r="Q117" s="2"/>
    </row>
    <row r="118" spans="1:17" x14ac:dyDescent="0.3">
      <c r="A118" s="35">
        <f t="shared" si="23"/>
        <v>8</v>
      </c>
      <c r="B118" s="35">
        <v>3</v>
      </c>
      <c r="C118" s="14">
        <v>43306.145833333336</v>
      </c>
      <c r="D118" s="18">
        <v>1.4347148860000001</v>
      </c>
      <c r="E118" s="19">
        <f t="shared" si="16"/>
        <v>1.4347148860000001</v>
      </c>
      <c r="F118" s="16">
        <v>1.831472E-3</v>
      </c>
      <c r="G118" s="10">
        <f t="shared" si="19"/>
        <v>0</v>
      </c>
      <c r="H118" s="10">
        <f t="shared" si="20"/>
        <v>0</v>
      </c>
      <c r="I118" s="73">
        <f>MAX(0,MIN(O118,H117*2,(D118-Sheet1!$C$3)))</f>
        <v>0</v>
      </c>
      <c r="J118" s="9">
        <f>IF(F118&gt;VLOOKUP($B$16,$B$2:$F$9,5,FALSE),MAX(N118,-F118*(VLOOKUP(B118,$B$2:$E$9,4,FALSE)),-2*(6-H117),-(VLOOKUP(B118,$B$2:$G$9,6,FALSE)-D118)),0)</f>
        <v>0</v>
      </c>
      <c r="K118" s="9">
        <f t="shared" si="17"/>
        <v>0</v>
      </c>
      <c r="L118" s="9">
        <f t="shared" si="21"/>
        <v>0</v>
      </c>
      <c r="M118" s="9">
        <f t="shared" si="22"/>
        <v>0</v>
      </c>
      <c r="N118" s="8">
        <v>-2.5</v>
      </c>
      <c r="O118" s="8">
        <v>0</v>
      </c>
      <c r="P118" s="2"/>
      <c r="Q118" s="2"/>
    </row>
    <row r="119" spans="1:17" x14ac:dyDescent="0.3">
      <c r="A119" s="35">
        <f t="shared" si="23"/>
        <v>9</v>
      </c>
      <c r="B119" s="35">
        <v>3</v>
      </c>
      <c r="C119" s="14">
        <v>43306.166666666664</v>
      </c>
      <c r="D119" s="18">
        <v>1.5368697280000001</v>
      </c>
      <c r="E119" s="19">
        <f t="shared" si="16"/>
        <v>1.5368697280000001</v>
      </c>
      <c r="F119" s="16">
        <v>9.4638469999999992E-3</v>
      </c>
      <c r="G119" s="10">
        <f t="shared" si="19"/>
        <v>0</v>
      </c>
      <c r="H119" s="10">
        <f t="shared" si="20"/>
        <v>0</v>
      </c>
      <c r="I119" s="73">
        <f>MAX(0,MIN(O119,H118*2,(D119-Sheet1!$C$3)))</f>
        <v>0</v>
      </c>
      <c r="J119" s="9">
        <f>IF(F119&gt;VLOOKUP($B$16,$B$2:$F$9,5,FALSE),MAX(N119,-F119*(VLOOKUP(B119,$B$2:$E$9,4,FALSE)),-2*(6-H118),-(VLOOKUP(B119,$B$2:$G$9,6,FALSE)-D119)),0)</f>
        <v>0</v>
      </c>
      <c r="K119" s="9">
        <f t="shared" si="17"/>
        <v>0</v>
      </c>
      <c r="L119" s="9">
        <f t="shared" si="21"/>
        <v>0</v>
      </c>
      <c r="M119" s="9">
        <f t="shared" si="22"/>
        <v>0</v>
      </c>
      <c r="N119" s="8">
        <v>-2.5</v>
      </c>
      <c r="O119" s="8">
        <v>0</v>
      </c>
      <c r="P119" s="2"/>
      <c r="Q119" s="2"/>
    </row>
    <row r="120" spans="1:17" x14ac:dyDescent="0.3">
      <c r="A120" s="35">
        <f t="shared" si="23"/>
        <v>10</v>
      </c>
      <c r="B120" s="35">
        <v>3</v>
      </c>
      <c r="C120" s="14">
        <v>43306.1875</v>
      </c>
      <c r="D120" s="18">
        <v>1.6675015820000001</v>
      </c>
      <c r="E120" s="19">
        <f t="shared" si="16"/>
        <v>1.6675015820000001</v>
      </c>
      <c r="F120" s="16">
        <v>9.4638469999999992E-3</v>
      </c>
      <c r="G120" s="10">
        <f t="shared" si="19"/>
        <v>0</v>
      </c>
      <c r="H120" s="10">
        <f t="shared" si="20"/>
        <v>0</v>
      </c>
      <c r="I120" s="73">
        <f>MAX(0,MIN(O120,H119*2,(D120-Sheet1!$C$3)))</f>
        <v>0</v>
      </c>
      <c r="J120" s="9">
        <f>IF(F120&gt;VLOOKUP($B$16,$B$2:$F$9,5,FALSE),MAX(N120,-F120*(VLOOKUP(B120,$B$2:$E$9,4,FALSE)),-2*(6-H119),-(VLOOKUP(B120,$B$2:$G$9,6,FALSE)-D120)),0)</f>
        <v>0</v>
      </c>
      <c r="K120" s="9">
        <f t="shared" si="17"/>
        <v>0</v>
      </c>
      <c r="L120" s="9">
        <f t="shared" si="21"/>
        <v>0</v>
      </c>
      <c r="M120" s="9">
        <f t="shared" si="22"/>
        <v>0</v>
      </c>
      <c r="N120" s="8">
        <v>-2.5</v>
      </c>
      <c r="O120" s="8">
        <v>0</v>
      </c>
      <c r="P120" s="2"/>
      <c r="Q120" s="2"/>
    </row>
    <row r="121" spans="1:17" x14ac:dyDescent="0.3">
      <c r="A121" s="35">
        <f t="shared" si="23"/>
        <v>11</v>
      </c>
      <c r="B121" s="35">
        <v>3</v>
      </c>
      <c r="C121" s="14">
        <v>43306.208333333336</v>
      </c>
      <c r="D121" s="18">
        <v>1.9608619540000001</v>
      </c>
      <c r="E121" s="19">
        <f t="shared" si="16"/>
        <v>1.9608619540000001</v>
      </c>
      <c r="F121" s="16">
        <v>0.21371257299999999</v>
      </c>
      <c r="G121" s="10">
        <f t="shared" si="19"/>
        <v>0</v>
      </c>
      <c r="H121" s="10">
        <f t="shared" si="20"/>
        <v>0</v>
      </c>
      <c r="I121" s="73">
        <f>MAX(0,MIN(O121,H120*2,(D121-Sheet1!$C$3)))</f>
        <v>0</v>
      </c>
      <c r="J121" s="9">
        <f>IF(F121&gt;VLOOKUP($B$16,$B$2:$F$9,5,FALSE),MAX(N121,-F121*(VLOOKUP(B121,$B$2:$E$9,4,FALSE)),-2*(6-H120),-(VLOOKUP(B121,$B$2:$G$9,6,FALSE)-D121)),0)</f>
        <v>0</v>
      </c>
      <c r="K121" s="9">
        <f t="shared" si="17"/>
        <v>0</v>
      </c>
      <c r="L121" s="9">
        <f t="shared" si="21"/>
        <v>0</v>
      </c>
      <c r="M121" s="9">
        <f t="shared" si="22"/>
        <v>0</v>
      </c>
      <c r="N121" s="8">
        <v>-2.5</v>
      </c>
      <c r="O121" s="8">
        <v>0</v>
      </c>
      <c r="P121" s="2"/>
      <c r="Q121" s="2"/>
    </row>
    <row r="122" spans="1:17" x14ac:dyDescent="0.3">
      <c r="A122" s="35">
        <f t="shared" si="23"/>
        <v>12</v>
      </c>
      <c r="B122" s="35">
        <v>3</v>
      </c>
      <c r="C122" s="14">
        <v>43306.229166666664</v>
      </c>
      <c r="D122" s="18">
        <v>2.2431104080000002</v>
      </c>
      <c r="E122" s="19">
        <f t="shared" si="16"/>
        <v>2.2431104080000002</v>
      </c>
      <c r="F122" s="16">
        <v>0.21371257299999999</v>
      </c>
      <c r="G122" s="10">
        <f t="shared" si="19"/>
        <v>0</v>
      </c>
      <c r="H122" s="10">
        <f t="shared" si="20"/>
        <v>0</v>
      </c>
      <c r="I122" s="73">
        <f>MAX(0,MIN(O122,H121*2,(D122-Sheet1!$C$3)))</f>
        <v>0</v>
      </c>
      <c r="J122" s="9">
        <f>IF(F122&gt;VLOOKUP($B$16,$B$2:$F$9,5,FALSE),MAX(N122,-F122*(VLOOKUP(B122,$B$2:$E$9,4,FALSE)),-2*(6-H121),-(VLOOKUP(B122,$B$2:$G$9,6,FALSE)-D122)),0)</f>
        <v>0</v>
      </c>
      <c r="K122" s="9">
        <f t="shared" si="17"/>
        <v>0</v>
      </c>
      <c r="L122" s="9">
        <f t="shared" si="21"/>
        <v>0</v>
      </c>
      <c r="M122" s="9">
        <f t="shared" si="22"/>
        <v>0</v>
      </c>
      <c r="N122" s="8">
        <v>-2.5</v>
      </c>
      <c r="O122" s="8">
        <v>0</v>
      </c>
      <c r="P122" s="2"/>
      <c r="Q122" s="2"/>
    </row>
    <row r="123" spans="1:17" x14ac:dyDescent="0.3">
      <c r="A123" s="35">
        <f t="shared" si="23"/>
        <v>13</v>
      </c>
      <c r="B123" s="35">
        <v>3</v>
      </c>
      <c r="C123" s="14">
        <v>43306.25</v>
      </c>
      <c r="D123" s="18">
        <v>2.635247245</v>
      </c>
      <c r="E123" s="19">
        <f t="shared" si="16"/>
        <v>2.635247245</v>
      </c>
      <c r="F123" s="16">
        <v>0.47486701599999998</v>
      </c>
      <c r="G123" s="10">
        <f t="shared" si="19"/>
        <v>0</v>
      </c>
      <c r="H123" s="10">
        <f t="shared" si="20"/>
        <v>0</v>
      </c>
      <c r="I123" s="73">
        <f>MAX(0,MIN(O123,H122*2,(D123-Sheet1!$C$3)))</f>
        <v>0</v>
      </c>
      <c r="J123" s="9">
        <f>IF(F123&gt;VLOOKUP($B$16,$B$2:$F$9,5,FALSE),MAX(N123,-F123*(VLOOKUP(B123,$B$2:$E$9,4,FALSE)),-2*(6-H122),-(VLOOKUP(B123,$B$2:$G$9,6,FALSE)-D123)),0)</f>
        <v>0</v>
      </c>
      <c r="K123" s="9">
        <f t="shared" si="17"/>
        <v>0</v>
      </c>
      <c r="L123" s="9">
        <f t="shared" si="21"/>
        <v>0</v>
      </c>
      <c r="M123" s="9">
        <f t="shared" si="22"/>
        <v>0</v>
      </c>
      <c r="N123" s="8">
        <v>-2.5</v>
      </c>
      <c r="O123" s="8">
        <v>0</v>
      </c>
      <c r="P123" s="2"/>
      <c r="Q123" s="2"/>
    </row>
    <row r="124" spans="1:17" x14ac:dyDescent="0.3">
      <c r="A124" s="35">
        <f t="shared" si="23"/>
        <v>14</v>
      </c>
      <c r="B124" s="35">
        <v>3</v>
      </c>
      <c r="C124" s="14">
        <v>43306.270833333336</v>
      </c>
      <c r="D124" s="18">
        <v>2.76680905</v>
      </c>
      <c r="E124" s="19">
        <f t="shared" si="16"/>
        <v>2.76680905</v>
      </c>
      <c r="F124" s="16">
        <v>0.70431911899999999</v>
      </c>
      <c r="G124" s="10">
        <f t="shared" si="19"/>
        <v>0</v>
      </c>
      <c r="H124" s="10">
        <f t="shared" si="20"/>
        <v>0</v>
      </c>
      <c r="I124" s="73">
        <f>MAX(0,MIN(O124,H123*2,(D124-Sheet1!$C$3)))</f>
        <v>0</v>
      </c>
      <c r="J124" s="9">
        <f>IF(F124&gt;VLOOKUP($B$16,$B$2:$F$9,5,FALSE),MAX(N124,-F124*(VLOOKUP(B124,$B$2:$E$9,4,FALSE)),-2*(6-H123),-(VLOOKUP(B124,$B$2:$G$9,6,FALSE)-D124)),0)</f>
        <v>0</v>
      </c>
      <c r="K124" s="9">
        <f t="shared" si="17"/>
        <v>0</v>
      </c>
      <c r="L124" s="9">
        <f t="shared" si="21"/>
        <v>0</v>
      </c>
      <c r="M124" s="9">
        <f t="shared" si="22"/>
        <v>0</v>
      </c>
      <c r="N124" s="8">
        <v>-2.5</v>
      </c>
      <c r="O124" s="8">
        <v>0</v>
      </c>
      <c r="P124" s="2"/>
      <c r="Q124" s="2"/>
    </row>
    <row r="125" spans="1:17" x14ac:dyDescent="0.3">
      <c r="A125" s="35">
        <f t="shared" si="23"/>
        <v>15</v>
      </c>
      <c r="B125" s="35">
        <v>3</v>
      </c>
      <c r="C125" s="14">
        <v>43306.291666666664</v>
      </c>
      <c r="D125" s="18">
        <v>2.8475052139999999</v>
      </c>
      <c r="E125" s="19">
        <f t="shared" si="16"/>
        <v>3.1615813880000001</v>
      </c>
      <c r="F125" s="16">
        <v>1.1859240529999999</v>
      </c>
      <c r="G125" s="10">
        <f t="shared" si="19"/>
        <v>0.31407617400000021</v>
      </c>
      <c r="H125" s="10">
        <f t="shared" si="20"/>
        <v>0.1570380870000001</v>
      </c>
      <c r="I125" s="73">
        <f>MAX(0,MIN(O125,H124*2,(D125-Sheet1!$C$3)))</f>
        <v>0</v>
      </c>
      <c r="J125" s="9">
        <f>IF(F125&gt;VLOOKUP($B$16,$B$2:$F$9,5,FALSE),MAX(N125,-F125*(VLOOKUP(B125,$B$2:$E$9,4,FALSE)),-2*(6-H124),-(VLOOKUP(B125,$B$2:$G$9,6,FALSE)-D125)),0)</f>
        <v>-0.31407617400000021</v>
      </c>
      <c r="K125" s="9">
        <f t="shared" si="17"/>
        <v>0</v>
      </c>
      <c r="L125" s="9">
        <f t="shared" si="21"/>
        <v>-0.31407617400000021</v>
      </c>
      <c r="M125" s="9">
        <f t="shared" si="22"/>
        <v>0</v>
      </c>
      <c r="N125" s="8">
        <v>-2.5</v>
      </c>
      <c r="O125" s="8">
        <v>0</v>
      </c>
      <c r="P125" s="2"/>
      <c r="Q125" s="2"/>
    </row>
    <row r="126" spans="1:17" x14ac:dyDescent="0.3">
      <c r="A126" s="35">
        <f t="shared" si="23"/>
        <v>16</v>
      </c>
      <c r="B126" s="35">
        <v>3</v>
      </c>
      <c r="C126" s="14">
        <v>43306.3125</v>
      </c>
      <c r="D126" s="18">
        <v>2.8229540439999998</v>
      </c>
      <c r="E126" s="19">
        <f t="shared" si="16"/>
        <v>3.1615813880000001</v>
      </c>
      <c r="F126" s="16">
        <v>1.420078516</v>
      </c>
      <c r="G126" s="10">
        <f t="shared" si="19"/>
        <v>0.33862734400000027</v>
      </c>
      <c r="H126" s="10">
        <f t="shared" si="20"/>
        <v>0.32635175900000024</v>
      </c>
      <c r="I126" s="73">
        <f>MAX(0,MIN(O126,H125*2,(D126-Sheet1!$C$3)))</f>
        <v>0</v>
      </c>
      <c r="J126" s="9">
        <f>IF(F126&gt;VLOOKUP($B$16,$B$2:$F$9,5,FALSE),MAX(N126,-F126*(VLOOKUP(B126,$B$2:$E$9,4,FALSE)),-2*(6-H125),-(VLOOKUP(B126,$B$2:$G$9,6,FALSE)-D126)),0)</f>
        <v>-0.33862734400000027</v>
      </c>
      <c r="K126" s="9">
        <f t="shared" si="17"/>
        <v>0</v>
      </c>
      <c r="L126" s="9">
        <f t="shared" si="21"/>
        <v>-0.33862734400000027</v>
      </c>
      <c r="M126" s="9">
        <f t="shared" si="22"/>
        <v>0</v>
      </c>
      <c r="N126" s="8">
        <v>-2.5</v>
      </c>
      <c r="O126" s="8">
        <v>0</v>
      </c>
      <c r="P126" s="2"/>
      <c r="Q126" s="2"/>
    </row>
    <row r="127" spans="1:17" x14ac:dyDescent="0.3">
      <c r="A127" s="35">
        <f t="shared" si="23"/>
        <v>17</v>
      </c>
      <c r="B127" s="35">
        <v>3</v>
      </c>
      <c r="C127" s="14">
        <v>43306.333333333336</v>
      </c>
      <c r="D127" s="18">
        <v>2.7104884600000001</v>
      </c>
      <c r="E127" s="19">
        <f t="shared" si="16"/>
        <v>3.1615813880000001</v>
      </c>
      <c r="F127" s="16">
        <v>1.81648612</v>
      </c>
      <c r="G127" s="10">
        <f t="shared" si="19"/>
        <v>0.451092928</v>
      </c>
      <c r="H127" s="10">
        <f t="shared" si="20"/>
        <v>0.55189822300000024</v>
      </c>
      <c r="I127" s="73">
        <f>MAX(0,MIN(O127,H126*2,(D127-Sheet1!$C$3)))</f>
        <v>0</v>
      </c>
      <c r="J127" s="9">
        <f>IF(F127&gt;VLOOKUP($B$16,$B$2:$F$9,5,FALSE),MAX(N127,-F127*(VLOOKUP(B127,$B$2:$E$9,4,FALSE)),-2*(6-H126),-(VLOOKUP(B127,$B$2:$G$9,6,FALSE)-D127)),0)</f>
        <v>-0.451092928</v>
      </c>
      <c r="K127" s="9">
        <f t="shared" si="17"/>
        <v>0</v>
      </c>
      <c r="L127" s="9">
        <f t="shared" si="21"/>
        <v>-0.451092928</v>
      </c>
      <c r="M127" s="9">
        <f t="shared" si="22"/>
        <v>0</v>
      </c>
      <c r="N127" s="8">
        <v>-2.5</v>
      </c>
      <c r="O127" s="8">
        <v>0</v>
      </c>
      <c r="P127" s="2"/>
      <c r="Q127" s="2"/>
    </row>
    <row r="128" spans="1:17" x14ac:dyDescent="0.3">
      <c r="A128" s="35">
        <f t="shared" si="23"/>
        <v>18</v>
      </c>
      <c r="B128" s="35">
        <v>3</v>
      </c>
      <c r="C128" s="14">
        <v>43306.354166666664</v>
      </c>
      <c r="D128" s="18">
        <v>2.677557706</v>
      </c>
      <c r="E128" s="19">
        <f t="shared" si="16"/>
        <v>3.1615813880000001</v>
      </c>
      <c r="F128" s="16">
        <v>2.0001134870000001</v>
      </c>
      <c r="G128" s="10">
        <f t="shared" si="19"/>
        <v>0.48402368200000012</v>
      </c>
      <c r="H128" s="10">
        <f t="shared" si="20"/>
        <v>0.7939100640000003</v>
      </c>
      <c r="I128" s="73">
        <f>MAX(0,MIN(O128,H127*2,(D128-Sheet1!$C$3)))</f>
        <v>0</v>
      </c>
      <c r="J128" s="9">
        <f>IF(F128&gt;VLOOKUP($B$16,$B$2:$F$9,5,FALSE),MAX(N128,-F128*(VLOOKUP(B128,$B$2:$E$9,4,FALSE)),-2*(6-H127),-(VLOOKUP(B128,$B$2:$G$9,6,FALSE)-D128)),0)</f>
        <v>-0.48402368200000012</v>
      </c>
      <c r="K128" s="9">
        <f t="shared" si="17"/>
        <v>0</v>
      </c>
      <c r="L128" s="9">
        <f t="shared" si="21"/>
        <v>-0.48402368200000012</v>
      </c>
      <c r="M128" s="9">
        <f t="shared" si="22"/>
        <v>0</v>
      </c>
      <c r="N128" s="8">
        <v>-2.5</v>
      </c>
      <c r="O128" s="8">
        <v>0</v>
      </c>
      <c r="P128" s="2"/>
      <c r="Q128" s="2"/>
    </row>
    <row r="129" spans="1:28" x14ac:dyDescent="0.3">
      <c r="A129" s="35">
        <f t="shared" si="23"/>
        <v>19</v>
      </c>
      <c r="B129" s="35">
        <v>3</v>
      </c>
      <c r="C129" s="14">
        <v>43306.375</v>
      </c>
      <c r="D129" s="18">
        <v>2.5261752020000001</v>
      </c>
      <c r="E129" s="19">
        <f t="shared" si="16"/>
        <v>3.1615813880000001</v>
      </c>
      <c r="F129" s="16">
        <v>2.8479108809999998</v>
      </c>
      <c r="G129" s="10">
        <f t="shared" si="19"/>
        <v>0.63540618599999998</v>
      </c>
      <c r="H129" s="10">
        <f t="shared" si="20"/>
        <v>1.1116131570000003</v>
      </c>
      <c r="I129" s="73">
        <f>MAX(0,MIN(O129,H128*2,(D129-Sheet1!$C$3)))</f>
        <v>0</v>
      </c>
      <c r="J129" s="9">
        <f>IF(F129&gt;VLOOKUP($B$16,$B$2:$F$9,5,FALSE),MAX(N129,-F129*(VLOOKUP(B129,$B$2:$E$9,4,FALSE)),-2*(6-H128),-(VLOOKUP(B129,$B$2:$G$9,6,FALSE)-D129)),0)</f>
        <v>-0.63540618599999998</v>
      </c>
      <c r="K129" s="9">
        <f t="shared" si="17"/>
        <v>0</v>
      </c>
      <c r="L129" s="9">
        <f t="shared" si="21"/>
        <v>-0.63540618599999998</v>
      </c>
      <c r="M129" s="9">
        <f t="shared" si="22"/>
        <v>0</v>
      </c>
      <c r="N129" s="8">
        <v>-2.5</v>
      </c>
      <c r="O129" s="8">
        <v>0</v>
      </c>
      <c r="P129" s="2"/>
      <c r="Q129" s="2"/>
    </row>
    <row r="130" spans="1:28" x14ac:dyDescent="0.3">
      <c r="A130" s="35">
        <f t="shared" si="23"/>
        <v>20</v>
      </c>
      <c r="B130" s="35">
        <v>3</v>
      </c>
      <c r="C130" s="14">
        <v>43306.395833333336</v>
      </c>
      <c r="D130" s="18">
        <v>2.478450397</v>
      </c>
      <c r="E130" s="19">
        <f t="shared" si="16"/>
        <v>3.1615813880000001</v>
      </c>
      <c r="F130" s="16">
        <v>2.9648921490000002</v>
      </c>
      <c r="G130" s="10">
        <f t="shared" si="19"/>
        <v>0.68313099100000008</v>
      </c>
      <c r="H130" s="10">
        <f t="shared" si="20"/>
        <v>1.4531786525000003</v>
      </c>
      <c r="I130" s="73">
        <f>MAX(0,MIN(O130,H129*2,(D130-Sheet1!$C$3)))</f>
        <v>0</v>
      </c>
      <c r="J130" s="9">
        <f>IF(F130&gt;VLOOKUP($B$16,$B$2:$F$9,5,FALSE),MAX(N130,-F130*(VLOOKUP(B130,$B$2:$E$9,4,FALSE)),-2*(6-H129),-(VLOOKUP(B130,$B$2:$G$9,6,FALSE)-D130)),0)</f>
        <v>-0.68313099100000008</v>
      </c>
      <c r="K130" s="9">
        <f t="shared" si="17"/>
        <v>0</v>
      </c>
      <c r="L130" s="9">
        <f t="shared" si="21"/>
        <v>-0.68313099100000008</v>
      </c>
      <c r="M130" s="9">
        <f t="shared" si="22"/>
        <v>0</v>
      </c>
      <c r="N130" s="8">
        <v>-2.5</v>
      </c>
      <c r="O130" s="8">
        <v>0</v>
      </c>
      <c r="P130" s="2"/>
      <c r="Q130" s="2"/>
    </row>
    <row r="131" spans="1:28" x14ac:dyDescent="0.3">
      <c r="A131" s="35">
        <f t="shared" si="23"/>
        <v>21</v>
      </c>
      <c r="B131" s="35">
        <v>3</v>
      </c>
      <c r="C131" s="14">
        <v>43306.416666666664</v>
      </c>
      <c r="D131" s="18">
        <v>2.3407295440000002</v>
      </c>
      <c r="E131" s="19">
        <f t="shared" si="16"/>
        <v>3.1615813880000001</v>
      </c>
      <c r="F131" s="16">
        <v>3.1653351779999999</v>
      </c>
      <c r="G131" s="10">
        <f t="shared" si="19"/>
        <v>0.82085184399999989</v>
      </c>
      <c r="H131" s="10">
        <f t="shared" si="20"/>
        <v>1.8636045745000003</v>
      </c>
      <c r="I131" s="73">
        <f>MAX(0,MIN(O131,H130*2,(D131-Sheet1!$C$3)))</f>
        <v>0</v>
      </c>
      <c r="J131" s="9">
        <f>IF(F131&gt;VLOOKUP($B$16,$B$2:$F$9,5,FALSE),MAX(N131,-F131*(VLOOKUP(B131,$B$2:$E$9,4,FALSE)),-2*(6-H130),-(VLOOKUP(B131,$B$2:$G$9,6,FALSE)-D131)),0)</f>
        <v>-0.82085184399999989</v>
      </c>
      <c r="K131" s="9">
        <f t="shared" si="17"/>
        <v>0</v>
      </c>
      <c r="L131" s="9">
        <f t="shared" si="21"/>
        <v>-0.82085184399999989</v>
      </c>
      <c r="M131" s="9">
        <f t="shared" si="22"/>
        <v>0</v>
      </c>
      <c r="N131" s="8">
        <v>-2.5</v>
      </c>
      <c r="O131" s="8">
        <v>0</v>
      </c>
      <c r="P131" s="2"/>
      <c r="Q131" s="2"/>
    </row>
    <row r="132" spans="1:28" x14ac:dyDescent="0.3">
      <c r="A132" s="35">
        <f t="shared" si="23"/>
        <v>22</v>
      </c>
      <c r="B132" s="35">
        <v>3</v>
      </c>
      <c r="C132" s="14">
        <v>43306.4375</v>
      </c>
      <c r="D132" s="18">
        <v>2.3149936439999999</v>
      </c>
      <c r="E132" s="19">
        <f t="shared" si="16"/>
        <v>3.1615813880000001</v>
      </c>
      <c r="F132" s="16">
        <v>3.21771121</v>
      </c>
      <c r="G132" s="10">
        <f t="shared" si="19"/>
        <v>0.84658774400000025</v>
      </c>
      <c r="H132" s="10">
        <f t="shared" si="20"/>
        <v>2.2868984465000004</v>
      </c>
      <c r="I132" s="73">
        <f>MAX(0,MIN(O132,H131*2,(D132-Sheet1!$C$3)))</f>
        <v>0</v>
      </c>
      <c r="J132" s="9">
        <f>IF(F132&gt;VLOOKUP($B$16,$B$2:$F$9,5,FALSE),MAX(N132,-F132*(VLOOKUP(B132,$B$2:$E$9,4,FALSE)),-2*(6-H131),-(VLOOKUP(B132,$B$2:$G$9,6,FALSE)-D132)),0)</f>
        <v>-0.84658774400000025</v>
      </c>
      <c r="K132" s="9">
        <f t="shared" si="17"/>
        <v>0</v>
      </c>
      <c r="L132" s="9">
        <f t="shared" si="21"/>
        <v>-0.84658774400000025</v>
      </c>
      <c r="M132" s="9">
        <f t="shared" si="22"/>
        <v>0</v>
      </c>
      <c r="N132" s="8">
        <v>-2.5</v>
      </c>
      <c r="O132" s="8">
        <v>0</v>
      </c>
      <c r="P132" s="2"/>
      <c r="Q132" s="2"/>
    </row>
    <row r="133" spans="1:28" x14ac:dyDescent="0.3">
      <c r="A133" s="35">
        <f t="shared" si="23"/>
        <v>23</v>
      </c>
      <c r="B133" s="35">
        <v>3</v>
      </c>
      <c r="C133" s="14">
        <v>43306.458333333336</v>
      </c>
      <c r="D133" s="18">
        <v>2.2981326609999999</v>
      </c>
      <c r="E133" s="19">
        <f t="shared" si="16"/>
        <v>3.1615813880000001</v>
      </c>
      <c r="F133" s="16">
        <v>3.5038995740000001</v>
      </c>
      <c r="G133" s="10">
        <f t="shared" si="19"/>
        <v>0.86344872700000019</v>
      </c>
      <c r="H133" s="10">
        <f t="shared" si="20"/>
        <v>2.7186228100000003</v>
      </c>
      <c r="I133" s="73">
        <f>MAX(0,MIN(O133,H132*2,(D133-Sheet1!$C$3)))</f>
        <v>0</v>
      </c>
      <c r="J133" s="9">
        <f>IF(F133&gt;VLOOKUP($B$16,$B$2:$F$9,5,FALSE),MAX(N133,-F133*(VLOOKUP(B133,$B$2:$E$9,4,FALSE)),-2*(6-H132),-(VLOOKUP(B133,$B$2:$G$9,6,FALSE)-D133)),0)</f>
        <v>-0.86344872700000019</v>
      </c>
      <c r="K133" s="9">
        <f t="shared" si="17"/>
        <v>0</v>
      </c>
      <c r="L133" s="9">
        <f t="shared" si="21"/>
        <v>-0.86344872700000019</v>
      </c>
      <c r="M133" s="9">
        <f t="shared" si="22"/>
        <v>0</v>
      </c>
      <c r="N133" s="8">
        <v>-2.5</v>
      </c>
      <c r="O133" s="8">
        <v>0</v>
      </c>
      <c r="P133" s="2"/>
      <c r="Q133" s="2"/>
    </row>
    <row r="134" spans="1:28" x14ac:dyDescent="0.3">
      <c r="A134" s="35">
        <f t="shared" si="23"/>
        <v>24</v>
      </c>
      <c r="B134" s="35">
        <v>3</v>
      </c>
      <c r="C134" s="14">
        <v>43306.479166666664</v>
      </c>
      <c r="D134" s="18">
        <v>2.2696045659999999</v>
      </c>
      <c r="E134" s="19">
        <f t="shared" si="16"/>
        <v>3.1615813880000001</v>
      </c>
      <c r="F134" s="16">
        <v>3.521219254</v>
      </c>
      <c r="G134" s="10">
        <f t="shared" si="19"/>
        <v>0.89197682200000017</v>
      </c>
      <c r="H134" s="10">
        <f t="shared" si="20"/>
        <v>3.1646112210000004</v>
      </c>
      <c r="I134" s="73">
        <f>MAX(0,MIN(O134,H133*2,(D134-Sheet1!$C$3)))</f>
        <v>0</v>
      </c>
      <c r="J134" s="9">
        <f>IF(F134&gt;VLOOKUP($B$16,$B$2:$F$9,5,FALSE),MAX(N134,-F134*(VLOOKUP(B134,$B$2:$E$9,4,FALSE)),-2*(6-H133),-(VLOOKUP(B134,$B$2:$G$9,6,FALSE)-D134)),0)</f>
        <v>-0.89197682200000017</v>
      </c>
      <c r="K134" s="9">
        <f t="shared" si="17"/>
        <v>0</v>
      </c>
      <c r="L134" s="9">
        <f t="shared" si="21"/>
        <v>-0.89197682200000017</v>
      </c>
      <c r="M134" s="9">
        <f t="shared" si="22"/>
        <v>0</v>
      </c>
      <c r="N134" s="8">
        <v>-2.5</v>
      </c>
      <c r="O134" s="8">
        <v>0</v>
      </c>
      <c r="P134" s="2"/>
      <c r="Q134" s="2"/>
    </row>
    <row r="135" spans="1:28" x14ac:dyDescent="0.3">
      <c r="A135" s="35">
        <f t="shared" si="23"/>
        <v>25</v>
      </c>
      <c r="B135" s="35">
        <v>3</v>
      </c>
      <c r="C135" s="14">
        <v>43306.5</v>
      </c>
      <c r="D135" s="18">
        <v>2.221624104</v>
      </c>
      <c r="E135" s="19">
        <f t="shared" si="16"/>
        <v>3.1615813880000001</v>
      </c>
      <c r="F135" s="16">
        <v>3.6039841180000001</v>
      </c>
      <c r="G135" s="10">
        <f t="shared" si="19"/>
        <v>0.93995728400000012</v>
      </c>
      <c r="H135" s="10">
        <f t="shared" si="20"/>
        <v>3.6345898630000004</v>
      </c>
      <c r="I135" s="73">
        <f>MAX(0,MIN(O135,H134*2,(D135-Sheet1!$C$3)))</f>
        <v>0</v>
      </c>
      <c r="J135" s="9">
        <f>IF(F135&gt;VLOOKUP($B$16,$B$2:$F$9,5,FALSE),MAX(N135,-F135*(VLOOKUP(B135,$B$2:$E$9,4,FALSE)),-2*(6-H134),-(VLOOKUP(B135,$B$2:$G$9,6,FALSE)-D135)),0)</f>
        <v>-0.93995728400000012</v>
      </c>
      <c r="K135" s="9">
        <f t="shared" si="17"/>
        <v>0</v>
      </c>
      <c r="L135" s="9">
        <f t="shared" si="21"/>
        <v>-0.93995728400000012</v>
      </c>
      <c r="M135" s="9">
        <f t="shared" si="22"/>
        <v>0</v>
      </c>
      <c r="N135" s="8">
        <v>-2.5</v>
      </c>
      <c r="O135" s="8">
        <v>0</v>
      </c>
      <c r="P135" s="2"/>
      <c r="Q135" s="2"/>
    </row>
    <row r="136" spans="1:28" x14ac:dyDescent="0.3">
      <c r="A136" s="35">
        <f t="shared" si="23"/>
        <v>26</v>
      </c>
      <c r="B136" s="35">
        <v>3</v>
      </c>
      <c r="C136" s="14">
        <v>43306.520833333336</v>
      </c>
      <c r="D136" s="18">
        <v>2.1622142050000002</v>
      </c>
      <c r="E136" s="19">
        <f t="shared" si="16"/>
        <v>3.1615813880000001</v>
      </c>
      <c r="F136" s="16">
        <v>3.5919110769999998</v>
      </c>
      <c r="G136" s="10">
        <f t="shared" si="19"/>
        <v>0.99936718299999994</v>
      </c>
      <c r="H136" s="10">
        <f t="shared" si="20"/>
        <v>4.1342734545000006</v>
      </c>
      <c r="I136" s="73">
        <f>MAX(0,MIN(O136,H135*2,(D136-Sheet1!$C$3)))</f>
        <v>0</v>
      </c>
      <c r="J136" s="9">
        <f>IF(F136&gt;VLOOKUP($B$16,$B$2:$F$9,5,FALSE),MAX(N136,-F136*(VLOOKUP(B136,$B$2:$E$9,4,FALSE)),-2*(6-H135),-(VLOOKUP(B136,$B$2:$G$9,6,FALSE)-D136)),0)</f>
        <v>-0.99936718299999994</v>
      </c>
      <c r="K136" s="9">
        <f t="shared" si="17"/>
        <v>0</v>
      </c>
      <c r="L136" s="9">
        <f t="shared" si="21"/>
        <v>-0.99936718299999994</v>
      </c>
      <c r="M136" s="9">
        <f t="shared" si="22"/>
        <v>0</v>
      </c>
      <c r="N136" s="8">
        <v>-2.5</v>
      </c>
      <c r="O136" s="8">
        <v>0</v>
      </c>
      <c r="P136" s="2"/>
      <c r="Q136" s="2"/>
    </row>
    <row r="137" spans="1:28" x14ac:dyDescent="0.3">
      <c r="A137" s="35">
        <f t="shared" si="23"/>
        <v>27</v>
      </c>
      <c r="B137" s="35">
        <v>3</v>
      </c>
      <c r="C137" s="14">
        <v>43306.541666666664</v>
      </c>
      <c r="D137" s="18">
        <v>2.1240035530000001</v>
      </c>
      <c r="E137" s="19">
        <f t="shared" si="16"/>
        <v>3.1615813880000001</v>
      </c>
      <c r="F137" s="16">
        <v>3.5945687290000001</v>
      </c>
      <c r="G137" s="10">
        <f t="shared" si="19"/>
        <v>1.037577835</v>
      </c>
      <c r="H137" s="10">
        <f t="shared" si="20"/>
        <v>4.6530623720000008</v>
      </c>
      <c r="I137" s="73">
        <f>MAX(0,MIN(O137,H136*2,(D137-Sheet1!$C$3)))</f>
        <v>0</v>
      </c>
      <c r="J137" s="9">
        <f>IF(F137&gt;VLOOKUP($B$16,$B$2:$F$9,5,FALSE),MAX(N137,-F137*(VLOOKUP(B137,$B$2:$E$9,4,FALSE)),-2*(6-H136),-(VLOOKUP(B137,$B$2:$G$9,6,FALSE)-D137)),0)</f>
        <v>-1.037577835</v>
      </c>
      <c r="K137" s="9">
        <f t="shared" si="17"/>
        <v>0</v>
      </c>
      <c r="L137" s="9">
        <f t="shared" si="21"/>
        <v>-1.037577835</v>
      </c>
      <c r="M137" s="9">
        <f t="shared" si="22"/>
        <v>0</v>
      </c>
      <c r="N137" s="8">
        <v>-2.5</v>
      </c>
      <c r="O137" s="8">
        <v>0</v>
      </c>
      <c r="P137" s="2"/>
      <c r="Q137" s="2"/>
    </row>
    <row r="138" spans="1:28" x14ac:dyDescent="0.3">
      <c r="A138" s="35">
        <f t="shared" si="23"/>
        <v>28</v>
      </c>
      <c r="B138" s="35">
        <v>3</v>
      </c>
      <c r="C138" s="14">
        <v>43306.5625</v>
      </c>
      <c r="D138" s="18">
        <v>2.1084292640000002</v>
      </c>
      <c r="E138" s="19">
        <f t="shared" si="16"/>
        <v>3.1615813880000001</v>
      </c>
      <c r="F138" s="16">
        <v>3.5945687290000001</v>
      </c>
      <c r="G138" s="10">
        <f t="shared" si="19"/>
        <v>1.0531521239999999</v>
      </c>
      <c r="H138" s="10">
        <f t="shared" si="20"/>
        <v>5.179638434000001</v>
      </c>
      <c r="I138" s="73">
        <f>MAX(0,MIN(O138,H137*2,(D138-Sheet1!$C$3)))</f>
        <v>0</v>
      </c>
      <c r="J138" s="9">
        <f>IF(F138&gt;VLOOKUP($B$16,$B$2:$F$9,5,FALSE),MAX(N138,-F138*(VLOOKUP(B138,$B$2:$E$9,4,FALSE)),-2*(6-H137),-(VLOOKUP(B138,$B$2:$G$9,6,FALSE)-D138)),0)</f>
        <v>-1.0531521239999999</v>
      </c>
      <c r="K138" s="9">
        <f t="shared" si="17"/>
        <v>0</v>
      </c>
      <c r="L138" s="9">
        <f t="shared" si="21"/>
        <v>-1.0531521239999999</v>
      </c>
      <c r="M138" s="9">
        <f t="shared" si="22"/>
        <v>0</v>
      </c>
      <c r="N138" s="8">
        <v>-2.5</v>
      </c>
      <c r="O138" s="8">
        <v>0</v>
      </c>
      <c r="P138" s="2"/>
      <c r="Q138" s="2"/>
    </row>
    <row r="139" spans="1:28" x14ac:dyDescent="0.3">
      <c r="A139" s="35">
        <f t="shared" si="23"/>
        <v>29</v>
      </c>
      <c r="B139" s="35">
        <v>3</v>
      </c>
      <c r="C139" s="14">
        <v>43306.583333333336</v>
      </c>
      <c r="D139" s="18">
        <v>2.1596172669999998</v>
      </c>
      <c r="E139" s="19">
        <f t="shared" si="16"/>
        <v>3.1615813880000001</v>
      </c>
      <c r="F139" s="16">
        <v>3.615097284</v>
      </c>
      <c r="G139" s="10">
        <f t="shared" si="19"/>
        <v>1.0019641210000003</v>
      </c>
      <c r="H139" s="10">
        <f t="shared" si="20"/>
        <v>5.6806204945000012</v>
      </c>
      <c r="I139" s="73">
        <f>MAX(0,MIN(O139,H138*2,(D139-Sheet1!$C$3)))</f>
        <v>0</v>
      </c>
      <c r="J139" s="9">
        <f>IF(F139&gt;VLOOKUP($B$16,$B$2:$F$9,5,FALSE),MAX(N139,-F139*(VLOOKUP(B139,$B$2:$E$9,4,FALSE)),-2*(6-H138),-(VLOOKUP(B139,$B$2:$G$9,6,FALSE)-D139)),0)</f>
        <v>-1.0019641210000003</v>
      </c>
      <c r="K139" s="9">
        <f t="shared" si="17"/>
        <v>0</v>
      </c>
      <c r="L139" s="9">
        <f t="shared" si="21"/>
        <v>-1.0019641210000003</v>
      </c>
      <c r="M139" s="9">
        <f t="shared" si="22"/>
        <v>0</v>
      </c>
      <c r="N139" s="8">
        <v>-2.5</v>
      </c>
      <c r="O139" s="8">
        <v>0</v>
      </c>
      <c r="P139" s="2"/>
      <c r="Q139" s="2"/>
    </row>
    <row r="140" spans="1:28" x14ac:dyDescent="0.3">
      <c r="A140" s="37">
        <f t="shared" si="23"/>
        <v>30</v>
      </c>
      <c r="B140" s="37">
        <v>3</v>
      </c>
      <c r="C140" s="24">
        <v>43306.604166666664</v>
      </c>
      <c r="D140" s="25">
        <v>2.2672610679999998</v>
      </c>
      <c r="E140" s="26">
        <f t="shared" si="16"/>
        <v>2.9060200789999975</v>
      </c>
      <c r="F140" s="27">
        <v>3.3771514890000001</v>
      </c>
      <c r="G140" s="10">
        <f t="shared" si="19"/>
        <v>0.63875901099999766</v>
      </c>
      <c r="H140" s="10">
        <f t="shared" si="20"/>
        <v>6</v>
      </c>
      <c r="I140" s="93">
        <f>MAX(0,MIN(O140,H139*2,(D140-Sheet1!$C$3)))</f>
        <v>0</v>
      </c>
      <c r="J140" s="9">
        <f>IF(F140&gt;VLOOKUP($B$16,$B$2:$F$9,5,FALSE),MAX(N140,-F140*(VLOOKUP(B140,$B$2:$E$9,4,FALSE)),-2*(6-H139),-(VLOOKUP(B140,$B$2:$G$9,6,FALSE)-D140)),0)</f>
        <v>-0.63875901099999766</v>
      </c>
      <c r="K140" s="9">
        <f t="shared" si="17"/>
        <v>0</v>
      </c>
      <c r="L140" s="42">
        <f t="shared" si="21"/>
        <v>-0.63875901099999766</v>
      </c>
      <c r="M140" s="42">
        <f t="shared" si="22"/>
        <v>0</v>
      </c>
      <c r="N140" s="23">
        <v>-2.5</v>
      </c>
      <c r="O140" s="23">
        <v>0</v>
      </c>
      <c r="P140" s="2"/>
      <c r="Q140" s="2"/>
    </row>
    <row r="141" spans="1:28" s="64" customFormat="1" ht="15" thickBot="1" x14ac:dyDescent="0.35">
      <c r="A141" s="54">
        <f t="shared" si="23"/>
        <v>31</v>
      </c>
      <c r="B141" s="54">
        <v>3</v>
      </c>
      <c r="C141" s="55">
        <v>43306.625</v>
      </c>
      <c r="D141" s="56">
        <v>2.4882718380000002</v>
      </c>
      <c r="E141" s="57">
        <f t="shared" si="16"/>
        <v>2.4882718380000002</v>
      </c>
      <c r="F141" s="58">
        <v>2.788358927</v>
      </c>
      <c r="G141" s="111">
        <f t="shared" si="19"/>
        <v>0</v>
      </c>
      <c r="H141" s="111">
        <f t="shared" si="20"/>
        <v>6</v>
      </c>
      <c r="I141" s="74">
        <f>MAX(0,MIN(O141,H140*2,(D141-Sheet1!$C$3)))</f>
        <v>0</v>
      </c>
      <c r="J141" s="9">
        <f>IF(F141&gt;VLOOKUP($B$16,$B$2:$F$9,5,FALSE),MAX(N141,-F141*(VLOOKUP(B141,$B$2:$E$9,4,FALSE)),-2*(6-H140),-(VLOOKUP(B141,$B$2:$G$9,6,FALSE)-D141)),0)</f>
        <v>0</v>
      </c>
      <c r="K141" s="60">
        <f t="shared" si="17"/>
        <v>0</v>
      </c>
      <c r="L141" s="60">
        <f t="shared" si="21"/>
        <v>0</v>
      </c>
      <c r="M141" s="60">
        <f t="shared" si="22"/>
        <v>0</v>
      </c>
      <c r="N141" s="61">
        <v>-2.5</v>
      </c>
      <c r="O141" s="61">
        <v>0</v>
      </c>
      <c r="P141" s="62"/>
      <c r="Q141" s="62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x14ac:dyDescent="0.3">
      <c r="A142" s="44">
        <f>A141+1</f>
        <v>32</v>
      </c>
      <c r="B142" s="44">
        <v>3</v>
      </c>
      <c r="C142" s="45">
        <v>43306.645833333336</v>
      </c>
      <c r="D142" s="46">
        <v>2.670857045</v>
      </c>
      <c r="E142" s="33">
        <f t="shared" si="16"/>
        <v>1.9066965960909088</v>
      </c>
      <c r="F142" s="47">
        <v>2.654394388</v>
      </c>
      <c r="G142" s="97">
        <f t="shared" si="19"/>
        <v>-0.76416044890909118</v>
      </c>
      <c r="H142" s="97">
        <f t="shared" si="20"/>
        <v>5.6179197755454542</v>
      </c>
      <c r="I142" s="72">
        <f>MAX(0,MIN(O142,H141*2,(D142-Sheet1!$C$3)))</f>
        <v>0.76416044890909118</v>
      </c>
      <c r="J142" s="9">
        <f>IF(F142&gt;VLOOKUP($B$16,$B$2:$F$9,5,FALSE),MAX(N142,-F142*(VLOOKUP(B142,$B$2:$E$9,4,FALSE)),-2*(6-H141),-(VLOOKUP(B142,$B$2:$G$9,6,FALSE)-D142)),0)</f>
        <v>0</v>
      </c>
      <c r="K142" s="40">
        <f t="shared" si="17"/>
        <v>0</v>
      </c>
      <c r="L142" s="41"/>
      <c r="M142" s="41"/>
      <c r="N142" s="48">
        <v>0</v>
      </c>
      <c r="O142" s="48">
        <v>2.5</v>
      </c>
      <c r="P142" s="2"/>
      <c r="Q142" s="2"/>
    </row>
    <row r="143" spans="1:28" x14ac:dyDescent="0.3">
      <c r="A143" s="36">
        <f t="shared" si="23"/>
        <v>33</v>
      </c>
      <c r="B143" s="36">
        <v>3</v>
      </c>
      <c r="C143" s="15">
        <v>43306.666666666664</v>
      </c>
      <c r="D143" s="20">
        <v>3.0317410480000002</v>
      </c>
      <c r="E143" s="19">
        <f t="shared" ref="E143:E206" si="24">D143-J143-I143</f>
        <v>1.9066965960909088</v>
      </c>
      <c r="F143" s="17">
        <v>2.3552899360000001</v>
      </c>
      <c r="G143" s="10">
        <f t="shared" si="19"/>
        <v>-1.1250444519090914</v>
      </c>
      <c r="H143" s="10">
        <f t="shared" si="20"/>
        <v>5.0553975495909089</v>
      </c>
      <c r="I143" s="73">
        <f>MAX(0,MIN(O143,H142*2,(D143-Sheet1!$C$3)))</f>
        <v>1.1250444519090914</v>
      </c>
      <c r="J143" s="9">
        <f>IF(F143&gt;VLOOKUP($B$16,$B$2:$F$9,5,FALSE),MAX(N143,-F143*(VLOOKUP(B143,$B$2:$E$9,4,FALSE)),-2*(6-H142),-(VLOOKUP(B143,$B$2:$G$9,6,FALSE)-D143)),0)</f>
        <v>0</v>
      </c>
      <c r="K143" s="9">
        <f t="shared" ref="K143:K206" si="25">IF(A143&lt;&gt;31,0,-2*((6-H142+((J143*0.5)))))</f>
        <v>0</v>
      </c>
      <c r="L143" s="12"/>
      <c r="M143" s="12"/>
      <c r="N143" s="13">
        <v>0</v>
      </c>
      <c r="O143" s="13">
        <v>2.5</v>
      </c>
      <c r="P143" s="2"/>
      <c r="Q143" s="2"/>
    </row>
    <row r="144" spans="1:28" x14ac:dyDescent="0.3">
      <c r="A144" s="36">
        <f t="shared" si="23"/>
        <v>34</v>
      </c>
      <c r="B144" s="36">
        <v>3</v>
      </c>
      <c r="C144" s="15">
        <v>43306.6875</v>
      </c>
      <c r="D144" s="20">
        <v>3.0794578220000002</v>
      </c>
      <c r="E144" s="19">
        <f t="shared" si="24"/>
        <v>1.9066965960909088</v>
      </c>
      <c r="F144" s="17">
        <v>2.1658620829999999</v>
      </c>
      <c r="G144" s="10">
        <f t="shared" ref="G144:G207" si="26">-SUM(I144,J144,K144)</f>
        <v>-1.1727612259090914</v>
      </c>
      <c r="H144" s="10">
        <f t="shared" si="20"/>
        <v>4.469016936636363</v>
      </c>
      <c r="I144" s="73">
        <f>MAX(0,MIN(O144,H143*2,(D144-Sheet1!$C$3)))</f>
        <v>1.1727612259090914</v>
      </c>
      <c r="J144" s="9">
        <f>IF(F144&gt;VLOOKUP($B$16,$B$2:$F$9,5,FALSE),MAX(N144,-F144*(VLOOKUP(B144,$B$2:$E$9,4,FALSE)),-2*(6-H143),-(VLOOKUP(B144,$B$2:$G$9,6,FALSE)-D144)),0)</f>
        <v>0</v>
      </c>
      <c r="K144" s="9">
        <f t="shared" si="25"/>
        <v>0</v>
      </c>
      <c r="L144" s="12"/>
      <c r="M144" s="12"/>
      <c r="N144" s="13">
        <v>0</v>
      </c>
      <c r="O144" s="13">
        <v>2.5</v>
      </c>
      <c r="P144" s="2"/>
      <c r="Q144" s="2"/>
    </row>
    <row r="145" spans="1:28" x14ac:dyDescent="0.3">
      <c r="A145" s="36">
        <f t="shared" si="23"/>
        <v>35</v>
      </c>
      <c r="B145" s="36">
        <v>3</v>
      </c>
      <c r="C145" s="15">
        <v>43306.708333333336</v>
      </c>
      <c r="D145" s="20">
        <v>3.1615813880000001</v>
      </c>
      <c r="E145" s="19">
        <f t="shared" si="24"/>
        <v>1.9066965960909088</v>
      </c>
      <c r="F145" s="17">
        <v>1.1721915009999999</v>
      </c>
      <c r="G145" s="10">
        <f t="shared" si="26"/>
        <v>-1.2548847919090913</v>
      </c>
      <c r="H145" s="10">
        <f t="shared" ref="H145:H208" si="27">H144+((G145*0.5))</f>
        <v>3.8415745406818171</v>
      </c>
      <c r="I145" s="73">
        <f>MAX(0,MIN(O145,H144*2,(D145-Sheet1!$C$3)))</f>
        <v>1.2548847919090913</v>
      </c>
      <c r="J145" s="9">
        <f>IF(F145&gt;VLOOKUP($B$16,$B$2:$F$9,5,FALSE),MAX(N145,-F145*(VLOOKUP(B145,$B$2:$E$9,4,FALSE)),-2*(6-H144),-(VLOOKUP(B145,$B$2:$G$9,6,FALSE)-D145)),0)</f>
        <v>0</v>
      </c>
      <c r="K145" s="9">
        <f t="shared" si="25"/>
        <v>0</v>
      </c>
      <c r="L145" s="12"/>
      <c r="M145" s="12"/>
      <c r="N145" s="13">
        <v>0</v>
      </c>
      <c r="O145" s="13">
        <v>2.5</v>
      </c>
      <c r="P145" s="2"/>
      <c r="Q145" s="2"/>
    </row>
    <row r="146" spans="1:28" x14ac:dyDescent="0.3">
      <c r="A146" s="36">
        <f t="shared" si="23"/>
        <v>36</v>
      </c>
      <c r="B146" s="36">
        <v>3</v>
      </c>
      <c r="C146" s="15">
        <v>43306.729166666664</v>
      </c>
      <c r="D146" s="20">
        <v>3.1366805640000002</v>
      </c>
      <c r="E146" s="19">
        <f t="shared" si="24"/>
        <v>1.9066965960909088</v>
      </c>
      <c r="F146" s="17">
        <v>0.98739588300000003</v>
      </c>
      <c r="G146" s="10">
        <f t="shared" si="26"/>
        <v>-1.2299839679090914</v>
      </c>
      <c r="H146" s="10">
        <f t="shared" si="27"/>
        <v>3.2265825567272715</v>
      </c>
      <c r="I146" s="73">
        <f>MAX(0,MIN(O146,H145*2,(D146-Sheet1!$C$3)))</f>
        <v>1.2299839679090914</v>
      </c>
      <c r="J146" s="9">
        <f>IF(F146&gt;VLOOKUP($B$16,$B$2:$F$9,5,FALSE),MAX(N146,-F146*(VLOOKUP(B146,$B$2:$E$9,4,FALSE)),-2*(6-H145),-(VLOOKUP(B146,$B$2:$G$9,6,FALSE)-D146)),0)</f>
        <v>0</v>
      </c>
      <c r="K146" s="9">
        <f t="shared" si="25"/>
        <v>0</v>
      </c>
      <c r="L146" s="12"/>
      <c r="M146" s="12"/>
      <c r="N146" s="13">
        <v>0</v>
      </c>
      <c r="O146" s="13">
        <v>2.5</v>
      </c>
      <c r="P146" s="2"/>
      <c r="Q146" s="2"/>
    </row>
    <row r="147" spans="1:28" x14ac:dyDescent="0.3">
      <c r="A147" s="36">
        <f t="shared" si="23"/>
        <v>37</v>
      </c>
      <c r="B147" s="36">
        <v>3</v>
      </c>
      <c r="C147" s="15">
        <v>43306.75</v>
      </c>
      <c r="D147" s="20">
        <v>3.0935997639999999</v>
      </c>
      <c r="E147" s="19">
        <f t="shared" si="24"/>
        <v>1.9066965960909088</v>
      </c>
      <c r="F147" s="17">
        <v>0.466520816</v>
      </c>
      <c r="G147" s="10">
        <f t="shared" si="26"/>
        <v>-1.1869031679090911</v>
      </c>
      <c r="H147" s="10">
        <f t="shared" si="27"/>
        <v>2.6331309727727259</v>
      </c>
      <c r="I147" s="73">
        <f>MAX(0,MIN(O147,H146*2,(D147-Sheet1!$C$3)))</f>
        <v>1.1869031679090911</v>
      </c>
      <c r="J147" s="9">
        <f>IF(F147&gt;VLOOKUP($B$16,$B$2:$F$9,5,FALSE),MAX(N147,-F147*(VLOOKUP(B147,$B$2:$E$9,4,FALSE)),-2*(6-H146),-(VLOOKUP(B147,$B$2:$G$9,6,FALSE)-D147)),0)</f>
        <v>0</v>
      </c>
      <c r="K147" s="9">
        <f t="shared" si="25"/>
        <v>0</v>
      </c>
      <c r="L147" s="12"/>
      <c r="M147" s="12"/>
      <c r="N147" s="13">
        <v>0</v>
      </c>
      <c r="O147" s="13">
        <v>2.5</v>
      </c>
      <c r="P147" s="2"/>
      <c r="Q147" s="2"/>
    </row>
    <row r="148" spans="1:28" x14ac:dyDescent="0.3">
      <c r="A148" s="36">
        <f t="shared" si="23"/>
        <v>38</v>
      </c>
      <c r="B148" s="36">
        <v>3</v>
      </c>
      <c r="C148" s="15">
        <v>43306.770833333336</v>
      </c>
      <c r="D148" s="20">
        <v>3.058643263</v>
      </c>
      <c r="E148" s="19">
        <f t="shared" si="24"/>
        <v>1.9066965960909088</v>
      </c>
      <c r="F148" s="17">
        <v>0.450036198</v>
      </c>
      <c r="G148" s="10">
        <f t="shared" si="26"/>
        <v>-1.1519466669090912</v>
      </c>
      <c r="H148" s="10">
        <f t="shared" si="27"/>
        <v>2.0571576393181803</v>
      </c>
      <c r="I148" s="73">
        <f>MAX(0,MIN(O148,H147*2,(D148-Sheet1!$C$3)))</f>
        <v>1.1519466669090912</v>
      </c>
      <c r="J148" s="9">
        <f>IF(F148&gt;VLOOKUP($B$16,$B$2:$F$9,5,FALSE),MAX(N148,-F148*(VLOOKUP(B148,$B$2:$E$9,4,FALSE)),-2*(6-H147),-(VLOOKUP(B148,$B$2:$G$9,6,FALSE)-D148)),0)</f>
        <v>0</v>
      </c>
      <c r="K148" s="9">
        <f t="shared" si="25"/>
        <v>0</v>
      </c>
      <c r="L148" s="12"/>
      <c r="M148" s="12"/>
      <c r="N148" s="13">
        <v>0</v>
      </c>
      <c r="O148" s="13">
        <v>2.5</v>
      </c>
      <c r="P148" s="2"/>
      <c r="Q148" s="2"/>
    </row>
    <row r="149" spans="1:28" x14ac:dyDescent="0.3">
      <c r="A149" s="36">
        <f t="shared" si="23"/>
        <v>39</v>
      </c>
      <c r="B149" s="36">
        <v>3</v>
      </c>
      <c r="C149" s="15">
        <v>43306.791666666664</v>
      </c>
      <c r="D149" s="20">
        <v>2.95489757</v>
      </c>
      <c r="E149" s="19">
        <f t="shared" si="24"/>
        <v>1.9066965960909088</v>
      </c>
      <c r="F149" s="17">
        <v>0.123593837</v>
      </c>
      <c r="G149" s="10">
        <f t="shared" si="26"/>
        <v>-1.0482009739090912</v>
      </c>
      <c r="H149" s="10">
        <f t="shared" si="27"/>
        <v>1.5330571523636347</v>
      </c>
      <c r="I149" s="73">
        <f>MAX(0,MIN(O149,H148*2,(D149-Sheet1!$C$3)))</f>
        <v>1.0482009739090912</v>
      </c>
      <c r="J149" s="9">
        <f>IF(F149&gt;VLOOKUP($B$16,$B$2:$F$9,5,FALSE),MAX(N149,-F149*(VLOOKUP(B149,$B$2:$E$9,4,FALSE)),-2*(6-H148),-(VLOOKUP(B149,$B$2:$G$9,6,FALSE)-D149)),0)</f>
        <v>0</v>
      </c>
      <c r="K149" s="9">
        <f t="shared" si="25"/>
        <v>0</v>
      </c>
      <c r="L149" s="12"/>
      <c r="M149" s="12"/>
      <c r="N149" s="13">
        <v>0</v>
      </c>
      <c r="O149" s="13">
        <v>2.5</v>
      </c>
      <c r="P149" s="2"/>
      <c r="Q149" s="2"/>
    </row>
    <row r="150" spans="1:28" x14ac:dyDescent="0.3">
      <c r="A150" s="36">
        <f t="shared" si="23"/>
        <v>40</v>
      </c>
      <c r="B150" s="36">
        <v>3</v>
      </c>
      <c r="C150" s="15">
        <v>43306.8125</v>
      </c>
      <c r="D150" s="20">
        <v>2.913130191</v>
      </c>
      <c r="E150" s="19">
        <f t="shared" si="24"/>
        <v>1.9066965960909088</v>
      </c>
      <c r="F150" s="17">
        <v>0.113556832</v>
      </c>
      <c r="G150" s="10">
        <f t="shared" si="26"/>
        <v>-1.0064335949090912</v>
      </c>
      <c r="H150" s="10">
        <f t="shared" si="27"/>
        <v>1.0298403549090891</v>
      </c>
      <c r="I150" s="73">
        <f>MAX(0,MIN(O150,H149*2,(D150-Sheet1!$C$3)))</f>
        <v>1.0064335949090912</v>
      </c>
      <c r="J150" s="9">
        <f>IF(F150&gt;VLOOKUP($B$16,$B$2:$F$9,5,FALSE),MAX(N150,-F150*(VLOOKUP(B150,$B$2:$E$9,4,FALSE)),-2*(6-H149),-(VLOOKUP(B150,$B$2:$G$9,6,FALSE)-D150)),0)</f>
        <v>0</v>
      </c>
      <c r="K150" s="9">
        <f t="shared" si="25"/>
        <v>0</v>
      </c>
      <c r="L150" s="12"/>
      <c r="M150" s="12"/>
      <c r="N150" s="13">
        <v>0</v>
      </c>
      <c r="O150" s="13">
        <v>2.5</v>
      </c>
      <c r="P150" s="2"/>
      <c r="Q150" s="2"/>
    </row>
    <row r="151" spans="1:28" x14ac:dyDescent="0.3">
      <c r="A151" s="49">
        <f t="shared" si="23"/>
        <v>41</v>
      </c>
      <c r="B151" s="49">
        <v>3</v>
      </c>
      <c r="C151" s="50">
        <v>43306.833333333336</v>
      </c>
      <c r="D151" s="51">
        <v>2.9110120670000001</v>
      </c>
      <c r="E151" s="26">
        <f t="shared" si="24"/>
        <v>1.9066965960909088</v>
      </c>
      <c r="F151" s="52">
        <v>5.3364930000000003E-3</v>
      </c>
      <c r="G151" s="10">
        <f t="shared" si="26"/>
        <v>-1.0043154709090913</v>
      </c>
      <c r="H151" s="10">
        <f t="shared" si="27"/>
        <v>0.52768261945454342</v>
      </c>
      <c r="I151" s="93">
        <f>MAX(0,MIN(O151,H150*2,(D151-Sheet1!$C$3)))</f>
        <v>1.0043154709090913</v>
      </c>
      <c r="J151" s="9">
        <f>IF(F151&gt;VLOOKUP($B$16,$B$2:$F$9,5,FALSE),MAX(N151,-F151*(VLOOKUP(B151,$B$2:$E$9,4,FALSE)),-2*(6-H150),-(VLOOKUP(B151,$B$2:$G$9,6,FALSE)-D151)),0)</f>
        <v>0</v>
      </c>
      <c r="K151" s="9">
        <f t="shared" si="25"/>
        <v>0</v>
      </c>
      <c r="L151" s="29"/>
      <c r="M151" s="29"/>
      <c r="N151" s="53">
        <v>0</v>
      </c>
      <c r="O151" s="53">
        <v>2.5</v>
      </c>
      <c r="P151" s="2"/>
      <c r="Q151" s="2"/>
    </row>
    <row r="152" spans="1:28" s="64" customFormat="1" ht="15" thickBot="1" x14ac:dyDescent="0.35">
      <c r="A152" s="65">
        <f t="shared" si="23"/>
        <v>42</v>
      </c>
      <c r="B152" s="65">
        <v>3</v>
      </c>
      <c r="C152" s="66">
        <v>43306.854166666664</v>
      </c>
      <c r="D152" s="67">
        <v>2.7944461810000001</v>
      </c>
      <c r="E152" s="57">
        <f t="shared" si="24"/>
        <v>1.9066965960909088</v>
      </c>
      <c r="F152" s="68">
        <v>5.3364930000000003E-3</v>
      </c>
      <c r="G152" s="111">
        <f t="shared" si="26"/>
        <v>-0.88774958490909128</v>
      </c>
      <c r="H152" s="111">
        <f t="shared" si="27"/>
        <v>8.3807826999997781E-2</v>
      </c>
      <c r="I152" s="74">
        <f>MAX(0,MIN(O152,H151*2,(D152-Sheet1!$C$3)))</f>
        <v>0.88774958490909128</v>
      </c>
      <c r="J152" s="9">
        <f>IF(F152&gt;VLOOKUP($B$16,$B$2:$F$9,5,FALSE),MAX(N152,-F152*(VLOOKUP(B152,$B$2:$E$9,4,FALSE)),-2*(6-H151),-(VLOOKUP(B152,$B$2:$G$9,6,FALSE)-D152)),0)</f>
        <v>0</v>
      </c>
      <c r="K152" s="60">
        <f t="shared" si="25"/>
        <v>0</v>
      </c>
      <c r="L152" s="59"/>
      <c r="M152" s="59"/>
      <c r="N152" s="69">
        <v>0</v>
      </c>
      <c r="O152" s="69">
        <v>2.5</v>
      </c>
      <c r="P152" s="62"/>
      <c r="Q152" s="62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 spans="1:28" x14ac:dyDescent="0.3">
      <c r="A153" s="38">
        <f t="shared" si="23"/>
        <v>43</v>
      </c>
      <c r="B153" s="38">
        <v>3</v>
      </c>
      <c r="C153" s="31">
        <v>43306.875</v>
      </c>
      <c r="D153" s="32">
        <v>2.6383434549999998</v>
      </c>
      <c r="E153" s="33">
        <f t="shared" si="24"/>
        <v>2.6383434549999998</v>
      </c>
      <c r="F153" s="39">
        <v>5.3364930000000003E-3</v>
      </c>
      <c r="G153" s="97">
        <f t="shared" si="26"/>
        <v>0</v>
      </c>
      <c r="H153" s="97">
        <f t="shared" si="27"/>
        <v>8.3807826999997781E-2</v>
      </c>
      <c r="I153" s="72">
        <f>MAX(0,MIN(O153,H152*2,(D153-Sheet1!$C$3)))</f>
        <v>0</v>
      </c>
      <c r="J153" s="9">
        <f>IF(F153&gt;VLOOKUP($B$16,$B$2:$F$9,5,FALSE),MAX(N153,-F153*(VLOOKUP(B153,$B$2:$E$9,4,FALSE)),-2*(6-H152),-(VLOOKUP(B153,$B$2:$G$9,6,FALSE)-D153)),0)</f>
        <v>0</v>
      </c>
      <c r="K153" s="40">
        <f t="shared" si="25"/>
        <v>0</v>
      </c>
      <c r="L153" s="34"/>
      <c r="M153" s="34"/>
      <c r="N153" s="30">
        <v>0</v>
      </c>
      <c r="O153" s="30">
        <v>0</v>
      </c>
      <c r="P153" s="2"/>
      <c r="Q153" s="2"/>
    </row>
    <row r="154" spans="1:28" x14ac:dyDescent="0.3">
      <c r="A154" s="35">
        <f t="shared" si="23"/>
        <v>44</v>
      </c>
      <c r="B154" s="35">
        <v>3</v>
      </c>
      <c r="C154" s="14">
        <v>43306.895833333336</v>
      </c>
      <c r="D154" s="18">
        <v>2.4431459360000001</v>
      </c>
      <c r="E154" s="19">
        <f t="shared" si="24"/>
        <v>2.4431459360000001</v>
      </c>
      <c r="F154" s="16">
        <v>5.3364930000000003E-3</v>
      </c>
      <c r="G154" s="10">
        <f t="shared" si="26"/>
        <v>0</v>
      </c>
      <c r="H154" s="10">
        <f t="shared" si="27"/>
        <v>8.3807826999997781E-2</v>
      </c>
      <c r="I154" s="73">
        <f>MAX(0,MIN(O154,H153*2,(D154-Sheet1!$C$3)))</f>
        <v>0</v>
      </c>
      <c r="J154" s="9">
        <f>IF(F154&gt;VLOOKUP($B$16,$B$2:$F$9,5,FALSE),MAX(N154,-F154*(VLOOKUP(B154,$B$2:$E$9,4,FALSE)),-2*(6-H153),-(VLOOKUP(B154,$B$2:$G$9,6,FALSE)-D154)),0)</f>
        <v>0</v>
      </c>
      <c r="K154" s="9">
        <f t="shared" si="25"/>
        <v>0</v>
      </c>
      <c r="L154" s="11"/>
      <c r="M154" s="11"/>
      <c r="N154" s="8">
        <v>0</v>
      </c>
      <c r="O154" s="8">
        <v>0</v>
      </c>
      <c r="P154" s="2"/>
      <c r="Q154" s="2"/>
    </row>
    <row r="155" spans="1:28" x14ac:dyDescent="0.3">
      <c r="A155" s="35">
        <f t="shared" si="23"/>
        <v>45</v>
      </c>
      <c r="B155" s="35">
        <v>3</v>
      </c>
      <c r="C155" s="14">
        <v>43306.916666666664</v>
      </c>
      <c r="D155" s="18">
        <v>2.1570547200000001</v>
      </c>
      <c r="E155" s="19">
        <f t="shared" si="24"/>
        <v>2.1570547200000001</v>
      </c>
      <c r="F155" s="16">
        <v>5.3364930000000003E-3</v>
      </c>
      <c r="G155" s="10">
        <f t="shared" si="26"/>
        <v>0</v>
      </c>
      <c r="H155" s="10">
        <f t="shared" si="27"/>
        <v>8.3807826999997781E-2</v>
      </c>
      <c r="I155" s="73">
        <f>MAX(0,MIN(O155,H154*2,(D155-Sheet1!$C$3)))</f>
        <v>0</v>
      </c>
      <c r="J155" s="9">
        <f>IF(F155&gt;VLOOKUP($B$16,$B$2:$F$9,5,FALSE),MAX(N155,-F155*(VLOOKUP(B155,$B$2:$E$9,4,FALSE)),-2*(6-H154),-(VLOOKUP(B155,$B$2:$G$9,6,FALSE)-D155)),0)</f>
        <v>0</v>
      </c>
      <c r="K155" s="9">
        <f t="shared" si="25"/>
        <v>0</v>
      </c>
      <c r="L155" s="11"/>
      <c r="M155" s="11"/>
      <c r="N155" s="8">
        <v>0</v>
      </c>
      <c r="O155" s="8">
        <v>0</v>
      </c>
      <c r="P155" s="2"/>
      <c r="Q155" s="2"/>
    </row>
    <row r="156" spans="1:28" x14ac:dyDescent="0.3">
      <c r="A156" s="35">
        <f t="shared" si="23"/>
        <v>46</v>
      </c>
      <c r="B156" s="35">
        <v>3</v>
      </c>
      <c r="C156" s="14">
        <v>43306.9375</v>
      </c>
      <c r="D156" s="18">
        <v>1.904021966</v>
      </c>
      <c r="E156" s="19">
        <f t="shared" si="24"/>
        <v>1.904021966</v>
      </c>
      <c r="F156" s="16">
        <v>5.3364930000000003E-3</v>
      </c>
      <c r="G156" s="10">
        <f t="shared" si="26"/>
        <v>0</v>
      </c>
      <c r="H156" s="10">
        <f t="shared" si="27"/>
        <v>8.3807826999997781E-2</v>
      </c>
      <c r="I156" s="73">
        <f>MAX(0,MIN(O156,H155*2,(D156-Sheet1!$C$3)))</f>
        <v>0</v>
      </c>
      <c r="J156" s="9">
        <f>IF(F156&gt;VLOOKUP($B$16,$B$2:$F$9,5,FALSE),MAX(N156,-F156*(VLOOKUP(B156,$B$2:$E$9,4,FALSE)),-2*(6-H155),-(VLOOKUP(B156,$B$2:$G$9,6,FALSE)-D156)),0)</f>
        <v>0</v>
      </c>
      <c r="K156" s="9">
        <f t="shared" si="25"/>
        <v>0</v>
      </c>
      <c r="L156" s="11"/>
      <c r="M156" s="11"/>
      <c r="N156" s="8">
        <v>0</v>
      </c>
      <c r="O156" s="8">
        <v>0</v>
      </c>
      <c r="P156" s="2"/>
      <c r="Q156" s="2"/>
    </row>
    <row r="157" spans="1:28" x14ac:dyDescent="0.3">
      <c r="A157" s="37">
        <f t="shared" si="23"/>
        <v>47</v>
      </c>
      <c r="B157" s="37">
        <v>3</v>
      </c>
      <c r="C157" s="24">
        <v>43306.958333333336</v>
      </c>
      <c r="D157" s="25">
        <v>1.8035262750000001</v>
      </c>
      <c r="E157" s="26">
        <f t="shared" si="24"/>
        <v>1.8035262750000001</v>
      </c>
      <c r="F157" s="27">
        <v>1.831472E-3</v>
      </c>
      <c r="G157" s="98">
        <f t="shared" si="26"/>
        <v>0</v>
      </c>
      <c r="H157" s="98">
        <f t="shared" si="27"/>
        <v>8.3807826999997781E-2</v>
      </c>
      <c r="I157" s="93">
        <f>MAX(0,MIN(O157,H156*2,(D157-Sheet1!$C$3)))</f>
        <v>0</v>
      </c>
      <c r="J157" s="9">
        <f>IF(F157&gt;VLOOKUP($B$16,$B$2:$F$9,5,FALSE),MAX(N157,-F157*(VLOOKUP(B157,$B$2:$E$9,4,FALSE)),-2*(6-H156),-(VLOOKUP(B157,$B$2:$G$9,6,FALSE)-D157)),0)</f>
        <v>0</v>
      </c>
      <c r="K157" s="42">
        <f t="shared" si="25"/>
        <v>0</v>
      </c>
      <c r="L157" s="28"/>
      <c r="M157" s="28"/>
      <c r="N157" s="23">
        <v>0</v>
      </c>
      <c r="O157" s="23">
        <v>0</v>
      </c>
      <c r="P157" s="2"/>
      <c r="Q157" s="2"/>
    </row>
    <row r="158" spans="1:28" s="132" customFormat="1" ht="15" thickBot="1" x14ac:dyDescent="0.35">
      <c r="A158" s="123">
        <f t="shared" si="23"/>
        <v>48</v>
      </c>
      <c r="B158" s="123">
        <v>3</v>
      </c>
      <c r="C158" s="124">
        <v>43306.979166666664</v>
      </c>
      <c r="D158" s="125">
        <v>1.706909692</v>
      </c>
      <c r="E158" s="126">
        <f t="shared" si="24"/>
        <v>1.706909692</v>
      </c>
      <c r="F158" s="127">
        <v>1.831472E-3</v>
      </c>
      <c r="G158" s="128">
        <f t="shared" si="26"/>
        <v>0</v>
      </c>
      <c r="H158" s="128">
        <f t="shared" si="27"/>
        <v>8.3807826999997781E-2</v>
      </c>
      <c r="I158" s="129">
        <f>MAX(0,MIN(O158,H157*2,(D158-Sheet1!$C$3)))</f>
        <v>0</v>
      </c>
      <c r="J158" s="9">
        <f>IF(F158&gt;VLOOKUP($B$16,$B$2:$F$9,5,FALSE),MAX(N158,-F158*(VLOOKUP(B158,$B$2:$E$9,4,FALSE)),-2*(6-H157),-(VLOOKUP(B158,$B$2:$G$9,6,FALSE)-D158)),0)</f>
        <v>0</v>
      </c>
      <c r="K158" s="129">
        <f t="shared" si="25"/>
        <v>0</v>
      </c>
      <c r="L158" s="128"/>
      <c r="M158" s="128"/>
      <c r="N158" s="130">
        <v>0</v>
      </c>
      <c r="O158" s="130">
        <v>0</v>
      </c>
      <c r="P158" s="131"/>
      <c r="Q158" s="131"/>
    </row>
    <row r="159" spans="1:28" s="122" customFormat="1" x14ac:dyDescent="0.3">
      <c r="A159" s="113">
        <v>1</v>
      </c>
      <c r="B159" s="113">
        <v>4</v>
      </c>
      <c r="C159" s="114">
        <v>43307</v>
      </c>
      <c r="D159" s="115">
        <v>1.700313626</v>
      </c>
      <c r="E159" s="116">
        <f t="shared" si="24"/>
        <v>1.700313626</v>
      </c>
      <c r="F159" s="117">
        <v>1.831472E-3</v>
      </c>
      <c r="G159" s="118">
        <f t="shared" si="26"/>
        <v>0</v>
      </c>
      <c r="H159" s="118">
        <v>0</v>
      </c>
      <c r="I159" s="119">
        <v>0</v>
      </c>
      <c r="J159" s="9">
        <f>IF(F159&gt;VLOOKUP($B$16,$B$2:$F$9,5,FALSE),MAX(N159,-F159*(VLOOKUP(B159,$B$2:$E$9,4,FALSE)),-2*(6-H158),-(VLOOKUP(B159,$B$2:$G$9,6,FALSE)-D159)),0)</f>
        <v>0</v>
      </c>
      <c r="K159" s="119">
        <f t="shared" si="25"/>
        <v>0</v>
      </c>
      <c r="L159" s="119">
        <f t="shared" ref="L159:L189" si="28">MIN(J159,F159)</f>
        <v>0</v>
      </c>
      <c r="M159" s="119">
        <f>J159-L159</f>
        <v>0</v>
      </c>
      <c r="N159" s="120">
        <v>-2.5</v>
      </c>
      <c r="O159" s="120">
        <v>0</v>
      </c>
      <c r="P159" s="121"/>
      <c r="Q159" s="121"/>
    </row>
    <row r="160" spans="1:28" x14ac:dyDescent="0.3">
      <c r="A160" s="35">
        <f>A159+1</f>
        <v>2</v>
      </c>
      <c r="B160" s="35">
        <v>4</v>
      </c>
      <c r="C160" s="14">
        <v>43307.020833333336</v>
      </c>
      <c r="D160" s="18">
        <v>1.6287947650000001</v>
      </c>
      <c r="E160" s="19">
        <f t="shared" si="24"/>
        <v>1.6287947650000001</v>
      </c>
      <c r="F160" s="16">
        <v>1.831472E-3</v>
      </c>
      <c r="G160" s="10">
        <f t="shared" si="26"/>
        <v>0</v>
      </c>
      <c r="H160" s="10">
        <f t="shared" si="27"/>
        <v>0</v>
      </c>
      <c r="I160" s="73">
        <f>MAX(0,MIN(O160,H159*2,(D160-Sheet1!$C$3)))</f>
        <v>0</v>
      </c>
      <c r="J160" s="9">
        <f>IF(F160&gt;VLOOKUP($B$16,$B$2:$F$9,5,FALSE),MAX(N160,-F160*(VLOOKUP(B160,$B$2:$E$9,4,FALSE)),-2*(6-H159),-(VLOOKUP(B160,$B$2:$G$9,6,FALSE)-D160)),0)</f>
        <v>0</v>
      </c>
      <c r="K160" s="9">
        <f t="shared" si="25"/>
        <v>0</v>
      </c>
      <c r="L160" s="9">
        <f t="shared" si="28"/>
        <v>0</v>
      </c>
      <c r="M160" s="9">
        <f t="shared" ref="M160:M189" si="29">J160-L160</f>
        <v>0</v>
      </c>
      <c r="N160" s="8">
        <v>-2.5</v>
      </c>
      <c r="O160" s="8">
        <v>0</v>
      </c>
      <c r="P160" s="2"/>
      <c r="Q160" s="2"/>
    </row>
    <row r="161" spans="1:17" x14ac:dyDescent="0.3">
      <c r="A161" s="35">
        <f t="shared" ref="A161:A206" si="30">A160+1</f>
        <v>3</v>
      </c>
      <c r="B161" s="35">
        <v>4</v>
      </c>
      <c r="C161" s="14">
        <v>43307.041666666664</v>
      </c>
      <c r="D161" s="18">
        <v>1.5478088889999999</v>
      </c>
      <c r="E161" s="19">
        <f t="shared" si="24"/>
        <v>1.5478088889999999</v>
      </c>
      <c r="F161" s="16">
        <v>1.831472E-3</v>
      </c>
      <c r="G161" s="10">
        <f t="shared" si="26"/>
        <v>0</v>
      </c>
      <c r="H161" s="10">
        <f t="shared" si="27"/>
        <v>0</v>
      </c>
      <c r="I161" s="73">
        <f>MAX(0,MIN(O161,H160*2,(D161-Sheet1!$C$3)))</f>
        <v>0</v>
      </c>
      <c r="J161" s="9">
        <f>IF(F161&gt;VLOOKUP($B$16,$B$2:$F$9,5,FALSE),MAX(N161,-F161*(VLOOKUP(B161,$B$2:$E$9,4,FALSE)),-2*(6-H160),-(VLOOKUP(B161,$B$2:$G$9,6,FALSE)-D161)),0)</f>
        <v>0</v>
      </c>
      <c r="K161" s="9">
        <f t="shared" si="25"/>
        <v>0</v>
      </c>
      <c r="L161" s="9">
        <f t="shared" si="28"/>
        <v>0</v>
      </c>
      <c r="M161" s="9">
        <f t="shared" si="29"/>
        <v>0</v>
      </c>
      <c r="N161" s="8">
        <v>-2.5</v>
      </c>
      <c r="O161" s="8">
        <v>0</v>
      </c>
      <c r="P161" s="2"/>
      <c r="Q161" s="2"/>
    </row>
    <row r="162" spans="1:17" x14ac:dyDescent="0.3">
      <c r="A162" s="35">
        <f t="shared" si="30"/>
        <v>4</v>
      </c>
      <c r="B162" s="35">
        <v>4</v>
      </c>
      <c r="C162" s="14">
        <v>43307.0625</v>
      </c>
      <c r="D162" s="18">
        <v>1.5078089690000001</v>
      </c>
      <c r="E162" s="19">
        <f t="shared" si="24"/>
        <v>1.5078089690000001</v>
      </c>
      <c r="F162" s="16">
        <v>1.831472E-3</v>
      </c>
      <c r="G162" s="10">
        <f t="shared" si="26"/>
        <v>0</v>
      </c>
      <c r="H162" s="10">
        <f t="shared" si="27"/>
        <v>0</v>
      </c>
      <c r="I162" s="73">
        <f>MAX(0,MIN(O162,H161*2,(D162-Sheet1!$C$3)))</f>
        <v>0</v>
      </c>
      <c r="J162" s="9">
        <f>IF(F162&gt;VLOOKUP($B$16,$B$2:$F$9,5,FALSE),MAX(N162,-F162*(VLOOKUP(B162,$B$2:$E$9,4,FALSE)),-2*(6-H161),-(VLOOKUP(B162,$B$2:$G$9,6,FALSE)-D162)),0)</f>
        <v>0</v>
      </c>
      <c r="K162" s="9">
        <f t="shared" si="25"/>
        <v>0</v>
      </c>
      <c r="L162" s="9">
        <f t="shared" si="28"/>
        <v>0</v>
      </c>
      <c r="M162" s="9">
        <f t="shared" si="29"/>
        <v>0</v>
      </c>
      <c r="N162" s="8">
        <v>-2.5</v>
      </c>
      <c r="O162" s="8">
        <v>0</v>
      </c>
      <c r="P162" s="2"/>
      <c r="Q162" s="2"/>
    </row>
    <row r="163" spans="1:17" x14ac:dyDescent="0.3">
      <c r="A163" s="35">
        <f t="shared" si="30"/>
        <v>5</v>
      </c>
      <c r="B163" s="35">
        <v>4</v>
      </c>
      <c r="C163" s="14">
        <v>43307.083333333336</v>
      </c>
      <c r="D163" s="18">
        <v>1.5035148920000001</v>
      </c>
      <c r="E163" s="19">
        <f t="shared" si="24"/>
        <v>1.5035148920000001</v>
      </c>
      <c r="F163" s="16">
        <v>1.831472E-3</v>
      </c>
      <c r="G163" s="10">
        <f t="shared" si="26"/>
        <v>0</v>
      </c>
      <c r="H163" s="10">
        <f t="shared" si="27"/>
        <v>0</v>
      </c>
      <c r="I163" s="73">
        <f>MAX(0,MIN(O163,H162*2,(D163-Sheet1!$C$3)))</f>
        <v>0</v>
      </c>
      <c r="J163" s="9">
        <f>IF(F163&gt;VLOOKUP($B$16,$B$2:$F$9,5,FALSE),MAX(N163,-F163*(VLOOKUP(B163,$B$2:$E$9,4,FALSE)),-2*(6-H162),-(VLOOKUP(B163,$B$2:$G$9,6,FALSE)-D163)),0)</f>
        <v>0</v>
      </c>
      <c r="K163" s="9">
        <f t="shared" si="25"/>
        <v>0</v>
      </c>
      <c r="L163" s="9">
        <f t="shared" si="28"/>
        <v>0</v>
      </c>
      <c r="M163" s="9">
        <f t="shared" si="29"/>
        <v>0</v>
      </c>
      <c r="N163" s="8">
        <v>-2.5</v>
      </c>
      <c r="O163" s="8">
        <v>0</v>
      </c>
      <c r="P163" s="2"/>
      <c r="Q163" s="2"/>
    </row>
    <row r="164" spans="1:17" x14ac:dyDescent="0.3">
      <c r="A164" s="35">
        <f t="shared" si="30"/>
        <v>6</v>
      </c>
      <c r="B164" s="35">
        <v>4</v>
      </c>
      <c r="C164" s="14">
        <v>43307.104166666664</v>
      </c>
      <c r="D164" s="18">
        <v>1.4695851200000001</v>
      </c>
      <c r="E164" s="19">
        <f t="shared" si="24"/>
        <v>1.4695851200000001</v>
      </c>
      <c r="F164" s="16">
        <v>1.831472E-3</v>
      </c>
      <c r="G164" s="10">
        <f t="shared" si="26"/>
        <v>0</v>
      </c>
      <c r="H164" s="10">
        <f t="shared" si="27"/>
        <v>0</v>
      </c>
      <c r="I164" s="73">
        <f>MAX(0,MIN(O164,H163*2,(D164-Sheet1!$C$3)))</f>
        <v>0</v>
      </c>
      <c r="J164" s="9">
        <f>IF(F164&gt;VLOOKUP($B$16,$B$2:$F$9,5,FALSE),MAX(N164,-F164*(VLOOKUP(B164,$B$2:$E$9,4,FALSE)),-2*(6-H163),-(VLOOKUP(B164,$B$2:$G$9,6,FALSE)-D164)),0)</f>
        <v>0</v>
      </c>
      <c r="K164" s="9">
        <f t="shared" si="25"/>
        <v>0</v>
      </c>
      <c r="L164" s="9">
        <f t="shared" si="28"/>
        <v>0</v>
      </c>
      <c r="M164" s="9">
        <f t="shared" si="29"/>
        <v>0</v>
      </c>
      <c r="N164" s="8">
        <v>-2.5</v>
      </c>
      <c r="O164" s="8">
        <v>0</v>
      </c>
      <c r="P164" s="2"/>
      <c r="Q164" s="2"/>
    </row>
    <row r="165" spans="1:17" x14ac:dyDescent="0.3">
      <c r="A165" s="35">
        <f t="shared" si="30"/>
        <v>7</v>
      </c>
      <c r="B165" s="35">
        <v>4</v>
      </c>
      <c r="C165" s="14">
        <v>43307.125</v>
      </c>
      <c r="D165" s="18">
        <v>1.471375758</v>
      </c>
      <c r="E165" s="19">
        <f t="shared" si="24"/>
        <v>1.471375758</v>
      </c>
      <c r="F165" s="16">
        <v>1.831472E-3</v>
      </c>
      <c r="G165" s="10">
        <f t="shared" si="26"/>
        <v>0</v>
      </c>
      <c r="H165" s="10">
        <f t="shared" si="27"/>
        <v>0</v>
      </c>
      <c r="I165" s="73">
        <f>MAX(0,MIN(O165,H164*2,(D165-Sheet1!$C$3)))</f>
        <v>0</v>
      </c>
      <c r="J165" s="9">
        <f>IF(F165&gt;VLOOKUP($B$16,$B$2:$F$9,5,FALSE),MAX(N165,-F165*(VLOOKUP(B165,$B$2:$E$9,4,FALSE)),-2*(6-H164),-(VLOOKUP(B165,$B$2:$G$9,6,FALSE)-D165)),0)</f>
        <v>0</v>
      </c>
      <c r="K165" s="9">
        <f t="shared" si="25"/>
        <v>0</v>
      </c>
      <c r="L165" s="9">
        <f t="shared" si="28"/>
        <v>0</v>
      </c>
      <c r="M165" s="9">
        <f t="shared" si="29"/>
        <v>0</v>
      </c>
      <c r="N165" s="8">
        <v>-2.5</v>
      </c>
      <c r="O165" s="8">
        <v>0</v>
      </c>
      <c r="P165" s="2"/>
      <c r="Q165" s="2"/>
    </row>
    <row r="166" spans="1:17" x14ac:dyDescent="0.3">
      <c r="A166" s="35">
        <f t="shared" si="30"/>
        <v>8</v>
      </c>
      <c r="B166" s="35">
        <v>4</v>
      </c>
      <c r="C166" s="14">
        <v>43307.145833333336</v>
      </c>
      <c r="D166" s="18">
        <v>1.4393763900000001</v>
      </c>
      <c r="E166" s="19">
        <f t="shared" si="24"/>
        <v>1.4393763900000001</v>
      </c>
      <c r="F166" s="16">
        <v>1.831472E-3</v>
      </c>
      <c r="G166" s="10">
        <f t="shared" si="26"/>
        <v>0</v>
      </c>
      <c r="H166" s="10">
        <f t="shared" si="27"/>
        <v>0</v>
      </c>
      <c r="I166" s="73">
        <f>MAX(0,MIN(O166,H165*2,(D166-Sheet1!$C$3)))</f>
        <v>0</v>
      </c>
      <c r="J166" s="9">
        <f>IF(F166&gt;VLOOKUP($B$16,$B$2:$F$9,5,FALSE),MAX(N166,-F166*(VLOOKUP(B166,$B$2:$E$9,4,FALSE)),-2*(6-H165),-(VLOOKUP(B166,$B$2:$G$9,6,FALSE)-D166)),0)</f>
        <v>0</v>
      </c>
      <c r="K166" s="9">
        <f t="shared" si="25"/>
        <v>0</v>
      </c>
      <c r="L166" s="9">
        <f t="shared" si="28"/>
        <v>0</v>
      </c>
      <c r="M166" s="9">
        <f t="shared" si="29"/>
        <v>0</v>
      </c>
      <c r="N166" s="8">
        <v>-2.5</v>
      </c>
      <c r="O166" s="8">
        <v>0</v>
      </c>
      <c r="P166" s="2"/>
      <c r="Q166" s="2"/>
    </row>
    <row r="167" spans="1:17" x14ac:dyDescent="0.3">
      <c r="A167" s="35">
        <f t="shared" si="30"/>
        <v>9</v>
      </c>
      <c r="B167" s="35">
        <v>4</v>
      </c>
      <c r="C167" s="14">
        <v>43307.166666666664</v>
      </c>
      <c r="D167" s="18">
        <v>1.521176106</v>
      </c>
      <c r="E167" s="19">
        <f t="shared" si="24"/>
        <v>1.521176106</v>
      </c>
      <c r="F167" s="16">
        <v>1.2332022E-2</v>
      </c>
      <c r="G167" s="10">
        <f t="shared" si="26"/>
        <v>0</v>
      </c>
      <c r="H167" s="10">
        <f t="shared" si="27"/>
        <v>0</v>
      </c>
      <c r="I167" s="73">
        <f>MAX(0,MIN(O167,H166*2,(D167-Sheet1!$C$3)))</f>
        <v>0</v>
      </c>
      <c r="J167" s="9">
        <f>IF(F167&gt;VLOOKUP($B$16,$B$2:$F$9,5,FALSE),MAX(N167,-F167*(VLOOKUP(B167,$B$2:$E$9,4,FALSE)),-2*(6-H166),-(VLOOKUP(B167,$B$2:$G$9,6,FALSE)-D167)),0)</f>
        <v>0</v>
      </c>
      <c r="K167" s="9">
        <f t="shared" si="25"/>
        <v>0</v>
      </c>
      <c r="L167" s="9">
        <f t="shared" si="28"/>
        <v>0</v>
      </c>
      <c r="M167" s="9">
        <f t="shared" si="29"/>
        <v>0</v>
      </c>
      <c r="N167" s="8">
        <v>-2.5</v>
      </c>
      <c r="O167" s="8">
        <v>0</v>
      </c>
      <c r="P167" s="2"/>
      <c r="Q167" s="2"/>
    </row>
    <row r="168" spans="1:17" x14ac:dyDescent="0.3">
      <c r="A168" s="35">
        <f t="shared" si="30"/>
        <v>10</v>
      </c>
      <c r="B168" s="35">
        <v>4</v>
      </c>
      <c r="C168" s="14">
        <v>43307.1875</v>
      </c>
      <c r="D168" s="18">
        <v>1.6476078110000001</v>
      </c>
      <c r="E168" s="19">
        <f t="shared" si="24"/>
        <v>1.6476078110000001</v>
      </c>
      <c r="F168" s="16">
        <v>1.2332022E-2</v>
      </c>
      <c r="G168" s="10">
        <f t="shared" si="26"/>
        <v>0</v>
      </c>
      <c r="H168" s="10">
        <f t="shared" si="27"/>
        <v>0</v>
      </c>
      <c r="I168" s="73">
        <f>MAX(0,MIN(O168,H167*2,(D168-Sheet1!$C$3)))</f>
        <v>0</v>
      </c>
      <c r="J168" s="9">
        <f>IF(F168&gt;VLOOKUP($B$16,$B$2:$F$9,5,FALSE),MAX(N168,-F168*(VLOOKUP(B168,$B$2:$E$9,4,FALSE)),-2*(6-H167),-(VLOOKUP(B168,$B$2:$G$9,6,FALSE)-D168)),0)</f>
        <v>0</v>
      </c>
      <c r="K168" s="9">
        <f t="shared" si="25"/>
        <v>0</v>
      </c>
      <c r="L168" s="9">
        <f t="shared" si="28"/>
        <v>0</v>
      </c>
      <c r="M168" s="9">
        <f t="shared" si="29"/>
        <v>0</v>
      </c>
      <c r="N168" s="8">
        <v>-2.5</v>
      </c>
      <c r="O168" s="8">
        <v>0</v>
      </c>
      <c r="P168" s="2"/>
      <c r="Q168" s="2"/>
    </row>
    <row r="169" spans="1:17" x14ac:dyDescent="0.3">
      <c r="A169" s="35">
        <f t="shared" si="30"/>
        <v>11</v>
      </c>
      <c r="B169" s="35">
        <v>4</v>
      </c>
      <c r="C169" s="14">
        <v>43307.208333333336</v>
      </c>
      <c r="D169" s="18">
        <v>1.9450540329999999</v>
      </c>
      <c r="E169" s="19">
        <f t="shared" si="24"/>
        <v>1.9450540329999999</v>
      </c>
      <c r="F169" s="16">
        <v>0.235431314</v>
      </c>
      <c r="G169" s="10">
        <f t="shared" si="26"/>
        <v>0</v>
      </c>
      <c r="H169" s="10">
        <f t="shared" si="27"/>
        <v>0</v>
      </c>
      <c r="I169" s="73">
        <f>MAX(0,MIN(O169,H168*2,(D169-Sheet1!$C$3)))</f>
        <v>0</v>
      </c>
      <c r="J169" s="9">
        <f>IF(F169&gt;VLOOKUP($B$16,$B$2:$F$9,5,FALSE),MAX(N169,-F169*(VLOOKUP(B169,$B$2:$E$9,4,FALSE)),-2*(6-H168),-(VLOOKUP(B169,$B$2:$G$9,6,FALSE)-D169)),0)</f>
        <v>0</v>
      </c>
      <c r="K169" s="9">
        <f t="shared" si="25"/>
        <v>0</v>
      </c>
      <c r="L169" s="9">
        <f t="shared" si="28"/>
        <v>0</v>
      </c>
      <c r="M169" s="9">
        <f t="shared" si="29"/>
        <v>0</v>
      </c>
      <c r="N169" s="8">
        <v>-2.5</v>
      </c>
      <c r="O169" s="8">
        <v>0</v>
      </c>
      <c r="P169" s="2"/>
      <c r="Q169" s="2"/>
    </row>
    <row r="170" spans="1:17" x14ac:dyDescent="0.3">
      <c r="A170" s="35">
        <f t="shared" si="30"/>
        <v>12</v>
      </c>
      <c r="B170" s="35">
        <v>4</v>
      </c>
      <c r="C170" s="14">
        <v>43307.229166666664</v>
      </c>
      <c r="D170" s="18">
        <v>2.2284026510000001</v>
      </c>
      <c r="E170" s="19">
        <f t="shared" si="24"/>
        <v>2.2284026510000001</v>
      </c>
      <c r="F170" s="16">
        <v>0.235431314</v>
      </c>
      <c r="G170" s="10">
        <f t="shared" si="26"/>
        <v>0</v>
      </c>
      <c r="H170" s="10">
        <f t="shared" si="27"/>
        <v>0</v>
      </c>
      <c r="I170" s="73">
        <f>MAX(0,MIN(O170,H169*2,(D170-Sheet1!$C$3)))</f>
        <v>0</v>
      </c>
      <c r="J170" s="9">
        <f>IF(F170&gt;VLOOKUP($B$16,$B$2:$F$9,5,FALSE),MAX(N170,-F170*(VLOOKUP(B170,$B$2:$E$9,4,FALSE)),-2*(6-H169),-(VLOOKUP(B170,$B$2:$G$9,6,FALSE)-D170)),0)</f>
        <v>0</v>
      </c>
      <c r="K170" s="9">
        <f t="shared" si="25"/>
        <v>0</v>
      </c>
      <c r="L170" s="9">
        <f t="shared" si="28"/>
        <v>0</v>
      </c>
      <c r="M170" s="9">
        <f t="shared" si="29"/>
        <v>0</v>
      </c>
      <c r="N170" s="8">
        <v>-2.5</v>
      </c>
      <c r="O170" s="8">
        <v>0</v>
      </c>
      <c r="P170" s="2"/>
      <c r="Q170" s="2"/>
    </row>
    <row r="171" spans="1:17" x14ac:dyDescent="0.3">
      <c r="A171" s="35">
        <f t="shared" si="30"/>
        <v>13</v>
      </c>
      <c r="B171" s="35">
        <v>4</v>
      </c>
      <c r="C171" s="14">
        <v>43307.25</v>
      </c>
      <c r="D171" s="18">
        <v>2.6167831399999999</v>
      </c>
      <c r="E171" s="19">
        <f t="shared" si="24"/>
        <v>2.6167831399999999</v>
      </c>
      <c r="F171" s="16">
        <v>0.48470419599999998</v>
      </c>
      <c r="G171" s="10">
        <f t="shared" si="26"/>
        <v>0</v>
      </c>
      <c r="H171" s="10">
        <f t="shared" si="27"/>
        <v>0</v>
      </c>
      <c r="I171" s="73">
        <f>MAX(0,MIN(O171,H170*2,(D171-Sheet1!$C$3)))</f>
        <v>0</v>
      </c>
      <c r="J171" s="9">
        <f>IF(F171&gt;VLOOKUP($B$16,$B$2:$F$9,5,FALSE),MAX(N171,-F171*(VLOOKUP(B171,$B$2:$E$9,4,FALSE)),-2*(6-H170),-(VLOOKUP(B171,$B$2:$G$9,6,FALSE)-D171)),0)</f>
        <v>0</v>
      </c>
      <c r="K171" s="9">
        <f t="shared" si="25"/>
        <v>0</v>
      </c>
      <c r="L171" s="9">
        <f t="shared" si="28"/>
        <v>0</v>
      </c>
      <c r="M171" s="9">
        <f t="shared" si="29"/>
        <v>0</v>
      </c>
      <c r="N171" s="8">
        <v>-2.5</v>
      </c>
      <c r="O171" s="8">
        <v>0</v>
      </c>
      <c r="P171" s="2"/>
      <c r="Q171" s="2"/>
    </row>
    <row r="172" spans="1:17" x14ac:dyDescent="0.3">
      <c r="A172" s="35">
        <f t="shared" si="30"/>
        <v>14</v>
      </c>
      <c r="B172" s="35">
        <v>4</v>
      </c>
      <c r="C172" s="14">
        <v>43307.270833333336</v>
      </c>
      <c r="D172" s="18">
        <v>2.7393697399999999</v>
      </c>
      <c r="E172" s="19">
        <f t="shared" si="24"/>
        <v>2.7393697399999999</v>
      </c>
      <c r="F172" s="16">
        <v>0.65905720000000001</v>
      </c>
      <c r="G172" s="10">
        <f t="shared" si="26"/>
        <v>0</v>
      </c>
      <c r="H172" s="10">
        <f t="shared" si="27"/>
        <v>0</v>
      </c>
      <c r="I172" s="73">
        <f>MAX(0,MIN(O172,H171*2,(D172-Sheet1!$C$3)))</f>
        <v>0</v>
      </c>
      <c r="J172" s="9">
        <f>IF(F172&gt;VLOOKUP($B$16,$B$2:$F$9,5,FALSE),MAX(N172,-F172*(VLOOKUP(B172,$B$2:$E$9,4,FALSE)),-2*(6-H171),-(VLOOKUP(B172,$B$2:$G$9,6,FALSE)-D172)),0)</f>
        <v>0</v>
      </c>
      <c r="K172" s="9">
        <f t="shared" si="25"/>
        <v>0</v>
      </c>
      <c r="L172" s="9">
        <f t="shared" si="28"/>
        <v>0</v>
      </c>
      <c r="M172" s="9">
        <f t="shared" si="29"/>
        <v>0</v>
      </c>
      <c r="N172" s="8">
        <v>-2.5</v>
      </c>
      <c r="O172" s="8">
        <v>0</v>
      </c>
      <c r="P172" s="2"/>
      <c r="Q172" s="2"/>
    </row>
    <row r="173" spans="1:17" x14ac:dyDescent="0.3">
      <c r="A173" s="35">
        <f t="shared" si="30"/>
        <v>15</v>
      </c>
      <c r="B173" s="35">
        <v>4</v>
      </c>
      <c r="C173" s="14">
        <v>43307.291666666664</v>
      </c>
      <c r="D173" s="18">
        <v>2.8342047560000001</v>
      </c>
      <c r="E173" s="19">
        <f t="shared" si="24"/>
        <v>3.4307331540072887</v>
      </c>
      <c r="F173" s="16">
        <v>1.144121647</v>
      </c>
      <c r="G173" s="10">
        <f t="shared" si="26"/>
        <v>0.59652839800728841</v>
      </c>
      <c r="H173" s="10">
        <f t="shared" si="27"/>
        <v>0.2982641990036442</v>
      </c>
      <c r="I173" s="73">
        <f>MAX(0,MIN(O173,H172*2,(D173-Sheet1!$C$3)))</f>
        <v>0</v>
      </c>
      <c r="J173" s="9">
        <f>IF(F173&gt;VLOOKUP($B$16,$B$2:$F$9,5,FALSE),MAX(N173,-F173*(VLOOKUP(B173,$B$2:$E$9,4,FALSE)),-2*(6-H172),-(VLOOKUP(B173,$B$2:$G$9,6,FALSE)-D173)),0)</f>
        <v>-0.59652839800728841</v>
      </c>
      <c r="K173" s="9">
        <f t="shared" si="25"/>
        <v>0</v>
      </c>
      <c r="L173" s="9">
        <f t="shared" si="28"/>
        <v>-0.59652839800728841</v>
      </c>
      <c r="M173" s="9">
        <f t="shared" si="29"/>
        <v>0</v>
      </c>
      <c r="N173" s="8">
        <v>-2.5</v>
      </c>
      <c r="O173" s="8">
        <v>0</v>
      </c>
      <c r="P173" s="2"/>
      <c r="Q173" s="2"/>
    </row>
    <row r="174" spans="1:17" x14ac:dyDescent="0.3">
      <c r="A174" s="35">
        <f t="shared" si="30"/>
        <v>16</v>
      </c>
      <c r="B174" s="35">
        <v>4</v>
      </c>
      <c r="C174" s="14">
        <v>43307.3125</v>
      </c>
      <c r="D174" s="18">
        <v>2.809653586</v>
      </c>
      <c r="E174" s="19">
        <f t="shared" si="24"/>
        <v>3.4359646101000005</v>
      </c>
      <c r="F174" s="16">
        <v>1.392318964</v>
      </c>
      <c r="G174" s="10">
        <f t="shared" si="26"/>
        <v>0.6263110241000005</v>
      </c>
      <c r="H174" s="10">
        <f t="shared" si="27"/>
        <v>0.61141971105364445</v>
      </c>
      <c r="I174" s="73">
        <f>MAX(0,MIN(O174,H173*2,(D174-Sheet1!$C$3)))</f>
        <v>0</v>
      </c>
      <c r="J174" s="9">
        <f>IF(F174&gt;VLOOKUP($B$16,$B$2:$F$9,5,FALSE),MAX(N174,-F174*(VLOOKUP(B174,$B$2:$E$9,4,FALSE)),-2*(6-H173),-(VLOOKUP(B174,$B$2:$G$9,6,FALSE)-D174)),0)</f>
        <v>-0.6263110241000005</v>
      </c>
      <c r="K174" s="9">
        <f t="shared" si="25"/>
        <v>0</v>
      </c>
      <c r="L174" s="9">
        <f t="shared" si="28"/>
        <v>-0.6263110241000005</v>
      </c>
      <c r="M174" s="9">
        <f t="shared" si="29"/>
        <v>0</v>
      </c>
      <c r="N174" s="8">
        <v>-2.5</v>
      </c>
      <c r="O174" s="8">
        <v>0</v>
      </c>
      <c r="P174" s="2"/>
      <c r="Q174" s="2"/>
    </row>
    <row r="175" spans="1:17" x14ac:dyDescent="0.3">
      <c r="A175" s="35">
        <f t="shared" si="30"/>
        <v>17</v>
      </c>
      <c r="B175" s="35">
        <v>4</v>
      </c>
      <c r="C175" s="14">
        <v>43307.333333333336</v>
      </c>
      <c r="D175" s="18">
        <v>2.6512152410000001</v>
      </c>
      <c r="E175" s="19">
        <f t="shared" si="24"/>
        <v>3.4359646101000005</v>
      </c>
      <c r="F175" s="16">
        <v>1.770438671</v>
      </c>
      <c r="G175" s="10">
        <f t="shared" si="26"/>
        <v>0.78474936910000048</v>
      </c>
      <c r="H175" s="10">
        <f t="shared" si="27"/>
        <v>1.0037943956036446</v>
      </c>
      <c r="I175" s="73">
        <f>MAX(0,MIN(O175,H174*2,(D175-Sheet1!$C$3)))</f>
        <v>0</v>
      </c>
      <c r="J175" s="9">
        <f>IF(F175&gt;VLOOKUP($B$16,$B$2:$F$9,5,FALSE),MAX(N175,-F175*(VLOOKUP(B175,$B$2:$E$9,4,FALSE)),-2*(6-H174),-(VLOOKUP(B175,$B$2:$G$9,6,FALSE)-D175)),0)</f>
        <v>-0.78474936910000048</v>
      </c>
      <c r="K175" s="9">
        <f t="shared" si="25"/>
        <v>0</v>
      </c>
      <c r="L175" s="9">
        <f t="shared" si="28"/>
        <v>-0.78474936910000048</v>
      </c>
      <c r="M175" s="9">
        <f t="shared" si="29"/>
        <v>0</v>
      </c>
      <c r="N175" s="8">
        <v>-2.5</v>
      </c>
      <c r="O175" s="8">
        <v>0</v>
      </c>
      <c r="P175" s="2"/>
      <c r="Q175" s="2"/>
    </row>
    <row r="176" spans="1:17" x14ac:dyDescent="0.3">
      <c r="A176" s="35">
        <f t="shared" si="30"/>
        <v>18</v>
      </c>
      <c r="B176" s="35">
        <v>4</v>
      </c>
      <c r="C176" s="14">
        <v>43307.354166666664</v>
      </c>
      <c r="D176" s="18">
        <v>2.6211196220000001</v>
      </c>
      <c r="E176" s="19">
        <f t="shared" si="24"/>
        <v>3.4359646101000005</v>
      </c>
      <c r="F176" s="16">
        <v>2.0474381450000001</v>
      </c>
      <c r="G176" s="10">
        <f t="shared" si="26"/>
        <v>0.81484498810000039</v>
      </c>
      <c r="H176" s="10">
        <f t="shared" si="27"/>
        <v>1.4112168896536448</v>
      </c>
      <c r="I176" s="73">
        <f>MAX(0,MIN(O176,H175*2,(D176-Sheet1!$C$3)))</f>
        <v>0</v>
      </c>
      <c r="J176" s="9">
        <f>IF(F176&gt;VLOOKUP($B$16,$B$2:$F$9,5,FALSE),MAX(N176,-F176*(VLOOKUP(B176,$B$2:$E$9,4,FALSE)),-2*(6-H175),-(VLOOKUP(B176,$B$2:$G$9,6,FALSE)-D176)),0)</f>
        <v>-0.81484498810000039</v>
      </c>
      <c r="K176" s="9">
        <f t="shared" si="25"/>
        <v>0</v>
      </c>
      <c r="L176" s="9">
        <f t="shared" si="28"/>
        <v>-0.81484498810000039</v>
      </c>
      <c r="M176" s="9">
        <f t="shared" si="29"/>
        <v>0</v>
      </c>
      <c r="N176" s="8">
        <v>-2.5</v>
      </c>
      <c r="O176" s="8">
        <v>0</v>
      </c>
      <c r="P176" s="2"/>
      <c r="Q176" s="2"/>
    </row>
    <row r="177" spans="1:28" x14ac:dyDescent="0.3">
      <c r="A177" s="35">
        <f t="shared" si="30"/>
        <v>19</v>
      </c>
      <c r="B177" s="35">
        <v>4</v>
      </c>
      <c r="C177" s="14">
        <v>43307.375</v>
      </c>
      <c r="D177" s="18">
        <v>2.584165284</v>
      </c>
      <c r="E177" s="19">
        <f t="shared" si="24"/>
        <v>3.4359646101000005</v>
      </c>
      <c r="F177" s="16">
        <v>2.7007791999999999</v>
      </c>
      <c r="G177" s="10">
        <f t="shared" si="26"/>
        <v>0.85179932610000053</v>
      </c>
      <c r="H177" s="10">
        <f t="shared" si="27"/>
        <v>1.837116552703645</v>
      </c>
      <c r="I177" s="73">
        <f>MAX(0,MIN(O177,H176*2,(D177-Sheet1!$C$3)))</f>
        <v>0</v>
      </c>
      <c r="J177" s="9">
        <f>IF(F177&gt;VLOOKUP($B$16,$B$2:$F$9,5,FALSE),MAX(N177,-F177*(VLOOKUP(B177,$B$2:$E$9,4,FALSE)),-2*(6-H176),-(VLOOKUP(B177,$B$2:$G$9,6,FALSE)-D177)),0)</f>
        <v>-0.85179932610000053</v>
      </c>
      <c r="K177" s="9">
        <f t="shared" si="25"/>
        <v>0</v>
      </c>
      <c r="L177" s="9">
        <f t="shared" si="28"/>
        <v>-0.85179932610000053</v>
      </c>
      <c r="M177" s="9">
        <f t="shared" si="29"/>
        <v>0</v>
      </c>
      <c r="N177" s="8">
        <v>-2.5</v>
      </c>
      <c r="O177" s="8">
        <v>0</v>
      </c>
      <c r="P177" s="2"/>
      <c r="Q177" s="2"/>
    </row>
    <row r="178" spans="1:28" x14ac:dyDescent="0.3">
      <c r="A178" s="35">
        <f t="shared" si="30"/>
        <v>20</v>
      </c>
      <c r="B178" s="35">
        <v>4</v>
      </c>
      <c r="C178" s="14">
        <v>43307.395833333336</v>
      </c>
      <c r="D178" s="18">
        <v>2.5290564469999999</v>
      </c>
      <c r="E178" s="19">
        <f t="shared" si="24"/>
        <v>3.4359646101000005</v>
      </c>
      <c r="F178" s="16">
        <v>2.8177604679999999</v>
      </c>
      <c r="G178" s="10">
        <f t="shared" si="26"/>
        <v>0.90690816310000066</v>
      </c>
      <c r="H178" s="10">
        <f t="shared" si="27"/>
        <v>2.2905706342536454</v>
      </c>
      <c r="I178" s="73">
        <f>MAX(0,MIN(O178,H177*2,(D178-Sheet1!$C$3)))</f>
        <v>0</v>
      </c>
      <c r="J178" s="9">
        <f>IF(F178&gt;VLOOKUP($B$16,$B$2:$F$9,5,FALSE),MAX(N178,-F178*(VLOOKUP(B178,$B$2:$E$9,4,FALSE)),-2*(6-H177),-(VLOOKUP(B178,$B$2:$G$9,6,FALSE)-D178)),0)</f>
        <v>-0.90690816310000066</v>
      </c>
      <c r="K178" s="9">
        <f t="shared" si="25"/>
        <v>0</v>
      </c>
      <c r="L178" s="9">
        <f t="shared" si="28"/>
        <v>-0.90690816310000066</v>
      </c>
      <c r="M178" s="9">
        <f t="shared" si="29"/>
        <v>0</v>
      </c>
      <c r="N178" s="8">
        <v>-2.5</v>
      </c>
      <c r="O178" s="8">
        <v>0</v>
      </c>
      <c r="P178" s="2"/>
      <c r="Q178" s="2"/>
    </row>
    <row r="179" spans="1:28" x14ac:dyDescent="0.3">
      <c r="A179" s="35">
        <f t="shared" si="30"/>
        <v>21</v>
      </c>
      <c r="B179" s="35">
        <v>4</v>
      </c>
      <c r="C179" s="14">
        <v>43307.416666666664</v>
      </c>
      <c r="D179" s="18">
        <v>2.4411957809999998</v>
      </c>
      <c r="E179" s="19">
        <f t="shared" si="24"/>
        <v>3.4359646101000005</v>
      </c>
      <c r="F179" s="16">
        <v>3.0296885969999998</v>
      </c>
      <c r="G179" s="10">
        <f t="shared" si="26"/>
        <v>0.99476882910000075</v>
      </c>
      <c r="H179" s="10">
        <f t="shared" si="27"/>
        <v>2.7879550488036458</v>
      </c>
      <c r="I179" s="73">
        <f>MAX(0,MIN(O179,H178*2,(D179-Sheet1!$C$3)))</f>
        <v>0</v>
      </c>
      <c r="J179" s="9">
        <f>IF(F179&gt;VLOOKUP($B$16,$B$2:$F$9,5,FALSE),MAX(N179,-F179*(VLOOKUP(B179,$B$2:$E$9,4,FALSE)),-2*(6-H178),-(VLOOKUP(B179,$B$2:$G$9,6,FALSE)-D179)),0)</f>
        <v>-0.99476882910000075</v>
      </c>
      <c r="K179" s="9">
        <f t="shared" si="25"/>
        <v>0</v>
      </c>
      <c r="L179" s="9">
        <f t="shared" si="28"/>
        <v>-0.99476882910000075</v>
      </c>
      <c r="M179" s="9">
        <f t="shared" si="29"/>
        <v>0</v>
      </c>
      <c r="N179" s="8">
        <v>-2.5</v>
      </c>
      <c r="O179" s="8">
        <v>0</v>
      </c>
      <c r="P179" s="2"/>
      <c r="Q179" s="2"/>
    </row>
    <row r="180" spans="1:28" x14ac:dyDescent="0.3">
      <c r="A180" s="35">
        <f t="shared" si="30"/>
        <v>22</v>
      </c>
      <c r="B180" s="35">
        <v>4</v>
      </c>
      <c r="C180" s="14">
        <v>43307.4375</v>
      </c>
      <c r="D180" s="18">
        <v>2.4208019919999999</v>
      </c>
      <c r="E180" s="19">
        <f t="shared" si="24"/>
        <v>3.4359646101000005</v>
      </c>
      <c r="F180" s="16">
        <v>3.082064629</v>
      </c>
      <c r="G180" s="10">
        <f t="shared" si="26"/>
        <v>1.0151626181000006</v>
      </c>
      <c r="H180" s="10">
        <f t="shared" si="27"/>
        <v>3.2955363578536461</v>
      </c>
      <c r="I180" s="73">
        <f>MAX(0,MIN(O180,H179*2,(D180-Sheet1!$C$3)))</f>
        <v>0</v>
      </c>
      <c r="J180" s="9">
        <f>IF(F180&gt;VLOOKUP($B$16,$B$2:$F$9,5,FALSE),MAX(N180,-F180*(VLOOKUP(B180,$B$2:$E$9,4,FALSE)),-2*(6-H179),-(VLOOKUP(B180,$B$2:$G$9,6,FALSE)-D180)),0)</f>
        <v>-1.0151626181000006</v>
      </c>
      <c r="K180" s="9">
        <f t="shared" si="25"/>
        <v>0</v>
      </c>
      <c r="L180" s="9">
        <f t="shared" si="28"/>
        <v>-1.0151626181000006</v>
      </c>
      <c r="M180" s="9">
        <f t="shared" si="29"/>
        <v>0</v>
      </c>
      <c r="N180" s="8">
        <v>-2.5</v>
      </c>
      <c r="O180" s="8">
        <v>0</v>
      </c>
      <c r="P180" s="2"/>
      <c r="Q180" s="2"/>
    </row>
    <row r="181" spans="1:28" x14ac:dyDescent="0.3">
      <c r="A181" s="35">
        <f t="shared" si="30"/>
        <v>23</v>
      </c>
      <c r="B181" s="35">
        <v>4</v>
      </c>
      <c r="C181" s="14">
        <v>43307.458333333336</v>
      </c>
      <c r="D181" s="18">
        <v>2.3520801910000002</v>
      </c>
      <c r="E181" s="19">
        <f t="shared" si="24"/>
        <v>3.4359646101000005</v>
      </c>
      <c r="F181" s="16">
        <v>3.1302683349999998</v>
      </c>
      <c r="G181" s="10">
        <f t="shared" si="26"/>
        <v>1.0838844191000003</v>
      </c>
      <c r="H181" s="10">
        <f t="shared" si="27"/>
        <v>3.8374785674036462</v>
      </c>
      <c r="I181" s="73">
        <f>MAX(0,MIN(O181,H180*2,(D181-Sheet1!$C$3)))</f>
        <v>0</v>
      </c>
      <c r="J181" s="9">
        <f>IF(F181&gt;VLOOKUP($B$16,$B$2:$F$9,5,FALSE),MAX(N181,-F181*(VLOOKUP(B181,$B$2:$E$9,4,FALSE)),-2*(6-H180),-(VLOOKUP(B181,$B$2:$G$9,6,FALSE)-D181)),0)</f>
        <v>-1.0838844191000003</v>
      </c>
      <c r="K181" s="9">
        <f t="shared" si="25"/>
        <v>0</v>
      </c>
      <c r="L181" s="9">
        <f t="shared" si="28"/>
        <v>-1.0838844191000003</v>
      </c>
      <c r="M181" s="9">
        <f t="shared" si="29"/>
        <v>0</v>
      </c>
      <c r="N181" s="8">
        <v>-2.5</v>
      </c>
      <c r="O181" s="8">
        <v>0</v>
      </c>
      <c r="P181" s="2"/>
      <c r="Q181" s="2"/>
    </row>
    <row r="182" spans="1:28" x14ac:dyDescent="0.3">
      <c r="A182" s="35">
        <f t="shared" si="30"/>
        <v>24</v>
      </c>
      <c r="B182" s="35">
        <v>4</v>
      </c>
      <c r="C182" s="14">
        <v>43307.479166666664</v>
      </c>
      <c r="D182" s="18">
        <v>2.313610943</v>
      </c>
      <c r="E182" s="19">
        <f t="shared" si="24"/>
        <v>3.4359646101000005</v>
      </c>
      <c r="F182" s="16">
        <v>3.1475880150000002</v>
      </c>
      <c r="G182" s="10">
        <f t="shared" si="26"/>
        <v>1.1223536671000005</v>
      </c>
      <c r="H182" s="10">
        <f t="shared" si="27"/>
        <v>4.3986554009536469</v>
      </c>
      <c r="I182" s="73">
        <f>MAX(0,MIN(O182,H181*2,(D182-Sheet1!$C$3)))</f>
        <v>0</v>
      </c>
      <c r="J182" s="9">
        <f>IF(F182&gt;VLOOKUP($B$16,$B$2:$F$9,5,FALSE),MAX(N182,-F182*(VLOOKUP(B182,$B$2:$E$9,4,FALSE)),-2*(6-H181),-(VLOOKUP(B182,$B$2:$G$9,6,FALSE)-D182)),0)</f>
        <v>-1.1223536671000005</v>
      </c>
      <c r="K182" s="9">
        <f t="shared" si="25"/>
        <v>0</v>
      </c>
      <c r="L182" s="9">
        <f t="shared" si="28"/>
        <v>-1.1223536671000005</v>
      </c>
      <c r="M182" s="9">
        <f t="shared" si="29"/>
        <v>0</v>
      </c>
      <c r="N182" s="8">
        <v>-2.5</v>
      </c>
      <c r="O182" s="8">
        <v>0</v>
      </c>
      <c r="P182" s="2"/>
      <c r="Q182" s="2"/>
    </row>
    <row r="183" spans="1:28" x14ac:dyDescent="0.3">
      <c r="A183" s="35">
        <f t="shared" si="30"/>
        <v>25</v>
      </c>
      <c r="B183" s="35">
        <v>4</v>
      </c>
      <c r="C183" s="14">
        <v>43307.5</v>
      </c>
      <c r="D183" s="18">
        <v>2.262037377</v>
      </c>
      <c r="E183" s="19">
        <f t="shared" si="24"/>
        <v>3.4359646101000005</v>
      </c>
      <c r="F183" s="16">
        <v>2.7828764920000002</v>
      </c>
      <c r="G183" s="10">
        <f t="shared" si="26"/>
        <v>1.1739272331000006</v>
      </c>
      <c r="H183" s="10">
        <f t="shared" si="27"/>
        <v>4.9856190175036472</v>
      </c>
      <c r="I183" s="73">
        <f>MAX(0,MIN(O183,H182*2,(D183-Sheet1!$C$3)))</f>
        <v>0</v>
      </c>
      <c r="J183" s="9">
        <f>IF(F183&gt;VLOOKUP($B$16,$B$2:$F$9,5,FALSE),MAX(N183,-F183*(VLOOKUP(B183,$B$2:$E$9,4,FALSE)),-2*(6-H182),-(VLOOKUP(B183,$B$2:$G$9,6,FALSE)-D183)),0)</f>
        <v>-1.1739272331000006</v>
      </c>
      <c r="K183" s="9">
        <f t="shared" si="25"/>
        <v>0</v>
      </c>
      <c r="L183" s="9">
        <f t="shared" si="28"/>
        <v>-1.1739272331000006</v>
      </c>
      <c r="M183" s="9">
        <f t="shared" si="29"/>
        <v>0</v>
      </c>
      <c r="N183" s="8">
        <v>-2.5</v>
      </c>
      <c r="O183" s="8">
        <v>0</v>
      </c>
      <c r="P183" s="2"/>
      <c r="Q183" s="2"/>
    </row>
    <row r="184" spans="1:28" x14ac:dyDescent="0.3">
      <c r="A184" s="35">
        <f t="shared" si="30"/>
        <v>26</v>
      </c>
      <c r="B184" s="35">
        <v>4</v>
      </c>
      <c r="C184" s="14">
        <v>43307.520833333336</v>
      </c>
      <c r="D184" s="18">
        <v>2.2419795379999998</v>
      </c>
      <c r="E184" s="19">
        <f t="shared" si="24"/>
        <v>3.4359646101000005</v>
      </c>
      <c r="F184" s="16">
        <v>2.6863272189999998</v>
      </c>
      <c r="G184" s="10">
        <f t="shared" si="26"/>
        <v>1.1939850721000007</v>
      </c>
      <c r="H184" s="10">
        <f t="shared" si="27"/>
        <v>5.5826115535536474</v>
      </c>
      <c r="I184" s="73">
        <f>MAX(0,MIN(O184,H183*2,(D184-Sheet1!$C$3)))</f>
        <v>0</v>
      </c>
      <c r="J184" s="9">
        <f>IF(F184&gt;VLOOKUP($B$16,$B$2:$F$9,5,FALSE),MAX(N184,-F184*(VLOOKUP(B184,$B$2:$E$9,4,FALSE)),-2*(6-H183),-(VLOOKUP(B184,$B$2:$G$9,6,FALSE)-D184)),0)</f>
        <v>-1.1939850721000007</v>
      </c>
      <c r="K184" s="9">
        <f t="shared" si="25"/>
        <v>0</v>
      </c>
      <c r="L184" s="9">
        <f t="shared" si="28"/>
        <v>-1.1939850721000007</v>
      </c>
      <c r="M184" s="9">
        <f t="shared" si="29"/>
        <v>0</v>
      </c>
      <c r="N184" s="8">
        <v>-2.5</v>
      </c>
      <c r="O184" s="8">
        <v>0</v>
      </c>
      <c r="P184" s="2"/>
      <c r="Q184" s="2"/>
    </row>
    <row r="185" spans="1:28" x14ac:dyDescent="0.3">
      <c r="A185" s="35">
        <f t="shared" si="30"/>
        <v>27</v>
      </c>
      <c r="B185" s="35">
        <v>4</v>
      </c>
      <c r="C185" s="14">
        <v>43307.541666666664</v>
      </c>
      <c r="D185" s="18">
        <v>2.1839509079999999</v>
      </c>
      <c r="E185" s="19">
        <f t="shared" si="24"/>
        <v>3.0187278008927052</v>
      </c>
      <c r="F185" s="16">
        <v>2.7143638129999998</v>
      </c>
      <c r="G185" s="10">
        <f t="shared" si="26"/>
        <v>0.83477689289270529</v>
      </c>
      <c r="H185" s="10">
        <f t="shared" si="27"/>
        <v>6</v>
      </c>
      <c r="I185" s="73">
        <f>MAX(0,MIN(O185,H184*2,(D185-Sheet1!$C$3)))</f>
        <v>0</v>
      </c>
      <c r="J185" s="9">
        <f>IF(F185&gt;VLOOKUP($B$16,$B$2:$F$9,5,FALSE),MAX(N185,-F185*(VLOOKUP(B185,$B$2:$E$9,4,FALSE)),-2*(6-H184),-(VLOOKUP(B185,$B$2:$G$9,6,FALSE)-D185)),0)</f>
        <v>-0.83477689289270529</v>
      </c>
      <c r="K185" s="9">
        <f t="shared" si="25"/>
        <v>0</v>
      </c>
      <c r="L185" s="9">
        <f t="shared" si="28"/>
        <v>-0.83477689289270529</v>
      </c>
      <c r="M185" s="9">
        <f t="shared" si="29"/>
        <v>0</v>
      </c>
      <c r="N185" s="8">
        <v>-2.5</v>
      </c>
      <c r="O185" s="8">
        <v>0</v>
      </c>
      <c r="P185" s="2"/>
      <c r="Q185" s="2"/>
    </row>
    <row r="186" spans="1:28" x14ac:dyDescent="0.3">
      <c r="A186" s="35">
        <f t="shared" si="30"/>
        <v>28</v>
      </c>
      <c r="B186" s="35">
        <v>4</v>
      </c>
      <c r="C186" s="14">
        <v>43307.5625</v>
      </c>
      <c r="D186" s="18">
        <v>2.179418756</v>
      </c>
      <c r="E186" s="19">
        <f t="shared" si="24"/>
        <v>2.179418756</v>
      </c>
      <c r="F186" s="16">
        <v>2.7143638129999998</v>
      </c>
      <c r="G186" s="10">
        <f t="shared" si="26"/>
        <v>0</v>
      </c>
      <c r="H186" s="10">
        <f t="shared" si="27"/>
        <v>6</v>
      </c>
      <c r="I186" s="73">
        <f>MAX(0,MIN(O186,H185*2,(D186-Sheet1!$C$3)))</f>
        <v>0</v>
      </c>
      <c r="J186" s="9">
        <f>IF(F186&gt;VLOOKUP($B$16,$B$2:$F$9,5,FALSE),MAX(N186,-F186*(VLOOKUP(B186,$B$2:$E$9,4,FALSE)),-2*(6-H185),-(VLOOKUP(B186,$B$2:$G$9,6,FALSE)-D186)),0)</f>
        <v>0</v>
      </c>
      <c r="K186" s="9">
        <f t="shared" si="25"/>
        <v>0</v>
      </c>
      <c r="L186" s="9">
        <f t="shared" si="28"/>
        <v>0</v>
      </c>
      <c r="M186" s="9">
        <f t="shared" si="29"/>
        <v>0</v>
      </c>
      <c r="N186" s="8">
        <v>-2.5</v>
      </c>
      <c r="O186" s="8">
        <v>0</v>
      </c>
      <c r="P186" s="2"/>
      <c r="Q186" s="2"/>
    </row>
    <row r="187" spans="1:28" x14ac:dyDescent="0.3">
      <c r="A187" s="35">
        <f t="shared" si="30"/>
        <v>29</v>
      </c>
      <c r="B187" s="35">
        <v>4</v>
      </c>
      <c r="C187" s="14">
        <v>43307.583333333336</v>
      </c>
      <c r="D187" s="18">
        <v>2.1586336629999998</v>
      </c>
      <c r="E187" s="19">
        <f t="shared" si="24"/>
        <v>2.1586336629999998</v>
      </c>
      <c r="F187" s="16">
        <v>2.752275467</v>
      </c>
      <c r="G187" s="10">
        <f t="shared" si="26"/>
        <v>0</v>
      </c>
      <c r="H187" s="10">
        <f t="shared" si="27"/>
        <v>6</v>
      </c>
      <c r="I187" s="73">
        <f>MAX(0,MIN(O187,H186*2,(D187-Sheet1!$C$3)))</f>
        <v>0</v>
      </c>
      <c r="J187" s="9">
        <f>IF(F187&gt;VLOOKUP($B$16,$B$2:$F$9,5,FALSE),MAX(N187,-F187*(VLOOKUP(B187,$B$2:$E$9,4,FALSE)),-2*(6-H186),-(VLOOKUP(B187,$B$2:$G$9,6,FALSE)-D187)),0)</f>
        <v>0</v>
      </c>
      <c r="K187" s="9">
        <f t="shared" si="25"/>
        <v>0</v>
      </c>
      <c r="L187" s="9">
        <f t="shared" si="28"/>
        <v>0</v>
      </c>
      <c r="M187" s="9">
        <f t="shared" si="29"/>
        <v>0</v>
      </c>
      <c r="N187" s="8">
        <v>-2.5</v>
      </c>
      <c r="O187" s="8">
        <v>0</v>
      </c>
      <c r="P187" s="2"/>
      <c r="Q187" s="2"/>
    </row>
    <row r="188" spans="1:28" x14ac:dyDescent="0.3">
      <c r="A188" s="37">
        <f t="shared" si="30"/>
        <v>30</v>
      </c>
      <c r="B188" s="37">
        <v>4</v>
      </c>
      <c r="C188" s="24">
        <v>43307.604166666664</v>
      </c>
      <c r="D188" s="25">
        <v>2.2830140229999998</v>
      </c>
      <c r="E188" s="26">
        <f t="shared" si="24"/>
        <v>2.2830140229999998</v>
      </c>
      <c r="F188" s="27">
        <v>2.548749924</v>
      </c>
      <c r="G188" s="10">
        <f t="shared" si="26"/>
        <v>0</v>
      </c>
      <c r="H188" s="10">
        <f t="shared" si="27"/>
        <v>6</v>
      </c>
      <c r="I188" s="93">
        <f>MAX(0,MIN(O188,H187*2,(D188-Sheet1!$C$3)))</f>
        <v>0</v>
      </c>
      <c r="J188" s="9">
        <f>IF(F188&gt;VLOOKUP($B$16,$B$2:$F$9,5,FALSE),MAX(N188,-F188*(VLOOKUP(B188,$B$2:$E$9,4,FALSE)),-2*(6-H187),-(VLOOKUP(B188,$B$2:$G$9,6,FALSE)-D188)),0)</f>
        <v>0</v>
      </c>
      <c r="K188" s="9">
        <f t="shared" si="25"/>
        <v>0</v>
      </c>
      <c r="L188" s="42">
        <f t="shared" si="28"/>
        <v>0</v>
      </c>
      <c r="M188" s="42">
        <f t="shared" si="29"/>
        <v>0</v>
      </c>
      <c r="N188" s="23">
        <v>-2.5</v>
      </c>
      <c r="O188" s="23">
        <v>0</v>
      </c>
      <c r="P188" s="2"/>
      <c r="Q188" s="2"/>
    </row>
    <row r="189" spans="1:28" s="64" customFormat="1" ht="15" thickBot="1" x14ac:dyDescent="0.35">
      <c r="A189" s="54">
        <f t="shared" si="30"/>
        <v>31</v>
      </c>
      <c r="B189" s="54">
        <v>4</v>
      </c>
      <c r="C189" s="55">
        <v>43307.625</v>
      </c>
      <c r="D189" s="56">
        <v>2.5406143590000001</v>
      </c>
      <c r="E189" s="57">
        <f t="shared" si="24"/>
        <v>2.5406143590000001</v>
      </c>
      <c r="F189" s="58">
        <v>2.1021852490000001</v>
      </c>
      <c r="G189" s="111">
        <f t="shared" si="26"/>
        <v>0</v>
      </c>
      <c r="H189" s="111">
        <f t="shared" si="27"/>
        <v>6</v>
      </c>
      <c r="I189" s="74">
        <f>MAX(0,MIN(O189,H188*2,(D189-Sheet1!$C$3)))</f>
        <v>0</v>
      </c>
      <c r="J189" s="9">
        <f>IF(F189&gt;VLOOKUP($B$16,$B$2:$F$9,5,FALSE),MAX(N189,-F189*(VLOOKUP(B189,$B$2:$E$9,4,FALSE)),-2*(6-H188),-(VLOOKUP(B189,$B$2:$G$9,6,FALSE)-D189)),0)</f>
        <v>0</v>
      </c>
      <c r="K189" s="60">
        <f t="shared" si="25"/>
        <v>0</v>
      </c>
      <c r="L189" s="60">
        <f t="shared" si="28"/>
        <v>0</v>
      </c>
      <c r="M189" s="60">
        <f t="shared" si="29"/>
        <v>0</v>
      </c>
      <c r="N189" s="61">
        <v>-2.5</v>
      </c>
      <c r="O189" s="61">
        <v>0</v>
      </c>
      <c r="P189" s="62"/>
      <c r="Q189" s="62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 spans="1:28" x14ac:dyDescent="0.3">
      <c r="A190" s="44">
        <f>A189+1</f>
        <v>32</v>
      </c>
      <c r="B190" s="44">
        <v>4</v>
      </c>
      <c r="C190" s="45">
        <v>43307.645833333336</v>
      </c>
      <c r="D190" s="46">
        <v>2.7741862560000001</v>
      </c>
      <c r="E190" s="33">
        <f t="shared" si="24"/>
        <v>1.9066965960909088</v>
      </c>
      <c r="F190" s="47">
        <v>2.0359897610000002</v>
      </c>
      <c r="G190" s="97">
        <f t="shared" si="26"/>
        <v>-0.86748965990909133</v>
      </c>
      <c r="H190" s="97">
        <f t="shared" si="27"/>
        <v>5.5662551700454541</v>
      </c>
      <c r="I190" s="72">
        <f>MAX(0,MIN(O190,H189*2,(D190-Sheet1!$C$3)))</f>
        <v>0.86748965990909133</v>
      </c>
      <c r="J190" s="9">
        <f>IF(F190&gt;VLOOKUP($B$16,$B$2:$F$9,5,FALSE),MAX(N190,-F190*(VLOOKUP(B190,$B$2:$E$9,4,FALSE)),-2*(6-H189),-(VLOOKUP(B190,$B$2:$G$9,6,FALSE)-D190)),0)</f>
        <v>0</v>
      </c>
      <c r="K190" s="40">
        <f t="shared" si="25"/>
        <v>0</v>
      </c>
      <c r="L190" s="41"/>
      <c r="M190" s="41"/>
      <c r="N190" s="48">
        <v>0</v>
      </c>
      <c r="O190" s="48">
        <v>2.5</v>
      </c>
      <c r="P190" s="2"/>
      <c r="Q190" s="2"/>
    </row>
    <row r="191" spans="1:28" x14ac:dyDescent="0.3">
      <c r="A191" s="36">
        <f t="shared" si="30"/>
        <v>33</v>
      </c>
      <c r="B191" s="36">
        <v>4</v>
      </c>
      <c r="C191" s="15">
        <v>43307.666666666664</v>
      </c>
      <c r="D191" s="20">
        <v>3.0404015960000002</v>
      </c>
      <c r="E191" s="19">
        <f t="shared" si="24"/>
        <v>1.9066965960909088</v>
      </c>
      <c r="F191" s="17">
        <v>1.9608589409999999</v>
      </c>
      <c r="G191" s="10">
        <f t="shared" si="26"/>
        <v>-1.1337049999090913</v>
      </c>
      <c r="H191" s="10">
        <f t="shared" si="27"/>
        <v>4.9994026700909089</v>
      </c>
      <c r="I191" s="73">
        <f>MAX(0,MIN(O191,H190*2,(D191-Sheet1!$C$3)))</f>
        <v>1.1337049999090913</v>
      </c>
      <c r="J191" s="9">
        <f>IF(F191&gt;VLOOKUP($B$16,$B$2:$F$9,5,FALSE),MAX(N191,-F191*(VLOOKUP(B191,$B$2:$E$9,4,FALSE)),-2*(6-H190),-(VLOOKUP(B191,$B$2:$G$9,6,FALSE)-D191)),0)</f>
        <v>0</v>
      </c>
      <c r="K191" s="9">
        <f t="shared" si="25"/>
        <v>0</v>
      </c>
      <c r="L191" s="12"/>
      <c r="M191" s="12"/>
      <c r="N191" s="13">
        <v>0</v>
      </c>
      <c r="O191" s="13">
        <v>2.5</v>
      </c>
      <c r="P191" s="2"/>
      <c r="Q191" s="2"/>
    </row>
    <row r="192" spans="1:28" x14ac:dyDescent="0.3">
      <c r="A192" s="36">
        <f t="shared" si="30"/>
        <v>34</v>
      </c>
      <c r="B192" s="36">
        <v>4</v>
      </c>
      <c r="C192" s="15">
        <v>43307.6875</v>
      </c>
      <c r="D192" s="20">
        <v>3.077442445</v>
      </c>
      <c r="E192" s="19">
        <f t="shared" si="24"/>
        <v>1.9066965960909088</v>
      </c>
      <c r="F192" s="17">
        <v>1.7714309690000001</v>
      </c>
      <c r="G192" s="10">
        <f t="shared" si="26"/>
        <v>-1.1707458489090912</v>
      </c>
      <c r="H192" s="10">
        <f t="shared" si="27"/>
        <v>4.4140297456363635</v>
      </c>
      <c r="I192" s="73">
        <f>MAX(0,MIN(O192,H191*2,(D192-Sheet1!$C$3)))</f>
        <v>1.1707458489090912</v>
      </c>
      <c r="J192" s="9">
        <f>IF(F192&gt;VLOOKUP($B$16,$B$2:$F$9,5,FALSE),MAX(N192,-F192*(VLOOKUP(B192,$B$2:$E$9,4,FALSE)),-2*(6-H191),-(VLOOKUP(B192,$B$2:$G$9,6,FALSE)-D192)),0)</f>
        <v>0</v>
      </c>
      <c r="K192" s="9">
        <f t="shared" si="25"/>
        <v>0</v>
      </c>
      <c r="L192" s="12"/>
      <c r="M192" s="12"/>
      <c r="N192" s="13">
        <v>0</v>
      </c>
      <c r="O192" s="13">
        <v>2.5</v>
      </c>
      <c r="P192" s="2"/>
      <c r="Q192" s="2"/>
    </row>
    <row r="193" spans="1:28" x14ac:dyDescent="0.3">
      <c r="A193" s="36">
        <f t="shared" si="30"/>
        <v>35</v>
      </c>
      <c r="B193" s="36">
        <v>4</v>
      </c>
      <c r="C193" s="15">
        <v>43307.708333333336</v>
      </c>
      <c r="D193" s="20">
        <v>3.1236041910000001</v>
      </c>
      <c r="E193" s="19">
        <f t="shared" si="24"/>
        <v>1.9066965960909088</v>
      </c>
      <c r="F193" s="17">
        <v>1.1545821430000001</v>
      </c>
      <c r="G193" s="10">
        <f t="shared" si="26"/>
        <v>-1.2169075949090913</v>
      </c>
      <c r="H193" s="10">
        <f t="shared" si="27"/>
        <v>3.8055759481818177</v>
      </c>
      <c r="I193" s="73">
        <f>MAX(0,MIN(O193,H192*2,(D193-Sheet1!$C$3)))</f>
        <v>1.2169075949090913</v>
      </c>
      <c r="J193" s="9">
        <f>IF(F193&gt;VLOOKUP($B$16,$B$2:$F$9,5,FALSE),MAX(N193,-F193*(VLOOKUP(B193,$B$2:$E$9,4,FALSE)),-2*(6-H192),-(VLOOKUP(B193,$B$2:$G$9,6,FALSE)-D193)),0)</f>
        <v>0</v>
      </c>
      <c r="K193" s="9">
        <f t="shared" si="25"/>
        <v>0</v>
      </c>
      <c r="L193" s="12"/>
      <c r="M193" s="12"/>
      <c r="N193" s="13">
        <v>0</v>
      </c>
      <c r="O193" s="13">
        <v>2.5</v>
      </c>
      <c r="P193" s="2"/>
      <c r="Q193" s="2"/>
    </row>
    <row r="194" spans="1:28" x14ac:dyDescent="0.3">
      <c r="A194" s="36">
        <f t="shared" si="30"/>
        <v>36</v>
      </c>
      <c r="B194" s="36">
        <v>4</v>
      </c>
      <c r="C194" s="15">
        <v>43307.729166666664</v>
      </c>
      <c r="D194" s="20">
        <v>3.1091372050000001</v>
      </c>
      <c r="E194" s="19">
        <f t="shared" si="24"/>
        <v>1.9066965960909088</v>
      </c>
      <c r="F194" s="17">
        <v>0.95374614000000002</v>
      </c>
      <c r="G194" s="10">
        <f t="shared" si="26"/>
        <v>-1.2024406089090913</v>
      </c>
      <c r="H194" s="10">
        <f t="shared" si="27"/>
        <v>3.204355643727272</v>
      </c>
      <c r="I194" s="73">
        <f>MAX(0,MIN(O194,H193*2,(D194-Sheet1!$C$3)))</f>
        <v>1.2024406089090913</v>
      </c>
      <c r="J194" s="9">
        <f>IF(F194&gt;VLOOKUP($B$16,$B$2:$F$9,5,FALSE),MAX(N194,-F194*(VLOOKUP(B194,$B$2:$E$9,4,FALSE)),-2*(6-H193),-(VLOOKUP(B194,$B$2:$G$9,6,FALSE)-D194)),0)</f>
        <v>0</v>
      </c>
      <c r="K194" s="9">
        <f t="shared" si="25"/>
        <v>0</v>
      </c>
      <c r="L194" s="12"/>
      <c r="M194" s="12"/>
      <c r="N194" s="13">
        <v>0</v>
      </c>
      <c r="O194" s="13">
        <v>2.5</v>
      </c>
      <c r="P194" s="2"/>
      <c r="Q194" s="2"/>
    </row>
    <row r="195" spans="1:28" x14ac:dyDescent="0.3">
      <c r="A195" s="36">
        <f t="shared" si="30"/>
        <v>37</v>
      </c>
      <c r="B195" s="36">
        <v>4</v>
      </c>
      <c r="C195" s="15">
        <v>43307.75</v>
      </c>
      <c r="D195" s="20">
        <v>3.0797057460000001</v>
      </c>
      <c r="E195" s="19">
        <f t="shared" si="24"/>
        <v>1.9066965960909088</v>
      </c>
      <c r="F195" s="17">
        <v>0.42437762000000001</v>
      </c>
      <c r="G195" s="10">
        <f t="shared" si="26"/>
        <v>-1.1730091499090913</v>
      </c>
      <c r="H195" s="10">
        <f t="shared" si="27"/>
        <v>2.6178510687727261</v>
      </c>
      <c r="I195" s="73">
        <f>MAX(0,MIN(O195,H194*2,(D195-Sheet1!$C$3)))</f>
        <v>1.1730091499090913</v>
      </c>
      <c r="J195" s="9">
        <f>IF(F195&gt;VLOOKUP($B$16,$B$2:$F$9,5,FALSE),MAX(N195,-F195*(VLOOKUP(B195,$B$2:$E$9,4,FALSE)),-2*(6-H194),-(VLOOKUP(B195,$B$2:$G$9,6,FALSE)-D195)),0)</f>
        <v>0</v>
      </c>
      <c r="K195" s="9">
        <f t="shared" si="25"/>
        <v>0</v>
      </c>
      <c r="L195" s="12"/>
      <c r="M195" s="12"/>
      <c r="N195" s="13">
        <v>0</v>
      </c>
      <c r="O195" s="13">
        <v>2.5</v>
      </c>
      <c r="P195" s="2"/>
      <c r="Q195" s="2"/>
    </row>
    <row r="196" spans="1:28" x14ac:dyDescent="0.3">
      <c r="A196" s="36">
        <f t="shared" si="30"/>
        <v>38</v>
      </c>
      <c r="B196" s="36">
        <v>4</v>
      </c>
      <c r="C196" s="15">
        <v>43307.770833333336</v>
      </c>
      <c r="D196" s="20">
        <v>3.0261925879999998</v>
      </c>
      <c r="E196" s="19">
        <f t="shared" si="24"/>
        <v>1.9066965960909088</v>
      </c>
      <c r="F196" s="17">
        <v>0.410805792</v>
      </c>
      <c r="G196" s="10">
        <f t="shared" si="26"/>
        <v>-1.119495991909091</v>
      </c>
      <c r="H196" s="10">
        <f t="shared" si="27"/>
        <v>2.0581030728181808</v>
      </c>
      <c r="I196" s="73">
        <f>MAX(0,MIN(O196,H195*2,(D196-Sheet1!$C$3)))</f>
        <v>1.119495991909091</v>
      </c>
      <c r="J196" s="9">
        <f>IF(F196&gt;VLOOKUP($B$16,$B$2:$F$9,5,FALSE),MAX(N196,-F196*(VLOOKUP(B196,$B$2:$E$9,4,FALSE)),-2*(6-H195),-(VLOOKUP(B196,$B$2:$G$9,6,FALSE)-D196)),0)</f>
        <v>0</v>
      </c>
      <c r="K196" s="9">
        <f t="shared" si="25"/>
        <v>0</v>
      </c>
      <c r="L196" s="12"/>
      <c r="M196" s="12"/>
      <c r="N196" s="13">
        <v>0</v>
      </c>
      <c r="O196" s="13">
        <v>2.5</v>
      </c>
      <c r="P196" s="2"/>
      <c r="Q196" s="2"/>
    </row>
    <row r="197" spans="1:28" x14ac:dyDescent="0.3">
      <c r="A197" s="36">
        <f t="shared" si="30"/>
        <v>39</v>
      </c>
      <c r="B197" s="36">
        <v>4</v>
      </c>
      <c r="C197" s="15">
        <v>43307.791666666664</v>
      </c>
      <c r="D197" s="20">
        <v>2.919739163</v>
      </c>
      <c r="E197" s="19">
        <f t="shared" si="24"/>
        <v>1.9066965960909088</v>
      </c>
      <c r="F197" s="17">
        <v>9.2441648000000001E-2</v>
      </c>
      <c r="G197" s="10">
        <f t="shared" si="26"/>
        <v>-1.0130425669090912</v>
      </c>
      <c r="H197" s="10">
        <f t="shared" si="27"/>
        <v>1.5515817893636352</v>
      </c>
      <c r="I197" s="73">
        <f>MAX(0,MIN(O197,H196*2,(D197-Sheet1!$C$3)))</f>
        <v>1.0130425669090912</v>
      </c>
      <c r="J197" s="9">
        <f>IF(F197&gt;VLOOKUP($B$16,$B$2:$F$9,5,FALSE),MAX(N197,-F197*(VLOOKUP(B197,$B$2:$E$9,4,FALSE)),-2*(6-H196),-(VLOOKUP(B197,$B$2:$G$9,6,FALSE)-D197)),0)</f>
        <v>0</v>
      </c>
      <c r="K197" s="9">
        <f t="shared" si="25"/>
        <v>0</v>
      </c>
      <c r="L197" s="12"/>
      <c r="M197" s="12"/>
      <c r="N197" s="13">
        <v>0</v>
      </c>
      <c r="O197" s="13">
        <v>2.5</v>
      </c>
      <c r="P197" s="2"/>
      <c r="Q197" s="2"/>
    </row>
    <row r="198" spans="1:28" x14ac:dyDescent="0.3">
      <c r="A198" s="36">
        <f t="shared" si="30"/>
        <v>40</v>
      </c>
      <c r="B198" s="36">
        <v>4</v>
      </c>
      <c r="C198" s="15">
        <v>43307.8125</v>
      </c>
      <c r="D198" s="20">
        <v>2.8761650940000001</v>
      </c>
      <c r="E198" s="19">
        <f t="shared" si="24"/>
        <v>1.9066965960909088</v>
      </c>
      <c r="F198" s="17">
        <v>8.2404613000000002E-2</v>
      </c>
      <c r="G198" s="10">
        <f t="shared" si="26"/>
        <v>-0.96946849790909129</v>
      </c>
      <c r="H198" s="10">
        <f t="shared" si="27"/>
        <v>1.0668475404090896</v>
      </c>
      <c r="I198" s="73">
        <f>MAX(0,MIN(O198,H197*2,(D198-Sheet1!$C$3)))</f>
        <v>0.96946849790909129</v>
      </c>
      <c r="J198" s="9">
        <f>IF(F198&gt;VLOOKUP($B$16,$B$2:$F$9,5,FALSE),MAX(N198,-F198*(VLOOKUP(B198,$B$2:$E$9,4,FALSE)),-2*(6-H197),-(VLOOKUP(B198,$B$2:$G$9,6,FALSE)-D198)),0)</f>
        <v>0</v>
      </c>
      <c r="K198" s="9">
        <f t="shared" si="25"/>
        <v>0</v>
      </c>
      <c r="L198" s="12"/>
      <c r="M198" s="12"/>
      <c r="N198" s="13">
        <v>0</v>
      </c>
      <c r="O198" s="13">
        <v>2.5</v>
      </c>
      <c r="P198" s="2"/>
      <c r="Q198" s="2"/>
    </row>
    <row r="199" spans="1:28" x14ac:dyDescent="0.3">
      <c r="A199" s="49">
        <f t="shared" si="30"/>
        <v>41</v>
      </c>
      <c r="B199" s="49">
        <v>4</v>
      </c>
      <c r="C199" s="50">
        <v>43307.833333333336</v>
      </c>
      <c r="D199" s="51">
        <v>2.768338264</v>
      </c>
      <c r="E199" s="26">
        <f t="shared" si="24"/>
        <v>1.9066965960909088</v>
      </c>
      <c r="F199" s="52">
        <v>5.3364930000000003E-3</v>
      </c>
      <c r="G199" s="10">
        <f t="shared" si="26"/>
        <v>-0.86164166790909125</v>
      </c>
      <c r="H199" s="10">
        <f t="shared" si="27"/>
        <v>0.63602670645454396</v>
      </c>
      <c r="I199" s="93">
        <f>MAX(0,MIN(O199,H198*2,(D199-Sheet1!$C$3)))</f>
        <v>0.86164166790909125</v>
      </c>
      <c r="J199" s="9">
        <f>IF(F199&gt;VLOOKUP($B$16,$B$2:$F$9,5,FALSE),MAX(N199,-F199*(VLOOKUP(B199,$B$2:$E$9,4,FALSE)),-2*(6-H198),-(VLOOKUP(B199,$B$2:$G$9,6,FALSE)-D199)),0)</f>
        <v>0</v>
      </c>
      <c r="K199" s="9">
        <f t="shared" si="25"/>
        <v>0</v>
      </c>
      <c r="L199" s="29"/>
      <c r="M199" s="29"/>
      <c r="N199" s="53">
        <v>0</v>
      </c>
      <c r="O199" s="53">
        <v>2.5</v>
      </c>
      <c r="P199" s="2"/>
      <c r="Q199" s="2"/>
    </row>
    <row r="200" spans="1:28" s="64" customFormat="1" ht="15" thickBot="1" x14ac:dyDescent="0.35">
      <c r="A200" s="65">
        <f t="shared" si="30"/>
        <v>42</v>
      </c>
      <c r="B200" s="65">
        <v>4</v>
      </c>
      <c r="C200" s="66">
        <v>43307.854166666664</v>
      </c>
      <c r="D200" s="67">
        <v>2.614222759</v>
      </c>
      <c r="E200" s="57">
        <f t="shared" si="24"/>
        <v>1.9066965960909088</v>
      </c>
      <c r="F200" s="68">
        <v>5.3364930000000003E-3</v>
      </c>
      <c r="G200" s="111">
        <f t="shared" si="26"/>
        <v>-0.70752616290909121</v>
      </c>
      <c r="H200" s="111">
        <f t="shared" si="27"/>
        <v>0.28226362499999835</v>
      </c>
      <c r="I200" s="74">
        <f>MAX(0,MIN(O200,H199*2,(D200-Sheet1!$C$3)))</f>
        <v>0.70752616290909121</v>
      </c>
      <c r="J200" s="9">
        <f>IF(F200&gt;VLOOKUP($B$16,$B$2:$F$9,5,FALSE),MAX(N200,-F200*(VLOOKUP(B200,$B$2:$E$9,4,FALSE)),-2*(6-H199),-(VLOOKUP(B200,$B$2:$G$9,6,FALSE)-D200)),0)</f>
        <v>0</v>
      </c>
      <c r="K200" s="60">
        <f t="shared" si="25"/>
        <v>0</v>
      </c>
      <c r="L200" s="59"/>
      <c r="M200" s="59"/>
      <c r="N200" s="69">
        <v>0</v>
      </c>
      <c r="O200" s="69">
        <v>2.5</v>
      </c>
      <c r="P200" s="62"/>
      <c r="Q200" s="62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 spans="1:28" x14ac:dyDescent="0.3">
      <c r="A201" s="38">
        <f t="shared" si="30"/>
        <v>43</v>
      </c>
      <c r="B201" s="38">
        <v>4</v>
      </c>
      <c r="C201" s="31">
        <v>43307.875</v>
      </c>
      <c r="D201" s="32">
        <v>2.6057340450000002</v>
      </c>
      <c r="E201" s="33">
        <f t="shared" si="24"/>
        <v>2.6057340450000002</v>
      </c>
      <c r="F201" s="39">
        <v>5.3364930000000003E-3</v>
      </c>
      <c r="G201" s="97">
        <f t="shared" si="26"/>
        <v>0</v>
      </c>
      <c r="H201" s="97">
        <f t="shared" si="27"/>
        <v>0.28226362499999835</v>
      </c>
      <c r="I201" s="72">
        <f>MAX(0,MIN(O201,H200*2,(D201-Sheet1!$C$3)))</f>
        <v>0</v>
      </c>
      <c r="J201" s="9">
        <f>IF(F201&gt;VLOOKUP($B$16,$B$2:$F$9,5,FALSE),MAX(N201,-F201*(VLOOKUP(B201,$B$2:$E$9,4,FALSE)),-2*(6-H200),-(VLOOKUP(B201,$B$2:$G$9,6,FALSE)-D201)),0)</f>
        <v>0</v>
      </c>
      <c r="K201" s="40">
        <f t="shared" si="25"/>
        <v>0</v>
      </c>
      <c r="L201" s="34"/>
      <c r="M201" s="34"/>
      <c r="N201" s="30">
        <v>0</v>
      </c>
      <c r="O201" s="30">
        <v>0</v>
      </c>
      <c r="P201" s="2"/>
      <c r="Q201" s="2"/>
    </row>
    <row r="202" spans="1:28" x14ac:dyDescent="0.3">
      <c r="A202" s="35">
        <f t="shared" si="30"/>
        <v>44</v>
      </c>
      <c r="B202" s="35">
        <v>4</v>
      </c>
      <c r="C202" s="14">
        <v>43307.895833333336</v>
      </c>
      <c r="D202" s="18">
        <v>2.4085157189999999</v>
      </c>
      <c r="E202" s="19">
        <f t="shared" si="24"/>
        <v>2.4085157189999999</v>
      </c>
      <c r="F202" s="16">
        <v>5.3364930000000003E-3</v>
      </c>
      <c r="G202" s="10">
        <f t="shared" si="26"/>
        <v>0</v>
      </c>
      <c r="H202" s="10">
        <f t="shared" si="27"/>
        <v>0.28226362499999835</v>
      </c>
      <c r="I202" s="73">
        <f>MAX(0,MIN(O202,H201*2,(D202-Sheet1!$C$3)))</f>
        <v>0</v>
      </c>
      <c r="J202" s="9">
        <f>IF(F202&gt;VLOOKUP($B$16,$B$2:$F$9,5,FALSE),MAX(N202,-F202*(VLOOKUP(B202,$B$2:$E$9,4,FALSE)),-2*(6-H201),-(VLOOKUP(B202,$B$2:$G$9,6,FALSE)-D202)),0)</f>
        <v>0</v>
      </c>
      <c r="K202" s="9">
        <f t="shared" si="25"/>
        <v>0</v>
      </c>
      <c r="L202" s="11"/>
      <c r="M202" s="11"/>
      <c r="N202" s="8">
        <v>0</v>
      </c>
      <c r="O202" s="8">
        <v>0</v>
      </c>
      <c r="P202" s="2"/>
      <c r="Q202" s="2"/>
    </row>
    <row r="203" spans="1:28" x14ac:dyDescent="0.3">
      <c r="A203" s="35">
        <f t="shared" si="30"/>
        <v>45</v>
      </c>
      <c r="B203" s="35">
        <v>4</v>
      </c>
      <c r="C203" s="14">
        <v>43307.916666666664</v>
      </c>
      <c r="D203" s="18">
        <v>2.1611400559999998</v>
      </c>
      <c r="E203" s="19">
        <f t="shared" si="24"/>
        <v>2.1611400559999998</v>
      </c>
      <c r="F203" s="16">
        <v>5.3364930000000003E-3</v>
      </c>
      <c r="G203" s="10">
        <f t="shared" si="26"/>
        <v>0</v>
      </c>
      <c r="H203" s="10">
        <f t="shared" si="27"/>
        <v>0.28226362499999835</v>
      </c>
      <c r="I203" s="73">
        <f>MAX(0,MIN(O203,H202*2,(D203-Sheet1!$C$3)))</f>
        <v>0</v>
      </c>
      <c r="J203" s="9">
        <f>IF(F203&gt;VLOOKUP($B$16,$B$2:$F$9,5,FALSE),MAX(N203,-F203*(VLOOKUP(B203,$B$2:$E$9,4,FALSE)),-2*(6-H202),-(VLOOKUP(B203,$B$2:$G$9,6,FALSE)-D203)),0)</f>
        <v>0</v>
      </c>
      <c r="K203" s="9">
        <f t="shared" si="25"/>
        <v>0</v>
      </c>
      <c r="L203" s="11"/>
      <c r="M203" s="11"/>
      <c r="N203" s="8">
        <v>0</v>
      </c>
      <c r="O203" s="8">
        <v>0</v>
      </c>
      <c r="P203" s="2"/>
      <c r="Q203" s="2"/>
    </row>
    <row r="204" spans="1:28" x14ac:dyDescent="0.3">
      <c r="A204" s="35">
        <f t="shared" si="30"/>
        <v>46</v>
      </c>
      <c r="B204" s="35">
        <v>4</v>
      </c>
      <c r="C204" s="14">
        <v>43307.9375</v>
      </c>
      <c r="D204" s="18">
        <v>1.910334253</v>
      </c>
      <c r="E204" s="19">
        <f t="shared" si="24"/>
        <v>1.910334253</v>
      </c>
      <c r="F204" s="16">
        <v>5.3364930000000003E-3</v>
      </c>
      <c r="G204" s="10">
        <f t="shared" si="26"/>
        <v>0</v>
      </c>
      <c r="H204" s="10">
        <f t="shared" si="27"/>
        <v>0.28226362499999835</v>
      </c>
      <c r="I204" s="73">
        <f>MAX(0,MIN(O204,H203*2,(D204-Sheet1!$C$3)))</f>
        <v>0</v>
      </c>
      <c r="J204" s="9">
        <f>IF(F204&gt;VLOOKUP($B$16,$B$2:$F$9,5,FALSE),MAX(N204,-F204*(VLOOKUP(B204,$B$2:$E$9,4,FALSE)),-2*(6-H203),-(VLOOKUP(B204,$B$2:$G$9,6,FALSE)-D204)),0)</f>
        <v>0</v>
      </c>
      <c r="K204" s="9">
        <f t="shared" si="25"/>
        <v>0</v>
      </c>
      <c r="L204" s="11"/>
      <c r="M204" s="11"/>
      <c r="N204" s="8">
        <v>0</v>
      </c>
      <c r="O204" s="8">
        <v>0</v>
      </c>
      <c r="P204" s="2"/>
      <c r="Q204" s="2"/>
    </row>
    <row r="205" spans="1:28" x14ac:dyDescent="0.3">
      <c r="A205" s="37">
        <f t="shared" si="30"/>
        <v>47</v>
      </c>
      <c r="B205" s="37">
        <v>4</v>
      </c>
      <c r="C205" s="24">
        <v>43307.958333333336</v>
      </c>
      <c r="D205" s="25">
        <v>1.8047480220000001</v>
      </c>
      <c r="E205" s="26">
        <f t="shared" si="24"/>
        <v>1.8047480220000001</v>
      </c>
      <c r="F205" s="27">
        <v>1.831472E-3</v>
      </c>
      <c r="G205" s="98">
        <f t="shared" si="26"/>
        <v>0</v>
      </c>
      <c r="H205" s="98">
        <f t="shared" si="27"/>
        <v>0.28226362499999835</v>
      </c>
      <c r="I205" s="93">
        <f>MAX(0,MIN(O205,H204*2,(D205-Sheet1!$C$3)))</f>
        <v>0</v>
      </c>
      <c r="J205" s="9">
        <f>IF(F205&gt;VLOOKUP($B$16,$B$2:$F$9,5,FALSE),MAX(N205,-F205*(VLOOKUP(B205,$B$2:$E$9,4,FALSE)),-2*(6-H204),-(VLOOKUP(B205,$B$2:$G$9,6,FALSE)-D205)),0)</f>
        <v>0</v>
      </c>
      <c r="K205" s="42">
        <f t="shared" si="25"/>
        <v>0</v>
      </c>
      <c r="L205" s="28"/>
      <c r="M205" s="28"/>
      <c r="N205" s="23">
        <v>0</v>
      </c>
      <c r="O205" s="23">
        <v>0</v>
      </c>
      <c r="P205" s="2"/>
      <c r="Q205" s="2"/>
    </row>
    <row r="206" spans="1:28" s="110" customFormat="1" ht="15" thickBot="1" x14ac:dyDescent="0.35">
      <c r="A206" s="99">
        <f t="shared" si="30"/>
        <v>48</v>
      </c>
      <c r="B206" s="99">
        <v>4</v>
      </c>
      <c r="C206" s="100">
        <v>43307.979166666664</v>
      </c>
      <c r="D206" s="101">
        <v>1.70698478</v>
      </c>
      <c r="E206" s="102">
        <f t="shared" si="24"/>
        <v>1.70698478</v>
      </c>
      <c r="F206" s="103">
        <v>1.831472E-3</v>
      </c>
      <c r="G206" s="104">
        <f t="shared" si="26"/>
        <v>0</v>
      </c>
      <c r="H206" s="104">
        <f t="shared" si="27"/>
        <v>0.28226362499999835</v>
      </c>
      <c r="I206" s="105">
        <f>MAX(0,MIN(O206,H205*2,(D206-Sheet1!$C$3)))</f>
        <v>0</v>
      </c>
      <c r="J206" s="9">
        <f>IF(F206&gt;VLOOKUP($B$16,$B$2:$F$9,5,FALSE),MAX(N206,-F206*(VLOOKUP(B206,$B$2:$E$9,4,FALSE)),-2*(6-H205),-(VLOOKUP(B206,$B$2:$G$9,6,FALSE)-D206)),0)</f>
        <v>0</v>
      </c>
      <c r="K206" s="106">
        <f t="shared" si="25"/>
        <v>0</v>
      </c>
      <c r="L206" s="107"/>
      <c r="M206" s="107"/>
      <c r="N206" s="108">
        <v>0</v>
      </c>
      <c r="O206" s="108">
        <v>0</v>
      </c>
      <c r="P206" s="109"/>
      <c r="Q206" s="109"/>
    </row>
    <row r="207" spans="1:28" s="122" customFormat="1" x14ac:dyDescent="0.3">
      <c r="A207" s="113">
        <v>1</v>
      </c>
      <c r="B207" s="113">
        <v>5</v>
      </c>
      <c r="C207" s="114">
        <v>43308</v>
      </c>
      <c r="D207" s="115">
        <v>1.7165617099999999</v>
      </c>
      <c r="E207" s="116">
        <f t="shared" ref="E207:E270" si="31">D207-J207-I207</f>
        <v>1.7165617099999999</v>
      </c>
      <c r="F207" s="117">
        <v>1.831472E-3</v>
      </c>
      <c r="G207" s="118">
        <f t="shared" si="26"/>
        <v>0</v>
      </c>
      <c r="H207" s="118">
        <v>0</v>
      </c>
      <c r="I207" s="119">
        <v>0</v>
      </c>
      <c r="J207" s="9">
        <f>IF(F207&gt;VLOOKUP($B$16,$B$2:$F$9,5,FALSE),MAX(N207,-F207*(VLOOKUP(B207,$B$2:$E$9,4,FALSE)),-2*(6-H206),-(VLOOKUP(B207,$B$2:$G$9,6,FALSE)-D207)),0)</f>
        <v>0</v>
      </c>
      <c r="K207" s="119">
        <f t="shared" ref="K207:K270" si="32">IF(A207&lt;&gt;31,0,-2*((6-H206+((J207*0.5)))))</f>
        <v>0</v>
      </c>
      <c r="L207" s="119">
        <f t="shared" ref="L207:L237" si="33">MIN(J207,F207)</f>
        <v>0</v>
      </c>
      <c r="M207" s="119">
        <f>J207-L207</f>
        <v>0</v>
      </c>
      <c r="N207" s="120">
        <v>-2.5</v>
      </c>
      <c r="O207" s="120">
        <v>0</v>
      </c>
      <c r="P207" s="121"/>
      <c r="Q207" s="121"/>
    </row>
    <row r="208" spans="1:28" x14ac:dyDescent="0.3">
      <c r="A208" s="35">
        <f>A207+1</f>
        <v>2</v>
      </c>
      <c r="B208" s="35">
        <v>5</v>
      </c>
      <c r="C208" s="14">
        <v>43308.020833333336</v>
      </c>
      <c r="D208" s="18">
        <v>1.64595582</v>
      </c>
      <c r="E208" s="19">
        <f t="shared" si="31"/>
        <v>1.64595582</v>
      </c>
      <c r="F208" s="16">
        <v>1.831472E-3</v>
      </c>
      <c r="G208" s="10">
        <f t="shared" ref="G208:G271" si="34">-SUM(I208,J208,K208)</f>
        <v>0</v>
      </c>
      <c r="H208" s="10">
        <f t="shared" si="27"/>
        <v>0</v>
      </c>
      <c r="I208" s="73">
        <f>MAX(0,MIN(O208,H207*2,(D208-Sheet1!$C$3)))</f>
        <v>0</v>
      </c>
      <c r="J208" s="9">
        <f>IF(F208&gt;VLOOKUP($B$16,$B$2:$F$9,5,FALSE),MAX(N208,-F208*(VLOOKUP(B208,$B$2:$E$9,4,FALSE)),-2*(6-H207),-(VLOOKUP(B208,$B$2:$G$9,6,FALSE)-D208)),0)</f>
        <v>0</v>
      </c>
      <c r="K208" s="9">
        <f t="shared" si="32"/>
        <v>0</v>
      </c>
      <c r="L208" s="9">
        <f t="shared" si="33"/>
        <v>0</v>
      </c>
      <c r="M208" s="9">
        <f t="shared" ref="M208:M237" si="35">J208-L208</f>
        <v>0</v>
      </c>
      <c r="N208" s="8">
        <v>-2.5</v>
      </c>
      <c r="O208" s="8">
        <v>0</v>
      </c>
      <c r="P208" s="2"/>
      <c r="Q208" s="2"/>
    </row>
    <row r="209" spans="1:17" x14ac:dyDescent="0.3">
      <c r="A209" s="35">
        <f t="shared" ref="A209:A254" si="36">A208+1</f>
        <v>3</v>
      </c>
      <c r="B209" s="35">
        <v>5</v>
      </c>
      <c r="C209" s="14">
        <v>43308.041666666664</v>
      </c>
      <c r="D209" s="18">
        <v>1.565598748</v>
      </c>
      <c r="E209" s="19">
        <f t="shared" si="31"/>
        <v>1.565598748</v>
      </c>
      <c r="F209" s="16">
        <v>1.831472E-3</v>
      </c>
      <c r="G209" s="10">
        <f t="shared" si="34"/>
        <v>0</v>
      </c>
      <c r="H209" s="10">
        <f t="shared" ref="H209:H272" si="37">H208+((G209*0.5))</f>
        <v>0</v>
      </c>
      <c r="I209" s="73">
        <f>MAX(0,MIN(O209,H208*2,(D209-Sheet1!$C$3)))</f>
        <v>0</v>
      </c>
      <c r="J209" s="9">
        <f>IF(F209&gt;VLOOKUP($B$16,$B$2:$F$9,5,FALSE),MAX(N209,-F209*(VLOOKUP(B209,$B$2:$E$9,4,FALSE)),-2*(6-H208),-(VLOOKUP(B209,$B$2:$G$9,6,FALSE)-D209)),0)</f>
        <v>0</v>
      </c>
      <c r="K209" s="9">
        <f t="shared" si="32"/>
        <v>0</v>
      </c>
      <c r="L209" s="9">
        <f t="shared" si="33"/>
        <v>0</v>
      </c>
      <c r="M209" s="9">
        <f t="shared" si="35"/>
        <v>0</v>
      </c>
      <c r="N209" s="8">
        <v>-2.5</v>
      </c>
      <c r="O209" s="8">
        <v>0</v>
      </c>
      <c r="P209" s="2"/>
      <c r="Q209" s="2"/>
    </row>
    <row r="210" spans="1:17" x14ac:dyDescent="0.3">
      <c r="A210" s="35">
        <f t="shared" si="36"/>
        <v>4</v>
      </c>
      <c r="B210" s="35">
        <v>5</v>
      </c>
      <c r="C210" s="14">
        <v>43308.0625</v>
      </c>
      <c r="D210" s="18">
        <v>1.526511824</v>
      </c>
      <c r="E210" s="19">
        <f t="shared" si="31"/>
        <v>1.526511824</v>
      </c>
      <c r="F210" s="16">
        <v>1.831472E-3</v>
      </c>
      <c r="G210" s="10">
        <f t="shared" si="34"/>
        <v>0</v>
      </c>
      <c r="H210" s="10">
        <f t="shared" si="37"/>
        <v>0</v>
      </c>
      <c r="I210" s="73">
        <f>MAX(0,MIN(O210,H209*2,(D210-Sheet1!$C$3)))</f>
        <v>0</v>
      </c>
      <c r="J210" s="9">
        <f>IF(F210&gt;VLOOKUP($B$16,$B$2:$F$9,5,FALSE),MAX(N210,-F210*(VLOOKUP(B210,$B$2:$E$9,4,FALSE)),-2*(6-H209),-(VLOOKUP(B210,$B$2:$G$9,6,FALSE)-D210)),0)</f>
        <v>0</v>
      </c>
      <c r="K210" s="9">
        <f t="shared" si="32"/>
        <v>0</v>
      </c>
      <c r="L210" s="9">
        <f t="shared" si="33"/>
        <v>0</v>
      </c>
      <c r="M210" s="9">
        <f t="shared" si="35"/>
        <v>0</v>
      </c>
      <c r="N210" s="8">
        <v>-2.5</v>
      </c>
      <c r="O210" s="8">
        <v>0</v>
      </c>
      <c r="P210" s="2"/>
      <c r="Q210" s="2"/>
    </row>
    <row r="211" spans="1:17" x14ac:dyDescent="0.3">
      <c r="A211" s="35">
        <f t="shared" si="36"/>
        <v>5</v>
      </c>
      <c r="B211" s="35">
        <v>5</v>
      </c>
      <c r="C211" s="14">
        <v>43308.083333333336</v>
      </c>
      <c r="D211" s="18">
        <v>1.516453802</v>
      </c>
      <c r="E211" s="19">
        <f t="shared" si="31"/>
        <v>1.516453802</v>
      </c>
      <c r="F211" s="16">
        <v>1.831472E-3</v>
      </c>
      <c r="G211" s="10">
        <f t="shared" si="34"/>
        <v>0</v>
      </c>
      <c r="H211" s="10">
        <f t="shared" si="37"/>
        <v>0</v>
      </c>
      <c r="I211" s="73">
        <f>MAX(0,MIN(O211,H210*2,(D211-Sheet1!$C$3)))</f>
        <v>0</v>
      </c>
      <c r="J211" s="9">
        <f>IF(F211&gt;VLOOKUP($B$16,$B$2:$F$9,5,FALSE),MAX(N211,-F211*(VLOOKUP(B211,$B$2:$E$9,4,FALSE)),-2*(6-H210),-(VLOOKUP(B211,$B$2:$G$9,6,FALSE)-D211)),0)</f>
        <v>0</v>
      </c>
      <c r="K211" s="9">
        <f t="shared" si="32"/>
        <v>0</v>
      </c>
      <c r="L211" s="9">
        <f t="shared" si="33"/>
        <v>0</v>
      </c>
      <c r="M211" s="9">
        <f t="shared" si="35"/>
        <v>0</v>
      </c>
      <c r="N211" s="8">
        <v>-2.5</v>
      </c>
      <c r="O211" s="8">
        <v>0</v>
      </c>
      <c r="P211" s="2"/>
      <c r="Q211" s="2"/>
    </row>
    <row r="212" spans="1:17" x14ac:dyDescent="0.3">
      <c r="A212" s="35">
        <f t="shared" si="36"/>
        <v>6</v>
      </c>
      <c r="B212" s="35">
        <v>5</v>
      </c>
      <c r="C212" s="14">
        <v>43308.104166666664</v>
      </c>
      <c r="D212" s="18">
        <v>1.4834369060000001</v>
      </c>
      <c r="E212" s="19">
        <f t="shared" si="31"/>
        <v>1.4834369060000001</v>
      </c>
      <c r="F212" s="16">
        <v>1.831472E-3</v>
      </c>
      <c r="G212" s="10">
        <f t="shared" si="34"/>
        <v>0</v>
      </c>
      <c r="H212" s="10">
        <f t="shared" si="37"/>
        <v>0</v>
      </c>
      <c r="I212" s="73">
        <f>MAX(0,MIN(O212,H211*2,(D212-Sheet1!$C$3)))</f>
        <v>0</v>
      </c>
      <c r="J212" s="9">
        <f>IF(F212&gt;VLOOKUP($B$16,$B$2:$F$9,5,FALSE),MAX(N212,-F212*(VLOOKUP(B212,$B$2:$E$9,4,FALSE)),-2*(6-H211),-(VLOOKUP(B212,$B$2:$G$9,6,FALSE)-D212)),0)</f>
        <v>0</v>
      </c>
      <c r="K212" s="9">
        <f t="shared" si="32"/>
        <v>0</v>
      </c>
      <c r="L212" s="9">
        <f t="shared" si="33"/>
        <v>0</v>
      </c>
      <c r="M212" s="9">
        <f t="shared" si="35"/>
        <v>0</v>
      </c>
      <c r="N212" s="8">
        <v>-2.5</v>
      </c>
      <c r="O212" s="8">
        <v>0</v>
      </c>
      <c r="P212" s="2"/>
      <c r="Q212" s="2"/>
    </row>
    <row r="213" spans="1:17" x14ac:dyDescent="0.3">
      <c r="A213" s="35">
        <f t="shared" si="36"/>
        <v>7</v>
      </c>
      <c r="B213" s="35">
        <v>5</v>
      </c>
      <c r="C213" s="14">
        <v>43308.125</v>
      </c>
      <c r="D213" s="18">
        <v>1.4843148020000001</v>
      </c>
      <c r="E213" s="19">
        <f t="shared" si="31"/>
        <v>1.4843148020000001</v>
      </c>
      <c r="F213" s="16">
        <v>1.831472E-3</v>
      </c>
      <c r="G213" s="10">
        <f t="shared" si="34"/>
        <v>0</v>
      </c>
      <c r="H213" s="10">
        <f t="shared" si="37"/>
        <v>0</v>
      </c>
      <c r="I213" s="73">
        <f>MAX(0,MIN(O213,H212*2,(D213-Sheet1!$C$3)))</f>
        <v>0</v>
      </c>
      <c r="J213" s="9">
        <f>IF(F213&gt;VLOOKUP($B$16,$B$2:$F$9,5,FALSE),MAX(N213,-F213*(VLOOKUP(B213,$B$2:$E$9,4,FALSE)),-2*(6-H212),-(VLOOKUP(B213,$B$2:$G$9,6,FALSE)-D213)),0)</f>
        <v>0</v>
      </c>
      <c r="K213" s="9">
        <f t="shared" si="32"/>
        <v>0</v>
      </c>
      <c r="L213" s="9">
        <f t="shared" si="33"/>
        <v>0</v>
      </c>
      <c r="M213" s="9">
        <f t="shared" si="35"/>
        <v>0</v>
      </c>
      <c r="N213" s="8">
        <v>-2.5</v>
      </c>
      <c r="O213" s="8">
        <v>0</v>
      </c>
      <c r="P213" s="2"/>
      <c r="Q213" s="2"/>
    </row>
    <row r="214" spans="1:17" x14ac:dyDescent="0.3">
      <c r="A214" s="35">
        <f t="shared" si="36"/>
        <v>8</v>
      </c>
      <c r="B214" s="35">
        <v>5</v>
      </c>
      <c r="C214" s="14">
        <v>43308.145833333336</v>
      </c>
      <c r="D214" s="18">
        <v>1.4548538499999999</v>
      </c>
      <c r="E214" s="19">
        <f t="shared" si="31"/>
        <v>1.4548538499999999</v>
      </c>
      <c r="F214" s="16">
        <v>1.831472E-3</v>
      </c>
      <c r="G214" s="10">
        <f t="shared" si="34"/>
        <v>0</v>
      </c>
      <c r="H214" s="10">
        <f t="shared" si="37"/>
        <v>0</v>
      </c>
      <c r="I214" s="73">
        <f>MAX(0,MIN(O214,H213*2,(D214-Sheet1!$C$3)))</f>
        <v>0</v>
      </c>
      <c r="J214" s="9">
        <f>IF(F214&gt;VLOOKUP($B$16,$B$2:$F$9,5,FALSE),MAX(N214,-F214*(VLOOKUP(B214,$B$2:$E$9,4,FALSE)),-2*(6-H213),-(VLOOKUP(B214,$B$2:$G$9,6,FALSE)-D214)),0)</f>
        <v>0</v>
      </c>
      <c r="K214" s="9">
        <f t="shared" si="32"/>
        <v>0</v>
      </c>
      <c r="L214" s="9">
        <f t="shared" si="33"/>
        <v>0</v>
      </c>
      <c r="M214" s="9">
        <f t="shared" si="35"/>
        <v>0</v>
      </c>
      <c r="N214" s="8">
        <v>-2.5</v>
      </c>
      <c r="O214" s="8">
        <v>0</v>
      </c>
      <c r="P214" s="2"/>
      <c r="Q214" s="2"/>
    </row>
    <row r="215" spans="1:17" x14ac:dyDescent="0.3">
      <c r="A215" s="35">
        <f t="shared" si="36"/>
        <v>9</v>
      </c>
      <c r="B215" s="35">
        <v>5</v>
      </c>
      <c r="C215" s="14">
        <v>43308.166666666664</v>
      </c>
      <c r="D215" s="18">
        <v>1.515329261</v>
      </c>
      <c r="E215" s="19">
        <f t="shared" si="31"/>
        <v>1.515329261</v>
      </c>
      <c r="F215" s="16">
        <v>1.831472E-3</v>
      </c>
      <c r="G215" s="10">
        <f t="shared" si="34"/>
        <v>0</v>
      </c>
      <c r="H215" s="10">
        <f t="shared" si="37"/>
        <v>0</v>
      </c>
      <c r="I215" s="73">
        <f>MAX(0,MIN(O215,H214*2,(D215-Sheet1!$C$3)))</f>
        <v>0</v>
      </c>
      <c r="J215" s="9">
        <f>IF(F215&gt;VLOOKUP($B$16,$B$2:$F$9,5,FALSE),MAX(N215,-F215*(VLOOKUP(B215,$B$2:$E$9,4,FALSE)),-2*(6-H214),-(VLOOKUP(B215,$B$2:$G$9,6,FALSE)-D215)),0)</f>
        <v>0</v>
      </c>
      <c r="K215" s="9">
        <f t="shared" si="32"/>
        <v>0</v>
      </c>
      <c r="L215" s="9">
        <f t="shared" si="33"/>
        <v>0</v>
      </c>
      <c r="M215" s="9">
        <f t="shared" si="35"/>
        <v>0</v>
      </c>
      <c r="N215" s="8">
        <v>-2.5</v>
      </c>
      <c r="O215" s="8">
        <v>0</v>
      </c>
      <c r="P215" s="2"/>
      <c r="Q215" s="2"/>
    </row>
    <row r="216" spans="1:17" x14ac:dyDescent="0.3">
      <c r="A216" s="35">
        <f t="shared" si="36"/>
        <v>10</v>
      </c>
      <c r="B216" s="35">
        <v>5</v>
      </c>
      <c r="C216" s="14">
        <v>43308.1875</v>
      </c>
      <c r="D216" s="18">
        <v>1.632531167</v>
      </c>
      <c r="E216" s="19">
        <f t="shared" si="31"/>
        <v>1.632531167</v>
      </c>
      <c r="F216" s="16">
        <v>1.831472E-3</v>
      </c>
      <c r="G216" s="10">
        <f t="shared" si="34"/>
        <v>0</v>
      </c>
      <c r="H216" s="10">
        <f t="shared" si="37"/>
        <v>0</v>
      </c>
      <c r="I216" s="73">
        <f>MAX(0,MIN(O216,H215*2,(D216-Sheet1!$C$3)))</f>
        <v>0</v>
      </c>
      <c r="J216" s="9">
        <f>IF(F216&gt;VLOOKUP($B$16,$B$2:$F$9,5,FALSE),MAX(N216,-F216*(VLOOKUP(B216,$B$2:$E$9,4,FALSE)),-2*(6-H215),-(VLOOKUP(B216,$B$2:$G$9,6,FALSE)-D216)),0)</f>
        <v>0</v>
      </c>
      <c r="K216" s="9">
        <f t="shared" si="32"/>
        <v>0</v>
      </c>
      <c r="L216" s="9">
        <f t="shared" si="33"/>
        <v>0</v>
      </c>
      <c r="M216" s="9">
        <f t="shared" si="35"/>
        <v>0</v>
      </c>
      <c r="N216" s="8">
        <v>-2.5</v>
      </c>
      <c r="O216" s="8">
        <v>0</v>
      </c>
      <c r="P216" s="2"/>
      <c r="Q216" s="2"/>
    </row>
    <row r="217" spans="1:17" x14ac:dyDescent="0.3">
      <c r="A217" s="35">
        <f t="shared" si="36"/>
        <v>11</v>
      </c>
      <c r="B217" s="35">
        <v>5</v>
      </c>
      <c r="C217" s="14">
        <v>43308.208333333336</v>
      </c>
      <c r="D217" s="18">
        <v>1.9388243089999999</v>
      </c>
      <c r="E217" s="19">
        <f t="shared" si="31"/>
        <v>1.9388243089999999</v>
      </c>
      <c r="F217" s="16">
        <v>0.196674556</v>
      </c>
      <c r="G217" s="10">
        <f t="shared" si="34"/>
        <v>0</v>
      </c>
      <c r="H217" s="10">
        <f t="shared" si="37"/>
        <v>0</v>
      </c>
      <c r="I217" s="73">
        <f>MAX(0,MIN(O217,H216*2,(D217-Sheet1!$C$3)))</f>
        <v>0</v>
      </c>
      <c r="J217" s="9">
        <f>IF(F217&gt;VLOOKUP($B$16,$B$2:$F$9,5,FALSE),MAX(N217,-F217*(VLOOKUP(B217,$B$2:$E$9,4,FALSE)),-2*(6-H216),-(VLOOKUP(B217,$B$2:$G$9,6,FALSE)-D217)),0)</f>
        <v>0</v>
      </c>
      <c r="K217" s="9">
        <f t="shared" si="32"/>
        <v>0</v>
      </c>
      <c r="L217" s="9">
        <f t="shared" si="33"/>
        <v>0</v>
      </c>
      <c r="M217" s="9">
        <f t="shared" si="35"/>
        <v>0</v>
      </c>
      <c r="N217" s="8">
        <v>-2.5</v>
      </c>
      <c r="O217" s="8">
        <v>0</v>
      </c>
      <c r="P217" s="2"/>
      <c r="Q217" s="2"/>
    </row>
    <row r="218" spans="1:17" x14ac:dyDescent="0.3">
      <c r="A218" s="35">
        <f t="shared" si="36"/>
        <v>12</v>
      </c>
      <c r="B218" s="35">
        <v>5</v>
      </c>
      <c r="C218" s="14">
        <v>43308.229166666664</v>
      </c>
      <c r="D218" s="18">
        <v>2.2258448369999999</v>
      </c>
      <c r="E218" s="19">
        <f t="shared" si="31"/>
        <v>2.2258448369999999</v>
      </c>
      <c r="F218" s="16">
        <v>0.196674556</v>
      </c>
      <c r="G218" s="10">
        <f t="shared" si="34"/>
        <v>0</v>
      </c>
      <c r="H218" s="10">
        <f t="shared" si="37"/>
        <v>0</v>
      </c>
      <c r="I218" s="73">
        <f>MAX(0,MIN(O218,H217*2,(D218-Sheet1!$C$3)))</f>
        <v>0</v>
      </c>
      <c r="J218" s="9">
        <f>IF(F218&gt;VLOOKUP($B$16,$B$2:$F$9,5,FALSE),MAX(N218,-F218*(VLOOKUP(B218,$B$2:$E$9,4,FALSE)),-2*(6-H217),-(VLOOKUP(B218,$B$2:$G$9,6,FALSE)-D218)),0)</f>
        <v>0</v>
      </c>
      <c r="K218" s="9">
        <f t="shared" si="32"/>
        <v>0</v>
      </c>
      <c r="L218" s="9">
        <f t="shared" si="33"/>
        <v>0</v>
      </c>
      <c r="M218" s="9">
        <f t="shared" si="35"/>
        <v>0</v>
      </c>
      <c r="N218" s="8">
        <v>-2.5</v>
      </c>
      <c r="O218" s="8">
        <v>0</v>
      </c>
      <c r="P218" s="2"/>
      <c r="Q218" s="2"/>
    </row>
    <row r="219" spans="1:17" x14ac:dyDescent="0.3">
      <c r="A219" s="35">
        <f t="shared" si="36"/>
        <v>13</v>
      </c>
      <c r="B219" s="35">
        <v>5</v>
      </c>
      <c r="C219" s="14">
        <v>43308.25</v>
      </c>
      <c r="D219" s="18">
        <v>2.5505628250000001</v>
      </c>
      <c r="E219" s="19">
        <f t="shared" si="31"/>
        <v>2.5505628250000001</v>
      </c>
      <c r="F219" s="16">
        <v>0.38428458599999998</v>
      </c>
      <c r="G219" s="10">
        <f t="shared" si="34"/>
        <v>0</v>
      </c>
      <c r="H219" s="10">
        <f t="shared" si="37"/>
        <v>0</v>
      </c>
      <c r="I219" s="73">
        <f>MAX(0,MIN(O219,H218*2,(D219-Sheet1!$C$3)))</f>
        <v>0</v>
      </c>
      <c r="J219" s="9">
        <f>IF(F219&gt;VLOOKUP($B$16,$B$2:$F$9,5,FALSE),MAX(N219,-F219*(VLOOKUP(B219,$B$2:$E$9,4,FALSE)),-2*(6-H218),-(VLOOKUP(B219,$B$2:$G$9,6,FALSE)-D219)),0)</f>
        <v>0</v>
      </c>
      <c r="K219" s="9">
        <f t="shared" si="32"/>
        <v>0</v>
      </c>
      <c r="L219" s="9">
        <f t="shared" si="33"/>
        <v>0</v>
      </c>
      <c r="M219" s="9">
        <f t="shared" si="35"/>
        <v>0</v>
      </c>
      <c r="N219" s="8">
        <v>-2.5</v>
      </c>
      <c r="O219" s="8">
        <v>0</v>
      </c>
      <c r="P219" s="2"/>
      <c r="Q219" s="2"/>
    </row>
    <row r="220" spans="1:17" x14ac:dyDescent="0.3">
      <c r="A220" s="35">
        <f t="shared" si="36"/>
        <v>14</v>
      </c>
      <c r="B220" s="35">
        <v>5</v>
      </c>
      <c r="C220" s="14">
        <v>43308.270833333336</v>
      </c>
      <c r="D220" s="18">
        <v>2.695242973</v>
      </c>
      <c r="E220" s="19">
        <f t="shared" si="31"/>
        <v>2.695242973</v>
      </c>
      <c r="F220" s="16">
        <v>0.55863750000000001</v>
      </c>
      <c r="G220" s="10">
        <f t="shared" si="34"/>
        <v>0</v>
      </c>
      <c r="H220" s="10">
        <f t="shared" si="37"/>
        <v>0</v>
      </c>
      <c r="I220" s="73">
        <f>MAX(0,MIN(O220,H219*2,(D220-Sheet1!$C$3)))</f>
        <v>0</v>
      </c>
      <c r="J220" s="9">
        <f>IF(F220&gt;VLOOKUP($B$16,$B$2:$F$9,5,FALSE),MAX(N220,-F220*(VLOOKUP(B220,$B$2:$E$9,4,FALSE)),-2*(6-H219),-(VLOOKUP(B220,$B$2:$G$9,6,FALSE)-D220)),0)</f>
        <v>0</v>
      </c>
      <c r="K220" s="9">
        <f t="shared" si="32"/>
        <v>0</v>
      </c>
      <c r="L220" s="9">
        <f t="shared" si="33"/>
        <v>0</v>
      </c>
      <c r="M220" s="9">
        <f t="shared" si="35"/>
        <v>0</v>
      </c>
      <c r="N220" s="8">
        <v>-2.5</v>
      </c>
      <c r="O220" s="8">
        <v>0</v>
      </c>
      <c r="P220" s="2"/>
      <c r="Q220" s="2"/>
    </row>
    <row r="221" spans="1:17" x14ac:dyDescent="0.3">
      <c r="A221" s="35">
        <f t="shared" si="36"/>
        <v>15</v>
      </c>
      <c r="B221" s="35">
        <v>5</v>
      </c>
      <c r="C221" s="14">
        <v>43308.291666666664</v>
      </c>
      <c r="D221" s="18">
        <v>2.7254347000000001</v>
      </c>
      <c r="E221" s="19">
        <f t="shared" si="31"/>
        <v>2.7254347000000001</v>
      </c>
      <c r="F221" s="16">
        <v>0.97047066699999995</v>
      </c>
      <c r="G221" s="10">
        <f t="shared" si="34"/>
        <v>0</v>
      </c>
      <c r="H221" s="10">
        <f t="shared" si="37"/>
        <v>0</v>
      </c>
      <c r="I221" s="73">
        <f>MAX(0,MIN(O221,H220*2,(D221-Sheet1!$C$3)))</f>
        <v>0</v>
      </c>
      <c r="J221" s="9">
        <f>IF(F221&gt;VLOOKUP($B$16,$B$2:$F$9,5,FALSE),MAX(N221,-F221*(VLOOKUP(B221,$B$2:$E$9,4,FALSE)),-2*(6-H220),-(VLOOKUP(B221,$B$2:$G$9,6,FALSE)-D221)),0)</f>
        <v>0</v>
      </c>
      <c r="K221" s="9">
        <f t="shared" si="32"/>
        <v>0</v>
      </c>
      <c r="L221" s="9">
        <f t="shared" si="33"/>
        <v>0</v>
      </c>
      <c r="M221" s="9">
        <f t="shared" si="35"/>
        <v>0</v>
      </c>
      <c r="N221" s="8">
        <v>-2.5</v>
      </c>
      <c r="O221" s="8">
        <v>0</v>
      </c>
      <c r="P221" s="2"/>
      <c r="Q221" s="2"/>
    </row>
    <row r="222" spans="1:17" x14ac:dyDescent="0.3">
      <c r="A222" s="35">
        <f t="shared" si="36"/>
        <v>16</v>
      </c>
      <c r="B222" s="35">
        <v>5</v>
      </c>
      <c r="C222" s="14">
        <v>43308.3125</v>
      </c>
      <c r="D222" s="18">
        <v>2.703791866</v>
      </c>
      <c r="E222" s="19">
        <f t="shared" si="31"/>
        <v>3.4440231849753795</v>
      </c>
      <c r="F222" s="16">
        <v>1.133478999</v>
      </c>
      <c r="G222" s="10">
        <f t="shared" si="34"/>
        <v>0.74023131897537964</v>
      </c>
      <c r="H222" s="10">
        <f t="shared" si="37"/>
        <v>0.37011565948768982</v>
      </c>
      <c r="I222" s="73">
        <f>MAX(0,MIN(O222,H221*2,(D222-Sheet1!$C$3)))</f>
        <v>0</v>
      </c>
      <c r="J222" s="9">
        <f>IF(F222&gt;VLOOKUP($B$16,$B$2:$F$9,5,FALSE),MAX(N222,-F222*(VLOOKUP(B222,$B$2:$E$9,4,FALSE)),-2*(6-H221),-(VLOOKUP(B222,$B$2:$G$9,6,FALSE)-D222)),0)</f>
        <v>-0.74023131897537964</v>
      </c>
      <c r="K222" s="9">
        <f t="shared" si="32"/>
        <v>0</v>
      </c>
      <c r="L222" s="9">
        <f t="shared" si="33"/>
        <v>-0.74023131897537964</v>
      </c>
      <c r="M222" s="9">
        <f t="shared" si="35"/>
        <v>0</v>
      </c>
      <c r="N222" s="8">
        <v>-2.5</v>
      </c>
      <c r="O222" s="8">
        <v>0</v>
      </c>
      <c r="P222" s="2"/>
      <c r="Q222" s="2"/>
    </row>
    <row r="223" spans="1:17" x14ac:dyDescent="0.3">
      <c r="A223" s="35">
        <f t="shared" si="36"/>
        <v>17</v>
      </c>
      <c r="B223" s="35">
        <v>5</v>
      </c>
      <c r="C223" s="14">
        <v>43308.333333333336</v>
      </c>
      <c r="D223" s="18">
        <v>2.6831395640000002</v>
      </c>
      <c r="E223" s="19">
        <f t="shared" si="31"/>
        <v>3.5431423564018414</v>
      </c>
      <c r="F223" s="16">
        <v>1.3168790340000001</v>
      </c>
      <c r="G223" s="10">
        <f t="shared" si="34"/>
        <v>0.86000279240184119</v>
      </c>
      <c r="H223" s="10">
        <f t="shared" si="37"/>
        <v>0.80011705568861036</v>
      </c>
      <c r="I223" s="73">
        <f>MAX(0,MIN(O223,H222*2,(D223-Sheet1!$C$3)))</f>
        <v>0</v>
      </c>
      <c r="J223" s="9">
        <f>IF(F223&gt;VLOOKUP($B$16,$B$2:$F$9,5,FALSE),MAX(N223,-F223*(VLOOKUP(B223,$B$2:$E$9,4,FALSE)),-2*(6-H222),-(VLOOKUP(B223,$B$2:$G$9,6,FALSE)-D223)),0)</f>
        <v>-0.86000279240184119</v>
      </c>
      <c r="K223" s="9">
        <f t="shared" si="32"/>
        <v>0</v>
      </c>
      <c r="L223" s="9">
        <f t="shared" si="33"/>
        <v>-0.86000279240184119</v>
      </c>
      <c r="M223" s="9">
        <f t="shared" si="35"/>
        <v>0</v>
      </c>
      <c r="N223" s="8">
        <v>-2.5</v>
      </c>
      <c r="O223" s="8">
        <v>0</v>
      </c>
      <c r="P223" s="2"/>
      <c r="Q223" s="2"/>
    </row>
    <row r="224" spans="1:17" x14ac:dyDescent="0.3">
      <c r="A224" s="35">
        <f t="shared" si="36"/>
        <v>18</v>
      </c>
      <c r="B224" s="35">
        <v>5</v>
      </c>
      <c r="C224" s="14">
        <v>43308.354166666664</v>
      </c>
      <c r="D224" s="18">
        <v>2.6499164199999998</v>
      </c>
      <c r="E224" s="19">
        <f t="shared" si="31"/>
        <v>3.6649039291937204</v>
      </c>
      <c r="F224" s="16">
        <v>1.5541993380000001</v>
      </c>
      <c r="G224" s="10">
        <f t="shared" si="34"/>
        <v>1.0149875091937206</v>
      </c>
      <c r="H224" s="10">
        <f t="shared" si="37"/>
        <v>1.3076108102854707</v>
      </c>
      <c r="I224" s="73">
        <f>MAX(0,MIN(O224,H223*2,(D224-Sheet1!$C$3)))</f>
        <v>0</v>
      </c>
      <c r="J224" s="9">
        <f>IF(F224&gt;VLOOKUP($B$16,$B$2:$F$9,5,FALSE),MAX(N224,-F224*(VLOOKUP(B224,$B$2:$E$9,4,FALSE)),-2*(6-H223),-(VLOOKUP(B224,$B$2:$G$9,6,FALSE)-D224)),0)</f>
        <v>-1.0149875091937206</v>
      </c>
      <c r="K224" s="9">
        <f t="shared" si="32"/>
        <v>0</v>
      </c>
      <c r="L224" s="9">
        <f t="shared" si="33"/>
        <v>-1.0149875091937206</v>
      </c>
      <c r="M224" s="9">
        <f t="shared" si="35"/>
        <v>0</v>
      </c>
      <c r="N224" s="8">
        <v>-2.5</v>
      </c>
      <c r="O224" s="8">
        <v>0</v>
      </c>
      <c r="P224" s="2"/>
      <c r="Q224" s="2"/>
    </row>
    <row r="225" spans="1:28" x14ac:dyDescent="0.3">
      <c r="A225" s="35">
        <f t="shared" si="36"/>
        <v>19</v>
      </c>
      <c r="B225" s="35">
        <v>5</v>
      </c>
      <c r="C225" s="14">
        <v>43308.375</v>
      </c>
      <c r="D225" s="18">
        <v>2.591374879</v>
      </c>
      <c r="E225" s="19">
        <f t="shared" si="31"/>
        <v>3.8424134487499999</v>
      </c>
      <c r="F225" s="16">
        <v>2.1940832139999999</v>
      </c>
      <c r="G225" s="10">
        <f t="shared" si="34"/>
        <v>1.2510385697499999</v>
      </c>
      <c r="H225" s="10">
        <f t="shared" si="37"/>
        <v>1.9331300951604706</v>
      </c>
      <c r="I225" s="73">
        <f>MAX(0,MIN(O225,H224*2,(D225-Sheet1!$C$3)))</f>
        <v>0</v>
      </c>
      <c r="J225" s="9">
        <f>IF(F225&gt;VLOOKUP($B$16,$B$2:$F$9,5,FALSE),MAX(N225,-F225*(VLOOKUP(B225,$B$2:$E$9,4,FALSE)),-2*(6-H224),-(VLOOKUP(B225,$B$2:$G$9,6,FALSE)-D225)),0)</f>
        <v>-1.2510385697499999</v>
      </c>
      <c r="K225" s="9">
        <f t="shared" si="32"/>
        <v>0</v>
      </c>
      <c r="L225" s="9">
        <f t="shared" si="33"/>
        <v>-1.2510385697499999</v>
      </c>
      <c r="M225" s="9">
        <f t="shared" si="35"/>
        <v>0</v>
      </c>
      <c r="N225" s="8">
        <v>-2.5</v>
      </c>
      <c r="O225" s="8">
        <v>0</v>
      </c>
      <c r="P225" s="2"/>
      <c r="Q225" s="2"/>
    </row>
    <row r="226" spans="1:28" x14ac:dyDescent="0.3">
      <c r="A226" s="35">
        <f t="shared" si="36"/>
        <v>20</v>
      </c>
      <c r="B226" s="35">
        <v>5</v>
      </c>
      <c r="C226" s="14">
        <v>43308.395833333336</v>
      </c>
      <c r="D226" s="18">
        <v>2.5499498150000002</v>
      </c>
      <c r="E226" s="19">
        <f t="shared" si="31"/>
        <v>3.8424134487499999</v>
      </c>
      <c r="F226" s="16">
        <v>2.3110649589999999</v>
      </c>
      <c r="G226" s="10">
        <f t="shared" si="34"/>
        <v>1.2924636337499997</v>
      </c>
      <c r="H226" s="10">
        <f t="shared" si="37"/>
        <v>2.5793619120354707</v>
      </c>
      <c r="I226" s="73">
        <f>MAX(0,MIN(O226,H225*2,(D226-Sheet1!$C$3)))</f>
        <v>0</v>
      </c>
      <c r="J226" s="9">
        <f>IF(F226&gt;VLOOKUP($B$16,$B$2:$F$9,5,FALSE),MAX(N226,-F226*(VLOOKUP(B226,$B$2:$E$9,4,FALSE)),-2*(6-H225),-(VLOOKUP(B226,$B$2:$G$9,6,FALSE)-D226)),0)</f>
        <v>-1.2924636337499997</v>
      </c>
      <c r="K226" s="9">
        <f t="shared" si="32"/>
        <v>0</v>
      </c>
      <c r="L226" s="9">
        <f t="shared" si="33"/>
        <v>-1.2924636337499997</v>
      </c>
      <c r="M226" s="9">
        <f t="shared" si="35"/>
        <v>0</v>
      </c>
      <c r="N226" s="8">
        <v>-2.5</v>
      </c>
      <c r="O226" s="8">
        <v>0</v>
      </c>
      <c r="P226" s="2"/>
      <c r="Q226" s="2"/>
    </row>
    <row r="227" spans="1:28" x14ac:dyDescent="0.3">
      <c r="A227" s="35">
        <f t="shared" si="36"/>
        <v>21</v>
      </c>
      <c r="B227" s="35">
        <v>5</v>
      </c>
      <c r="C227" s="14">
        <v>43308.416666666664</v>
      </c>
      <c r="D227" s="18">
        <v>2.6383646839999999</v>
      </c>
      <c r="E227" s="19">
        <f t="shared" si="31"/>
        <v>3.8424134487499999</v>
      </c>
      <c r="F227" s="16">
        <v>1.9581931829999999</v>
      </c>
      <c r="G227" s="10">
        <f t="shared" si="34"/>
        <v>1.20404876475</v>
      </c>
      <c r="H227" s="10">
        <f t="shared" si="37"/>
        <v>3.1813862944104709</v>
      </c>
      <c r="I227" s="73">
        <f>MAX(0,MIN(O227,H226*2,(D227-Sheet1!$C$3)))</f>
        <v>0</v>
      </c>
      <c r="J227" s="9">
        <f>IF(F227&gt;VLOOKUP($B$16,$B$2:$F$9,5,FALSE),MAX(N227,-F227*(VLOOKUP(B227,$B$2:$E$9,4,FALSE)),-2*(6-H226),-(VLOOKUP(B227,$B$2:$G$9,6,FALSE)-D227)),0)</f>
        <v>-1.20404876475</v>
      </c>
      <c r="K227" s="9">
        <f t="shared" si="32"/>
        <v>0</v>
      </c>
      <c r="L227" s="9">
        <f t="shared" si="33"/>
        <v>-1.20404876475</v>
      </c>
      <c r="M227" s="9">
        <f t="shared" si="35"/>
        <v>0</v>
      </c>
      <c r="N227" s="8">
        <v>-2.5</v>
      </c>
      <c r="O227" s="8">
        <v>0</v>
      </c>
      <c r="P227" s="2"/>
      <c r="Q227" s="2"/>
    </row>
    <row r="228" spans="1:28" x14ac:dyDescent="0.3">
      <c r="A228" s="35">
        <f t="shared" si="36"/>
        <v>22</v>
      </c>
      <c r="B228" s="35">
        <v>5</v>
      </c>
      <c r="C228" s="14">
        <v>43308.4375</v>
      </c>
      <c r="D228" s="18">
        <v>2.6048345949999998</v>
      </c>
      <c r="E228" s="19">
        <f t="shared" si="31"/>
        <v>3.8424134487499999</v>
      </c>
      <c r="F228" s="16">
        <v>2.0227422709999998</v>
      </c>
      <c r="G228" s="10">
        <f t="shared" si="34"/>
        <v>1.2375788537500001</v>
      </c>
      <c r="H228" s="10">
        <f t="shared" si="37"/>
        <v>3.8001757212854708</v>
      </c>
      <c r="I228" s="73">
        <f>MAX(0,MIN(O228,H227*2,(D228-Sheet1!$C$3)))</f>
        <v>0</v>
      </c>
      <c r="J228" s="9">
        <f>IF(F228&gt;VLOOKUP($B$16,$B$2:$F$9,5,FALSE),MAX(N228,-F228*(VLOOKUP(B228,$B$2:$E$9,4,FALSE)),-2*(6-H227),-(VLOOKUP(B228,$B$2:$G$9,6,FALSE)-D228)),0)</f>
        <v>-1.2375788537500001</v>
      </c>
      <c r="K228" s="9">
        <f t="shared" si="32"/>
        <v>0</v>
      </c>
      <c r="L228" s="9">
        <f t="shared" si="33"/>
        <v>-1.2375788537500001</v>
      </c>
      <c r="M228" s="9">
        <f t="shared" si="35"/>
        <v>0</v>
      </c>
      <c r="N228" s="8">
        <v>-2.5</v>
      </c>
      <c r="O228" s="8">
        <v>0</v>
      </c>
      <c r="P228" s="2"/>
      <c r="Q228" s="2"/>
    </row>
    <row r="229" spans="1:28" x14ac:dyDescent="0.3">
      <c r="A229" s="35">
        <f t="shared" si="36"/>
        <v>23</v>
      </c>
      <c r="B229" s="35">
        <v>5</v>
      </c>
      <c r="C229" s="14">
        <v>43308.458333333336</v>
      </c>
      <c r="D229" s="18">
        <v>2.5170103020000001</v>
      </c>
      <c r="E229" s="19">
        <f t="shared" si="31"/>
        <v>3.69557182654275</v>
      </c>
      <c r="F229" s="16">
        <v>1.8046720030000001</v>
      </c>
      <c r="G229" s="10">
        <f t="shared" si="34"/>
        <v>1.1785615245427501</v>
      </c>
      <c r="H229" s="10">
        <f t="shared" si="37"/>
        <v>4.3894564835568461</v>
      </c>
      <c r="I229" s="73">
        <f>MAX(0,MIN(O229,H228*2,(D229-Sheet1!$C$3)))</f>
        <v>0</v>
      </c>
      <c r="J229" s="9">
        <f>IF(F229&gt;VLOOKUP($B$16,$B$2:$F$9,5,FALSE),MAX(N229,-F229*(VLOOKUP(B229,$B$2:$E$9,4,FALSE)),-2*(6-H228),-(VLOOKUP(B229,$B$2:$G$9,6,FALSE)-D229)),0)</f>
        <v>-1.1785615245427501</v>
      </c>
      <c r="K229" s="9">
        <f t="shared" si="32"/>
        <v>0</v>
      </c>
      <c r="L229" s="9">
        <f t="shared" si="33"/>
        <v>-1.1785615245427501</v>
      </c>
      <c r="M229" s="9">
        <f t="shared" si="35"/>
        <v>0</v>
      </c>
      <c r="N229" s="8">
        <v>-2.5</v>
      </c>
      <c r="O229" s="8">
        <v>0</v>
      </c>
      <c r="P229" s="2"/>
      <c r="Q229" s="2"/>
    </row>
    <row r="230" spans="1:28" x14ac:dyDescent="0.3">
      <c r="A230" s="35">
        <f t="shared" si="36"/>
        <v>24</v>
      </c>
      <c r="B230" s="35">
        <v>5</v>
      </c>
      <c r="C230" s="14">
        <v>43308.479166666664</v>
      </c>
      <c r="D230" s="18">
        <v>2.473104508</v>
      </c>
      <c r="E230" s="19">
        <f t="shared" si="31"/>
        <v>3.6709265199986048</v>
      </c>
      <c r="F230" s="16">
        <v>1.8341646190000001</v>
      </c>
      <c r="G230" s="10">
        <f t="shared" si="34"/>
        <v>1.1978220119986047</v>
      </c>
      <c r="H230" s="10">
        <f t="shared" si="37"/>
        <v>4.9883674895561487</v>
      </c>
      <c r="I230" s="73">
        <f>MAX(0,MIN(O230,H229*2,(D230-Sheet1!$C$3)))</f>
        <v>0</v>
      </c>
      <c r="J230" s="9">
        <f>IF(F230&gt;VLOOKUP($B$16,$B$2:$F$9,5,FALSE),MAX(N230,-F230*(VLOOKUP(B230,$B$2:$E$9,4,FALSE)),-2*(6-H229),-(VLOOKUP(B230,$B$2:$G$9,6,FALSE)-D230)),0)</f>
        <v>-1.1978220119986047</v>
      </c>
      <c r="K230" s="9">
        <f t="shared" si="32"/>
        <v>0</v>
      </c>
      <c r="L230" s="9">
        <f t="shared" si="33"/>
        <v>-1.1978220119986047</v>
      </c>
      <c r="M230" s="9">
        <f t="shared" si="35"/>
        <v>0</v>
      </c>
      <c r="N230" s="8">
        <v>-2.5</v>
      </c>
      <c r="O230" s="8">
        <v>0</v>
      </c>
      <c r="P230" s="2"/>
      <c r="Q230" s="2"/>
    </row>
    <row r="231" spans="1:28" x14ac:dyDescent="0.3">
      <c r="A231" s="35">
        <f t="shared" si="36"/>
        <v>25</v>
      </c>
      <c r="B231" s="35">
        <v>5</v>
      </c>
      <c r="C231" s="14">
        <v>43308.5</v>
      </c>
      <c r="D231" s="18">
        <v>2.5873937360000001</v>
      </c>
      <c r="E231" s="19">
        <f t="shared" si="31"/>
        <v>3.5348030143329501</v>
      </c>
      <c r="F231" s="16">
        <v>1.450720191</v>
      </c>
      <c r="G231" s="10">
        <f t="shared" si="34"/>
        <v>0.94740927833295008</v>
      </c>
      <c r="H231" s="10">
        <f t="shared" si="37"/>
        <v>5.4620721287226237</v>
      </c>
      <c r="I231" s="73">
        <f>MAX(0,MIN(O231,H230*2,(D231-Sheet1!$C$3)))</f>
        <v>0</v>
      </c>
      <c r="J231" s="9">
        <f>IF(F231&gt;VLOOKUP($B$16,$B$2:$F$9,5,FALSE),MAX(N231,-F231*(VLOOKUP(B231,$B$2:$E$9,4,FALSE)),-2*(6-H230),-(VLOOKUP(B231,$B$2:$G$9,6,FALSE)-D231)),0)</f>
        <v>-0.94740927833295008</v>
      </c>
      <c r="K231" s="9">
        <f t="shared" si="32"/>
        <v>0</v>
      </c>
      <c r="L231" s="9">
        <f t="shared" si="33"/>
        <v>-0.94740927833295008</v>
      </c>
      <c r="M231" s="9">
        <f t="shared" si="35"/>
        <v>0</v>
      </c>
      <c r="N231" s="8">
        <v>-2.5</v>
      </c>
      <c r="O231" s="8">
        <v>0</v>
      </c>
      <c r="P231" s="2"/>
      <c r="Q231" s="2"/>
    </row>
    <row r="232" spans="1:28" x14ac:dyDescent="0.3">
      <c r="A232" s="35">
        <f t="shared" si="36"/>
        <v>26</v>
      </c>
      <c r="B232" s="35">
        <v>5</v>
      </c>
      <c r="C232" s="14">
        <v>43308.520833333336</v>
      </c>
      <c r="D232" s="18">
        <v>2.5254187589999999</v>
      </c>
      <c r="E232" s="19">
        <f t="shared" si="31"/>
        <v>3.4728280373329499</v>
      </c>
      <c r="F232" s="16">
        <v>1.450720191</v>
      </c>
      <c r="G232" s="10">
        <f t="shared" si="34"/>
        <v>0.94740927833295008</v>
      </c>
      <c r="H232" s="10">
        <f t="shared" si="37"/>
        <v>5.9357767678890987</v>
      </c>
      <c r="I232" s="73">
        <f>MAX(0,MIN(O232,H231*2,(D232-Sheet1!$C$3)))</f>
        <v>0</v>
      </c>
      <c r="J232" s="9">
        <f>IF(F232&gt;VLOOKUP($B$16,$B$2:$F$9,5,FALSE),MAX(N232,-F232*(VLOOKUP(B232,$B$2:$E$9,4,FALSE)),-2*(6-H231),-(VLOOKUP(B232,$B$2:$G$9,6,FALSE)-D232)),0)</f>
        <v>-0.94740927833295008</v>
      </c>
      <c r="K232" s="9">
        <f t="shared" si="32"/>
        <v>0</v>
      </c>
      <c r="L232" s="9">
        <f t="shared" si="33"/>
        <v>-0.94740927833295008</v>
      </c>
      <c r="M232" s="9">
        <f t="shared" si="35"/>
        <v>0</v>
      </c>
      <c r="N232" s="8">
        <v>-2.5</v>
      </c>
      <c r="O232" s="8">
        <v>0</v>
      </c>
      <c r="P232" s="2"/>
      <c r="Q232" s="2"/>
    </row>
    <row r="233" spans="1:28" x14ac:dyDescent="0.3">
      <c r="A233" s="35">
        <f t="shared" si="36"/>
        <v>27</v>
      </c>
      <c r="B233" s="35">
        <v>5</v>
      </c>
      <c r="C233" s="14">
        <v>43308.541666666664</v>
      </c>
      <c r="D233" s="18">
        <v>2.4667980900000002</v>
      </c>
      <c r="E233" s="19">
        <f t="shared" si="31"/>
        <v>2.5952445542218028</v>
      </c>
      <c r="F233" s="16">
        <v>1.774218321</v>
      </c>
      <c r="G233" s="10">
        <f t="shared" si="34"/>
        <v>0.12844646422180261</v>
      </c>
      <c r="H233" s="10">
        <f t="shared" si="37"/>
        <v>6</v>
      </c>
      <c r="I233" s="73">
        <f>MAX(0,MIN(O233,H232*2,(D233-Sheet1!$C$3)))</f>
        <v>0</v>
      </c>
      <c r="J233" s="9">
        <f>IF(F233&gt;VLOOKUP($B$16,$B$2:$F$9,5,FALSE),MAX(N233,-F233*(VLOOKUP(B233,$B$2:$E$9,4,FALSE)),-2*(6-H232),-(VLOOKUP(B233,$B$2:$G$9,6,FALSE)-D233)),0)</f>
        <v>-0.12844646422180261</v>
      </c>
      <c r="K233" s="9">
        <f t="shared" si="32"/>
        <v>0</v>
      </c>
      <c r="L233" s="9">
        <f t="shared" si="33"/>
        <v>-0.12844646422180261</v>
      </c>
      <c r="M233" s="9">
        <f t="shared" si="35"/>
        <v>0</v>
      </c>
      <c r="N233" s="8">
        <v>-2.5</v>
      </c>
      <c r="O233" s="8">
        <v>0</v>
      </c>
      <c r="P233" s="2"/>
      <c r="Q233" s="2"/>
    </row>
    <row r="234" spans="1:28" x14ac:dyDescent="0.3">
      <c r="A234" s="35">
        <f t="shared" si="36"/>
        <v>28</v>
      </c>
      <c r="B234" s="35">
        <v>5</v>
      </c>
      <c r="C234" s="14">
        <v>43308.5625</v>
      </c>
      <c r="D234" s="18">
        <v>2.4652173749999999</v>
      </c>
      <c r="E234" s="19">
        <f t="shared" si="31"/>
        <v>2.4652173749999999</v>
      </c>
      <c r="F234" s="16">
        <v>1.753413439</v>
      </c>
      <c r="G234" s="10">
        <f t="shared" si="34"/>
        <v>0</v>
      </c>
      <c r="H234" s="10">
        <f t="shared" si="37"/>
        <v>6</v>
      </c>
      <c r="I234" s="73">
        <f>MAX(0,MIN(O234,H233*2,(D234-Sheet1!$C$3)))</f>
        <v>0</v>
      </c>
      <c r="J234" s="9">
        <f>IF(F234&gt;VLOOKUP($B$16,$B$2:$F$9,5,FALSE),MAX(N234,-F234*(VLOOKUP(B234,$B$2:$E$9,4,FALSE)),-2*(6-H233),-(VLOOKUP(B234,$B$2:$G$9,6,FALSE)-D234)),0)</f>
        <v>0</v>
      </c>
      <c r="K234" s="9">
        <f t="shared" si="32"/>
        <v>0</v>
      </c>
      <c r="L234" s="9">
        <f t="shared" si="33"/>
        <v>0</v>
      </c>
      <c r="M234" s="9">
        <f t="shared" si="35"/>
        <v>0</v>
      </c>
      <c r="N234" s="8">
        <v>-2.5</v>
      </c>
      <c r="O234" s="8">
        <v>0</v>
      </c>
      <c r="P234" s="2"/>
      <c r="Q234" s="2"/>
    </row>
    <row r="235" spans="1:28" x14ac:dyDescent="0.3">
      <c r="A235" s="35">
        <f t="shared" si="36"/>
        <v>29</v>
      </c>
      <c r="B235" s="35">
        <v>5</v>
      </c>
      <c r="C235" s="14">
        <v>43308.583333333336</v>
      </c>
      <c r="D235" s="18">
        <v>2.3784545399999999</v>
      </c>
      <c r="E235" s="19">
        <f t="shared" si="31"/>
        <v>2.3784545399999999</v>
      </c>
      <c r="F235" s="16">
        <v>2.0478529929999998</v>
      </c>
      <c r="G235" s="10">
        <f t="shared" si="34"/>
        <v>0</v>
      </c>
      <c r="H235" s="10">
        <f t="shared" si="37"/>
        <v>6</v>
      </c>
      <c r="I235" s="73">
        <f>MAX(0,MIN(O235,H234*2,(D235-Sheet1!$C$3)))</f>
        <v>0</v>
      </c>
      <c r="J235" s="9">
        <f>IF(F235&gt;VLOOKUP($B$16,$B$2:$F$9,5,FALSE),MAX(N235,-F235*(VLOOKUP(B235,$B$2:$E$9,4,FALSE)),-2*(6-H234),-(VLOOKUP(B235,$B$2:$G$9,6,FALSE)-D235)),0)</f>
        <v>0</v>
      </c>
      <c r="K235" s="9">
        <f t="shared" si="32"/>
        <v>0</v>
      </c>
      <c r="L235" s="9">
        <f t="shared" si="33"/>
        <v>0</v>
      </c>
      <c r="M235" s="9">
        <f t="shared" si="35"/>
        <v>0</v>
      </c>
      <c r="N235" s="8">
        <v>-2.5</v>
      </c>
      <c r="O235" s="8">
        <v>0</v>
      </c>
      <c r="P235" s="2"/>
      <c r="Q235" s="2"/>
    </row>
    <row r="236" spans="1:28" x14ac:dyDescent="0.3">
      <c r="A236" s="37">
        <f t="shared" si="36"/>
        <v>30</v>
      </c>
      <c r="B236" s="37">
        <v>5</v>
      </c>
      <c r="C236" s="24">
        <v>43308.604166666664</v>
      </c>
      <c r="D236" s="25">
        <v>2.5326032569999999</v>
      </c>
      <c r="E236" s="26">
        <f t="shared" si="31"/>
        <v>2.5326032569999999</v>
      </c>
      <c r="F236" s="27">
        <v>1.8479237559999999</v>
      </c>
      <c r="G236" s="10">
        <f t="shared" si="34"/>
        <v>0</v>
      </c>
      <c r="H236" s="10">
        <f t="shared" si="37"/>
        <v>6</v>
      </c>
      <c r="I236" s="93">
        <f>MAX(0,MIN(O236,H235*2,(D236-Sheet1!$C$3)))</f>
        <v>0</v>
      </c>
      <c r="J236" s="9">
        <f>IF(F236&gt;VLOOKUP($B$16,$B$2:$F$9,5,FALSE),MAX(N236,-F236*(VLOOKUP(B236,$B$2:$E$9,4,FALSE)),-2*(6-H235),-(VLOOKUP(B236,$B$2:$G$9,6,FALSE)-D236)),0)</f>
        <v>0</v>
      </c>
      <c r="K236" s="9">
        <f t="shared" si="32"/>
        <v>0</v>
      </c>
      <c r="L236" s="42">
        <f t="shared" si="33"/>
        <v>0</v>
      </c>
      <c r="M236" s="42">
        <f t="shared" si="35"/>
        <v>0</v>
      </c>
      <c r="N236" s="23">
        <v>-2.5</v>
      </c>
      <c r="O236" s="23">
        <v>0</v>
      </c>
      <c r="P236" s="2"/>
      <c r="Q236" s="2"/>
    </row>
    <row r="237" spans="1:28" s="64" customFormat="1" ht="15" thickBot="1" x14ac:dyDescent="0.35">
      <c r="A237" s="54">
        <f t="shared" si="36"/>
        <v>31</v>
      </c>
      <c r="B237" s="54">
        <v>5</v>
      </c>
      <c r="C237" s="55">
        <v>43308.625</v>
      </c>
      <c r="D237" s="56">
        <v>2.714076516</v>
      </c>
      <c r="E237" s="57">
        <f t="shared" si="31"/>
        <v>2.714076516</v>
      </c>
      <c r="F237" s="58">
        <v>0.99275994300000003</v>
      </c>
      <c r="G237" s="111">
        <f>-SUM(I237,J237,K237)</f>
        <v>0</v>
      </c>
      <c r="H237" s="111">
        <f t="shared" si="37"/>
        <v>6</v>
      </c>
      <c r="I237" s="74">
        <f>MAX(0,MIN(O237,H236*2,(D237-Sheet1!$C$3)))</f>
        <v>0</v>
      </c>
      <c r="J237" s="9">
        <f>IF(F237&gt;VLOOKUP($B$16,$B$2:$F$9,5,FALSE),MAX(N237,-F237*(VLOOKUP(B237,$B$2:$E$9,4,FALSE)),-2*(6-H236),-(VLOOKUP(B237,$B$2:$G$9,6,FALSE)-D237)),0)</f>
        <v>0</v>
      </c>
      <c r="K237" s="60">
        <f t="shared" si="32"/>
        <v>0</v>
      </c>
      <c r="L237" s="60">
        <f t="shared" si="33"/>
        <v>0</v>
      </c>
      <c r="M237" s="60">
        <f t="shared" si="35"/>
        <v>0</v>
      </c>
      <c r="N237" s="61">
        <v>-2.5</v>
      </c>
      <c r="O237" s="61">
        <v>0</v>
      </c>
      <c r="P237" s="62"/>
      <c r="Q237" s="62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 spans="1:28" x14ac:dyDescent="0.3">
      <c r="A238" s="44">
        <f>A237+1</f>
        <v>32</v>
      </c>
      <c r="B238" s="44">
        <v>5</v>
      </c>
      <c r="C238" s="45">
        <v>43308.645833333336</v>
      </c>
      <c r="D238" s="46">
        <v>2.847364545</v>
      </c>
      <c r="E238" s="33">
        <f t="shared" si="31"/>
        <v>1.9066965960909088</v>
      </c>
      <c r="F238" s="47">
        <v>0.88566940999999999</v>
      </c>
      <c r="G238" s="97">
        <f t="shared" si="34"/>
        <v>-0.94066794890909122</v>
      </c>
      <c r="H238" s="97">
        <f t="shared" si="37"/>
        <v>5.5296660255454544</v>
      </c>
      <c r="I238" s="72">
        <f>MAX(0,MIN(O238,H237*2,(D238-Sheet1!$C$3)))</f>
        <v>0.94066794890909122</v>
      </c>
      <c r="J238" s="9">
        <f>IF(F238&gt;VLOOKUP($B$16,$B$2:$F$9,5,FALSE),MAX(N238,-F238*(VLOOKUP(B238,$B$2:$E$9,4,FALSE)),-2*(6-H237),-(VLOOKUP(B238,$B$2:$G$9,6,FALSE)-D238)),0)</f>
        <v>0</v>
      </c>
      <c r="K238" s="40">
        <f t="shared" si="32"/>
        <v>0</v>
      </c>
      <c r="L238" s="41"/>
      <c r="M238" s="41"/>
      <c r="N238" s="48">
        <v>0</v>
      </c>
      <c r="O238" s="48">
        <v>2.5</v>
      </c>
      <c r="P238" s="2"/>
      <c r="Q238" s="2"/>
    </row>
    <row r="239" spans="1:28" x14ac:dyDescent="0.3">
      <c r="A239" s="36">
        <f t="shared" si="36"/>
        <v>33</v>
      </c>
      <c r="B239" s="36">
        <v>5</v>
      </c>
      <c r="C239" s="15">
        <v>43308.666666666664</v>
      </c>
      <c r="D239" s="20">
        <v>3.0283333959999998</v>
      </c>
      <c r="E239" s="19">
        <f t="shared" si="31"/>
        <v>1.9066965960909088</v>
      </c>
      <c r="F239" s="17">
        <v>0.44464132200000001</v>
      </c>
      <c r="G239" s="10">
        <f t="shared" si="34"/>
        <v>-1.121636799909091</v>
      </c>
      <c r="H239" s="10">
        <f t="shared" si="37"/>
        <v>4.9688476255909091</v>
      </c>
      <c r="I239" s="73">
        <f>MAX(0,MIN(O239,H238*2,(D239-Sheet1!$C$3)))</f>
        <v>1.121636799909091</v>
      </c>
      <c r="J239" s="9">
        <f>IF(F239&gt;VLOOKUP($B$16,$B$2:$F$9,5,FALSE),MAX(N239,-F239*(VLOOKUP(B239,$B$2:$E$9,4,FALSE)),-2*(6-H238),-(VLOOKUP(B239,$B$2:$G$9,6,FALSE)-D239)),0)</f>
        <v>0</v>
      </c>
      <c r="K239" s="9">
        <f t="shared" si="32"/>
        <v>0</v>
      </c>
      <c r="L239" s="12"/>
      <c r="M239" s="12"/>
      <c r="N239" s="13">
        <v>0</v>
      </c>
      <c r="O239" s="13">
        <v>2.5</v>
      </c>
      <c r="P239" s="2"/>
      <c r="Q239" s="2"/>
    </row>
    <row r="240" spans="1:28" x14ac:dyDescent="0.3">
      <c r="A240" s="36">
        <f t="shared" si="36"/>
        <v>34</v>
      </c>
      <c r="B240" s="36">
        <v>5</v>
      </c>
      <c r="C240" s="15">
        <v>43308.6875</v>
      </c>
      <c r="D240" s="20">
        <v>3.073930759</v>
      </c>
      <c r="E240" s="19">
        <f t="shared" si="31"/>
        <v>1.9066965960909088</v>
      </c>
      <c r="F240" s="17">
        <v>0.40945255800000002</v>
      </c>
      <c r="G240" s="10">
        <f t="shared" si="34"/>
        <v>-1.1672341629090912</v>
      </c>
      <c r="H240" s="10">
        <f t="shared" si="37"/>
        <v>4.3852305441363635</v>
      </c>
      <c r="I240" s="73">
        <f>MAX(0,MIN(O240,H239*2,(D240-Sheet1!$C$3)))</f>
        <v>1.1672341629090912</v>
      </c>
      <c r="J240" s="9">
        <f>IF(F240&gt;VLOOKUP($B$16,$B$2:$F$9,5,FALSE),MAX(N240,-F240*(VLOOKUP(B240,$B$2:$E$9,4,FALSE)),-2*(6-H239),-(VLOOKUP(B240,$B$2:$G$9,6,FALSE)-D240)),0)</f>
        <v>0</v>
      </c>
      <c r="K240" s="9">
        <f t="shared" si="32"/>
        <v>0</v>
      </c>
      <c r="L240" s="12"/>
      <c r="M240" s="12"/>
      <c r="N240" s="13">
        <v>0</v>
      </c>
      <c r="O240" s="13">
        <v>2.5</v>
      </c>
      <c r="P240" s="2"/>
      <c r="Q240" s="2"/>
    </row>
    <row r="241" spans="1:28" x14ac:dyDescent="0.3">
      <c r="A241" s="36">
        <f t="shared" si="36"/>
        <v>35</v>
      </c>
      <c r="B241" s="36">
        <v>5</v>
      </c>
      <c r="C241" s="15">
        <v>43308.708333333336</v>
      </c>
      <c r="D241" s="20">
        <v>3.0617563990000001</v>
      </c>
      <c r="E241" s="19">
        <f t="shared" si="31"/>
        <v>1.9066965960909088</v>
      </c>
      <c r="F241" s="17">
        <v>0.30886298400000001</v>
      </c>
      <c r="G241" s="10">
        <f t="shared" si="34"/>
        <v>-1.1550598029090913</v>
      </c>
      <c r="H241" s="10">
        <f t="shared" si="37"/>
        <v>3.8077006426818176</v>
      </c>
      <c r="I241" s="73">
        <f>MAX(0,MIN(O241,H240*2,(D241-Sheet1!$C$3)))</f>
        <v>1.1550598029090913</v>
      </c>
      <c r="J241" s="9">
        <f>IF(F241&gt;VLOOKUP($B$16,$B$2:$F$9,5,FALSE),MAX(N241,-F241*(VLOOKUP(B241,$B$2:$E$9,4,FALSE)),-2*(6-H240),-(VLOOKUP(B241,$B$2:$G$9,6,FALSE)-D241)),0)</f>
        <v>0</v>
      </c>
      <c r="K241" s="9">
        <f t="shared" si="32"/>
        <v>0</v>
      </c>
      <c r="L241" s="12"/>
      <c r="M241" s="12"/>
      <c r="N241" s="13">
        <v>0</v>
      </c>
      <c r="O241" s="13">
        <v>2.5</v>
      </c>
      <c r="P241" s="2"/>
      <c r="Q241" s="2"/>
    </row>
    <row r="242" spans="1:28" x14ac:dyDescent="0.3">
      <c r="A242" s="36">
        <f t="shared" si="36"/>
        <v>36</v>
      </c>
      <c r="B242" s="36">
        <v>5</v>
      </c>
      <c r="C242" s="15">
        <v>43308.729166666664</v>
      </c>
      <c r="D242" s="20">
        <v>2.98409711</v>
      </c>
      <c r="E242" s="19">
        <f t="shared" si="31"/>
        <v>1.9066965960909088</v>
      </c>
      <c r="F242" s="17">
        <v>0.23781317499999999</v>
      </c>
      <c r="G242" s="10">
        <f t="shared" si="34"/>
        <v>-1.0774005139090912</v>
      </c>
      <c r="H242" s="10">
        <f t="shared" si="37"/>
        <v>3.269000385727272</v>
      </c>
      <c r="I242" s="73">
        <f>MAX(0,MIN(O242,H241*2,(D242-Sheet1!$C$3)))</f>
        <v>1.0774005139090912</v>
      </c>
      <c r="J242" s="9">
        <f>IF(F242&gt;VLOOKUP($B$16,$B$2:$F$9,5,FALSE),MAX(N242,-F242*(VLOOKUP(B242,$B$2:$E$9,4,FALSE)),-2*(6-H241),-(VLOOKUP(B242,$B$2:$G$9,6,FALSE)-D242)),0)</f>
        <v>0</v>
      </c>
      <c r="K242" s="9">
        <f t="shared" si="32"/>
        <v>0</v>
      </c>
      <c r="L242" s="12"/>
      <c r="M242" s="12"/>
      <c r="N242" s="13">
        <v>0</v>
      </c>
      <c r="O242" s="13">
        <v>2.5</v>
      </c>
      <c r="P242" s="2"/>
      <c r="Q242" s="2"/>
    </row>
    <row r="243" spans="1:28" x14ac:dyDescent="0.3">
      <c r="A243" s="36">
        <f t="shared" si="36"/>
        <v>37</v>
      </c>
      <c r="B243" s="36">
        <v>5</v>
      </c>
      <c r="C243" s="15">
        <v>43308.75</v>
      </c>
      <c r="D243" s="20">
        <v>2.9565394079999998</v>
      </c>
      <c r="E243" s="19">
        <f t="shared" si="31"/>
        <v>1.9066965960909088</v>
      </c>
      <c r="F243" s="17">
        <v>0.15275833</v>
      </c>
      <c r="G243" s="10">
        <f t="shared" si="34"/>
        <v>-1.049842811909091</v>
      </c>
      <c r="H243" s="10">
        <f t="shared" si="37"/>
        <v>2.7440789797727265</v>
      </c>
      <c r="I243" s="73">
        <f>MAX(0,MIN(O243,H242*2,(D243-Sheet1!$C$3)))</f>
        <v>1.049842811909091</v>
      </c>
      <c r="J243" s="9">
        <f>IF(F243&gt;VLOOKUP($B$16,$B$2:$F$9,5,FALSE),MAX(N243,-F243*(VLOOKUP(B243,$B$2:$E$9,4,FALSE)),-2*(6-H242),-(VLOOKUP(B243,$B$2:$G$9,6,FALSE)-D243)),0)</f>
        <v>0</v>
      </c>
      <c r="K243" s="9">
        <f t="shared" si="32"/>
        <v>0</v>
      </c>
      <c r="L243" s="12"/>
      <c r="M243" s="12"/>
      <c r="N243" s="13">
        <v>0</v>
      </c>
      <c r="O243" s="13">
        <v>2.5</v>
      </c>
      <c r="P243" s="2"/>
      <c r="Q243" s="2"/>
    </row>
    <row r="244" spans="1:28" x14ac:dyDescent="0.3">
      <c r="A244" s="36">
        <f t="shared" si="36"/>
        <v>38</v>
      </c>
      <c r="B244" s="36">
        <v>5</v>
      </c>
      <c r="C244" s="15">
        <v>43308.770833333336</v>
      </c>
      <c r="D244" s="20">
        <v>2.9479586059999998</v>
      </c>
      <c r="E244" s="19">
        <f t="shared" si="31"/>
        <v>1.9066965960909088</v>
      </c>
      <c r="F244" s="17">
        <v>0.15064397500000001</v>
      </c>
      <c r="G244" s="10">
        <f t="shared" si="34"/>
        <v>-1.041262009909091</v>
      </c>
      <c r="H244" s="10">
        <f t="shared" si="37"/>
        <v>2.223447974818181</v>
      </c>
      <c r="I244" s="73">
        <f>MAX(0,MIN(O244,H243*2,(D244-Sheet1!$C$3)))</f>
        <v>1.041262009909091</v>
      </c>
      <c r="J244" s="9">
        <f>IF(F244&gt;VLOOKUP($B$16,$B$2:$F$9,5,FALSE),MAX(N244,-F244*(VLOOKUP(B244,$B$2:$E$9,4,FALSE)),-2*(6-H243),-(VLOOKUP(B244,$B$2:$G$9,6,FALSE)-D244)),0)</f>
        <v>0</v>
      </c>
      <c r="K244" s="9">
        <f t="shared" si="32"/>
        <v>0</v>
      </c>
      <c r="L244" s="12"/>
      <c r="M244" s="12"/>
      <c r="N244" s="13">
        <v>0</v>
      </c>
      <c r="O244" s="13">
        <v>2.5</v>
      </c>
      <c r="P244" s="2"/>
      <c r="Q244" s="2"/>
    </row>
    <row r="245" spans="1:28" x14ac:dyDescent="0.3">
      <c r="A245" s="36">
        <f t="shared" si="36"/>
        <v>39</v>
      </c>
      <c r="B245" s="36">
        <v>5</v>
      </c>
      <c r="C245" s="15">
        <v>43308.791666666664</v>
      </c>
      <c r="D245" s="20">
        <v>2.800745118</v>
      </c>
      <c r="E245" s="19">
        <f t="shared" si="31"/>
        <v>1.9066965960909088</v>
      </c>
      <c r="F245" s="17">
        <v>4.5566349999999999E-2</v>
      </c>
      <c r="G245" s="10">
        <f t="shared" si="34"/>
        <v>-0.89404852190909123</v>
      </c>
      <c r="H245" s="10">
        <f t="shared" si="37"/>
        <v>1.7764237138636354</v>
      </c>
      <c r="I245" s="73">
        <f>MAX(0,MIN(O245,H244*2,(D245-Sheet1!$C$3)))</f>
        <v>0.89404852190909123</v>
      </c>
      <c r="J245" s="9">
        <f>IF(F245&gt;VLOOKUP($B$16,$B$2:$F$9,5,FALSE),MAX(N245,-F245*(VLOOKUP(B245,$B$2:$E$9,4,FALSE)),-2*(6-H244),-(VLOOKUP(B245,$B$2:$G$9,6,FALSE)-D245)),0)</f>
        <v>0</v>
      </c>
      <c r="K245" s="9">
        <f t="shared" si="32"/>
        <v>0</v>
      </c>
      <c r="L245" s="12"/>
      <c r="M245" s="12"/>
      <c r="N245" s="13">
        <v>0</v>
      </c>
      <c r="O245" s="13">
        <v>2.5</v>
      </c>
      <c r="P245" s="2"/>
      <c r="Q245" s="2"/>
    </row>
    <row r="246" spans="1:28" x14ac:dyDescent="0.3">
      <c r="A246" s="36">
        <f t="shared" si="36"/>
        <v>40</v>
      </c>
      <c r="B246" s="36">
        <v>5</v>
      </c>
      <c r="C246" s="15">
        <v>43308.8125</v>
      </c>
      <c r="D246" s="20">
        <v>2.7661333419999998</v>
      </c>
      <c r="E246" s="19">
        <f t="shared" si="31"/>
        <v>1.9066965960909088</v>
      </c>
      <c r="F246" s="17">
        <v>4.5566349999999999E-2</v>
      </c>
      <c r="G246" s="10">
        <f t="shared" si="34"/>
        <v>-0.85943674590909103</v>
      </c>
      <c r="H246" s="10">
        <f t="shared" si="37"/>
        <v>1.3467053409090899</v>
      </c>
      <c r="I246" s="73">
        <f>MAX(0,MIN(O246,H245*2,(D246-Sheet1!$C$3)))</f>
        <v>0.85943674590909103</v>
      </c>
      <c r="J246" s="9">
        <f>IF(F246&gt;VLOOKUP($B$16,$B$2:$F$9,5,FALSE),MAX(N246,-F246*(VLOOKUP(B246,$B$2:$E$9,4,FALSE)),-2*(6-H245),-(VLOOKUP(B246,$B$2:$G$9,6,FALSE)-D246)),0)</f>
        <v>0</v>
      </c>
      <c r="K246" s="9">
        <f t="shared" si="32"/>
        <v>0</v>
      </c>
      <c r="L246" s="12"/>
      <c r="M246" s="12"/>
      <c r="N246" s="13">
        <v>0</v>
      </c>
      <c r="O246" s="13">
        <v>2.5</v>
      </c>
      <c r="P246" s="2"/>
      <c r="Q246" s="2"/>
    </row>
    <row r="247" spans="1:28" x14ac:dyDescent="0.3">
      <c r="A247" s="49">
        <f t="shared" si="36"/>
        <v>41</v>
      </c>
      <c r="B247" s="49">
        <v>5</v>
      </c>
      <c r="C247" s="50">
        <v>43308.833333333336</v>
      </c>
      <c r="D247" s="51">
        <v>2.7486804970000001</v>
      </c>
      <c r="E247" s="26">
        <f t="shared" si="31"/>
        <v>1.9066965960909088</v>
      </c>
      <c r="F247" s="52">
        <v>5.3364930000000003E-3</v>
      </c>
      <c r="G247" s="10">
        <f t="shared" si="34"/>
        <v>-0.84198390090909125</v>
      </c>
      <c r="H247" s="10">
        <f t="shared" si="37"/>
        <v>0.92571339045454426</v>
      </c>
      <c r="I247" s="93">
        <f>MAX(0,MIN(O247,H246*2,(D247-Sheet1!$C$3)))</f>
        <v>0.84198390090909125</v>
      </c>
      <c r="J247" s="9">
        <f>IF(F247&gt;VLOOKUP($B$16,$B$2:$F$9,5,FALSE),MAX(N247,-F247*(VLOOKUP(B247,$B$2:$E$9,4,FALSE)),-2*(6-H246),-(VLOOKUP(B247,$B$2:$G$9,6,FALSE)-D247)),0)</f>
        <v>0</v>
      </c>
      <c r="K247" s="9">
        <f t="shared" si="32"/>
        <v>0</v>
      </c>
      <c r="L247" s="29"/>
      <c r="M247" s="29"/>
      <c r="N247" s="53">
        <v>0</v>
      </c>
      <c r="O247" s="53">
        <v>2.5</v>
      </c>
      <c r="P247" s="2"/>
      <c r="Q247" s="2"/>
    </row>
    <row r="248" spans="1:28" s="64" customFormat="1" ht="15" thickBot="1" x14ac:dyDescent="0.35">
      <c r="A248" s="65">
        <f t="shared" si="36"/>
        <v>42</v>
      </c>
      <c r="B248" s="65">
        <v>5</v>
      </c>
      <c r="C248" s="66">
        <v>43308.854166666664</v>
      </c>
      <c r="D248" s="67">
        <v>2.6215436759999999</v>
      </c>
      <c r="E248" s="57">
        <f t="shared" si="31"/>
        <v>1.9066965960909088</v>
      </c>
      <c r="F248" s="68">
        <v>5.3364930000000003E-3</v>
      </c>
      <c r="G248" s="111">
        <f t="shared" si="34"/>
        <v>-0.71484707990909113</v>
      </c>
      <c r="H248" s="111">
        <f t="shared" si="37"/>
        <v>0.56828985049999869</v>
      </c>
      <c r="I248" s="74">
        <f>MAX(0,MIN(O248,H247*2,(D248-Sheet1!$C$3)))</f>
        <v>0.71484707990909113</v>
      </c>
      <c r="J248" s="9">
        <f>IF(F248&gt;VLOOKUP($B$16,$B$2:$F$9,5,FALSE),MAX(N248,-F248*(VLOOKUP(B248,$B$2:$E$9,4,FALSE)),-2*(6-H247),-(VLOOKUP(B248,$B$2:$G$9,6,FALSE)-D248)),0)</f>
        <v>0</v>
      </c>
      <c r="K248" s="60">
        <f t="shared" si="32"/>
        <v>0</v>
      </c>
      <c r="L248" s="59"/>
      <c r="M248" s="59"/>
      <c r="N248" s="69">
        <v>0</v>
      </c>
      <c r="O248" s="69">
        <v>2.5</v>
      </c>
      <c r="P248" s="62"/>
      <c r="Q248" s="62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 spans="1:28" x14ac:dyDescent="0.3">
      <c r="A249" s="38">
        <f t="shared" si="36"/>
        <v>43</v>
      </c>
      <c r="B249" s="38">
        <v>5</v>
      </c>
      <c r="C249" s="31">
        <v>43308.875</v>
      </c>
      <c r="D249" s="32">
        <v>2.6148325680000002</v>
      </c>
      <c r="E249" s="33">
        <f t="shared" si="31"/>
        <v>2.6148325680000002</v>
      </c>
      <c r="F249" s="39">
        <v>5.3364930000000003E-3</v>
      </c>
      <c r="G249" s="97">
        <f t="shared" si="34"/>
        <v>0</v>
      </c>
      <c r="H249" s="97">
        <f t="shared" si="37"/>
        <v>0.56828985049999869</v>
      </c>
      <c r="I249" s="72">
        <f>MAX(0,MIN(O249,H248*2,(D249-Sheet1!$C$3)))</f>
        <v>0</v>
      </c>
      <c r="J249" s="9">
        <f>IF(F249&gt;VLOOKUP($B$16,$B$2:$F$9,5,FALSE),MAX(N249,-F249*(VLOOKUP(B249,$B$2:$E$9,4,FALSE)),-2*(6-H248),-(VLOOKUP(B249,$B$2:$G$9,6,FALSE)-D249)),0)</f>
        <v>0</v>
      </c>
      <c r="K249" s="40">
        <f t="shared" si="32"/>
        <v>0</v>
      </c>
      <c r="L249" s="34"/>
      <c r="M249" s="34"/>
      <c r="N249" s="30">
        <v>0</v>
      </c>
      <c r="O249" s="30">
        <v>0</v>
      </c>
      <c r="P249" s="2"/>
      <c r="Q249" s="2"/>
    </row>
    <row r="250" spans="1:28" x14ac:dyDescent="0.3">
      <c r="A250" s="35">
        <f t="shared" si="36"/>
        <v>44</v>
      </c>
      <c r="B250" s="35">
        <v>5</v>
      </c>
      <c r="C250" s="14">
        <v>43308.895833333336</v>
      </c>
      <c r="D250" s="18">
        <v>2.425646457</v>
      </c>
      <c r="E250" s="19">
        <f t="shared" si="31"/>
        <v>2.425646457</v>
      </c>
      <c r="F250" s="16">
        <v>5.3364930000000003E-3</v>
      </c>
      <c r="G250" s="10">
        <f t="shared" si="34"/>
        <v>0</v>
      </c>
      <c r="H250" s="10">
        <f t="shared" si="37"/>
        <v>0.56828985049999869</v>
      </c>
      <c r="I250" s="73">
        <f>MAX(0,MIN(O250,H249*2,(D250-Sheet1!$C$3)))</f>
        <v>0</v>
      </c>
      <c r="J250" s="9">
        <f>IF(F250&gt;VLOOKUP($B$16,$B$2:$F$9,5,FALSE),MAX(N250,-F250*(VLOOKUP(B250,$B$2:$E$9,4,FALSE)),-2*(6-H249),-(VLOOKUP(B250,$B$2:$G$9,6,FALSE)-D250)),0)</f>
        <v>0</v>
      </c>
      <c r="K250" s="9">
        <f t="shared" si="32"/>
        <v>0</v>
      </c>
      <c r="L250" s="11"/>
      <c r="M250" s="11"/>
      <c r="N250" s="8">
        <v>0</v>
      </c>
      <c r="O250" s="8">
        <v>0</v>
      </c>
      <c r="P250" s="2"/>
      <c r="Q250" s="2"/>
    </row>
    <row r="251" spans="1:28" x14ac:dyDescent="0.3">
      <c r="A251" s="35">
        <f t="shared" si="36"/>
        <v>45</v>
      </c>
      <c r="B251" s="35">
        <v>5</v>
      </c>
      <c r="C251" s="14">
        <v>43308.916666666664</v>
      </c>
      <c r="D251" s="18">
        <v>2.1710926320000001</v>
      </c>
      <c r="E251" s="19">
        <f t="shared" si="31"/>
        <v>2.1710926320000001</v>
      </c>
      <c r="F251" s="16">
        <v>5.3364930000000003E-3</v>
      </c>
      <c r="G251" s="10">
        <f t="shared" si="34"/>
        <v>0</v>
      </c>
      <c r="H251" s="10">
        <f t="shared" si="37"/>
        <v>0.56828985049999869</v>
      </c>
      <c r="I251" s="73">
        <f>MAX(0,MIN(O251,H250*2,(D251-Sheet1!$C$3)))</f>
        <v>0</v>
      </c>
      <c r="J251" s="9">
        <f>IF(F251&gt;VLOOKUP($B$16,$B$2:$F$9,5,FALSE),MAX(N251,-F251*(VLOOKUP(B251,$B$2:$E$9,4,FALSE)),-2*(6-H250),-(VLOOKUP(B251,$B$2:$G$9,6,FALSE)-D251)),0)</f>
        <v>0</v>
      </c>
      <c r="K251" s="9">
        <f t="shared" si="32"/>
        <v>0</v>
      </c>
      <c r="L251" s="11"/>
      <c r="M251" s="11"/>
      <c r="N251" s="8">
        <v>0</v>
      </c>
      <c r="O251" s="8">
        <v>0</v>
      </c>
      <c r="P251" s="2"/>
      <c r="Q251" s="2"/>
    </row>
    <row r="252" spans="1:28" x14ac:dyDescent="0.3">
      <c r="A252" s="35">
        <f t="shared" si="36"/>
        <v>46</v>
      </c>
      <c r="B252" s="35">
        <v>5</v>
      </c>
      <c r="C252" s="14">
        <v>43308.9375</v>
      </c>
      <c r="D252" s="18">
        <v>1.930942586</v>
      </c>
      <c r="E252" s="19">
        <f t="shared" si="31"/>
        <v>1.930942586</v>
      </c>
      <c r="F252" s="16">
        <v>5.3364930000000003E-3</v>
      </c>
      <c r="G252" s="10">
        <f t="shared" si="34"/>
        <v>0</v>
      </c>
      <c r="H252" s="10">
        <f t="shared" si="37"/>
        <v>0.56828985049999869</v>
      </c>
      <c r="I252" s="73">
        <f>MAX(0,MIN(O252,H251*2,(D252-Sheet1!$C$3)))</f>
        <v>0</v>
      </c>
      <c r="J252" s="9">
        <f>IF(F252&gt;VLOOKUP($B$16,$B$2:$F$9,5,FALSE),MAX(N252,-F252*(VLOOKUP(B252,$B$2:$E$9,4,FALSE)),-2*(6-H251),-(VLOOKUP(B252,$B$2:$G$9,6,FALSE)-D252)),0)</f>
        <v>0</v>
      </c>
      <c r="K252" s="9">
        <f t="shared" si="32"/>
        <v>0</v>
      </c>
      <c r="L252" s="11"/>
      <c r="M252" s="11"/>
      <c r="N252" s="8">
        <v>0</v>
      </c>
      <c r="O252" s="8">
        <v>0</v>
      </c>
      <c r="P252" s="2"/>
      <c r="Q252" s="2"/>
    </row>
    <row r="253" spans="1:28" x14ac:dyDescent="0.3">
      <c r="A253" s="37">
        <f t="shared" si="36"/>
        <v>47</v>
      </c>
      <c r="B253" s="37">
        <v>5</v>
      </c>
      <c r="C253" s="24">
        <v>43308.958333333336</v>
      </c>
      <c r="D253" s="25">
        <v>1.824982712</v>
      </c>
      <c r="E253" s="26">
        <f t="shared" si="31"/>
        <v>1.824982712</v>
      </c>
      <c r="F253" s="27">
        <v>1.831472E-3</v>
      </c>
      <c r="G253" s="98">
        <f t="shared" si="34"/>
        <v>0</v>
      </c>
      <c r="H253" s="98">
        <f t="shared" si="37"/>
        <v>0.56828985049999869</v>
      </c>
      <c r="I253" s="93">
        <f>MAX(0,MIN(O253,H252*2,(D253-Sheet1!$C$3)))</f>
        <v>0</v>
      </c>
      <c r="J253" s="9">
        <f>IF(F253&gt;VLOOKUP($B$16,$B$2:$F$9,5,FALSE),MAX(N253,-F253*(VLOOKUP(B253,$B$2:$E$9,4,FALSE)),-2*(6-H252),-(VLOOKUP(B253,$B$2:$G$9,6,FALSE)-D253)),0)</f>
        <v>0</v>
      </c>
      <c r="K253" s="42">
        <f t="shared" si="32"/>
        <v>0</v>
      </c>
      <c r="L253" s="28"/>
      <c r="M253" s="28"/>
      <c r="N253" s="23">
        <v>0</v>
      </c>
      <c r="O253" s="23">
        <v>0</v>
      </c>
      <c r="P253" s="2"/>
      <c r="Q253" s="2"/>
    </row>
    <row r="254" spans="1:28" s="110" customFormat="1" ht="15" thickBot="1" x14ac:dyDescent="0.35">
      <c r="A254" s="99">
        <f t="shared" si="36"/>
        <v>48</v>
      </c>
      <c r="B254" s="99">
        <v>5</v>
      </c>
      <c r="C254" s="100">
        <v>43308.979166666664</v>
      </c>
      <c r="D254" s="101">
        <v>1.709715176</v>
      </c>
      <c r="E254" s="102">
        <f t="shared" si="31"/>
        <v>1.709715176</v>
      </c>
      <c r="F254" s="103">
        <v>1.831472E-3</v>
      </c>
      <c r="G254" s="104">
        <f t="shared" si="34"/>
        <v>0</v>
      </c>
      <c r="H254" s="104">
        <f t="shared" si="37"/>
        <v>0.56828985049999869</v>
      </c>
      <c r="I254" s="105">
        <f>MAX(0,MIN(O254,H253*2,(D254-Sheet1!$C$3)))</f>
        <v>0</v>
      </c>
      <c r="J254" s="9">
        <f>IF(F254&gt;VLOOKUP($B$16,$B$2:$F$9,5,FALSE),MAX(N254,-F254*(VLOOKUP(B254,$B$2:$E$9,4,FALSE)),-2*(6-H253),-(VLOOKUP(B254,$B$2:$G$9,6,FALSE)-D254)),0)</f>
        <v>0</v>
      </c>
      <c r="K254" s="106">
        <f t="shared" si="32"/>
        <v>0</v>
      </c>
      <c r="L254" s="107"/>
      <c r="M254" s="107"/>
      <c r="N254" s="108">
        <v>0</v>
      </c>
      <c r="O254" s="108">
        <v>0</v>
      </c>
      <c r="P254" s="109"/>
      <c r="Q254" s="109"/>
    </row>
    <row r="255" spans="1:28" s="122" customFormat="1" x14ac:dyDescent="0.3">
      <c r="A255" s="113">
        <v>1</v>
      </c>
      <c r="B255" s="113">
        <v>6</v>
      </c>
      <c r="C255" s="114">
        <v>43309</v>
      </c>
      <c r="D255" s="115">
        <v>1.755981507</v>
      </c>
      <c r="E255" s="116">
        <f t="shared" si="31"/>
        <v>1.755981507</v>
      </c>
      <c r="F255" s="117">
        <v>1.831472E-3</v>
      </c>
      <c r="G255" s="118">
        <f t="shared" si="34"/>
        <v>0</v>
      </c>
      <c r="H255" s="118">
        <v>0</v>
      </c>
      <c r="I255" s="119">
        <v>0</v>
      </c>
      <c r="J255" s="9">
        <f>IF(F255&gt;VLOOKUP($B$16,$B$2:$F$9,5,FALSE),MAX(N255,-F255*(VLOOKUP(B255,$B$2:$E$9,4,FALSE)),-2*(6-H254),-(VLOOKUP(B255,$B$2:$G$9,6,FALSE)-D255)),0)</f>
        <v>0</v>
      </c>
      <c r="K255" s="119">
        <f t="shared" si="32"/>
        <v>0</v>
      </c>
      <c r="L255" s="119">
        <f t="shared" ref="L255:L285" si="38">MIN(J255,F255)</f>
        <v>0</v>
      </c>
      <c r="M255" s="119">
        <f>J255-L255</f>
        <v>0</v>
      </c>
      <c r="N255" s="120">
        <v>-2.5</v>
      </c>
      <c r="O255" s="120">
        <v>0</v>
      </c>
      <c r="P255" s="121"/>
      <c r="Q255" s="121"/>
    </row>
    <row r="256" spans="1:28" x14ac:dyDescent="0.3">
      <c r="A256" s="35">
        <f>A255+1</f>
        <v>2</v>
      </c>
      <c r="B256" s="35">
        <v>6</v>
      </c>
      <c r="C256" s="14">
        <v>43309.020833333336</v>
      </c>
      <c r="D256" s="18">
        <v>1.664851359</v>
      </c>
      <c r="E256" s="19">
        <f t="shared" si="31"/>
        <v>1.664851359</v>
      </c>
      <c r="F256" s="16">
        <v>1.831472E-3</v>
      </c>
      <c r="G256" s="10">
        <f t="shared" si="34"/>
        <v>0</v>
      </c>
      <c r="H256" s="10">
        <f t="shared" si="37"/>
        <v>0</v>
      </c>
      <c r="I256" s="73">
        <f>MAX(0,MIN(O256,H255*2,(D256-Sheet1!$C$3)))</f>
        <v>0</v>
      </c>
      <c r="J256" s="9">
        <f>IF(F256&gt;VLOOKUP($B$16,$B$2:$F$9,5,FALSE),MAX(N256,-F256*(VLOOKUP(B256,$B$2:$E$9,4,FALSE)),-2*(6-H255),-(VLOOKUP(B256,$B$2:$G$9,6,FALSE)-D256)),0)</f>
        <v>0</v>
      </c>
      <c r="K256" s="9">
        <f t="shared" si="32"/>
        <v>0</v>
      </c>
      <c r="L256" s="9">
        <f t="shared" si="38"/>
        <v>0</v>
      </c>
      <c r="M256" s="9">
        <f t="shared" ref="M256:M285" si="39">J256-L256</f>
        <v>0</v>
      </c>
      <c r="N256" s="8">
        <v>-2.5</v>
      </c>
      <c r="O256" s="8">
        <v>0</v>
      </c>
      <c r="P256" s="2"/>
      <c r="Q256" s="2"/>
    </row>
    <row r="257" spans="1:17" x14ac:dyDescent="0.3">
      <c r="A257" s="35">
        <f t="shared" ref="A257:A302" si="40">A256+1</f>
        <v>3</v>
      </c>
      <c r="B257" s="35">
        <v>6</v>
      </c>
      <c r="C257" s="14">
        <v>43309.041666666664</v>
      </c>
      <c r="D257" s="18">
        <v>1.5970955069999999</v>
      </c>
      <c r="E257" s="19">
        <f t="shared" si="31"/>
        <v>1.5970955069999999</v>
      </c>
      <c r="F257" s="16">
        <v>1.831472E-3</v>
      </c>
      <c r="G257" s="10">
        <f t="shared" si="34"/>
        <v>0</v>
      </c>
      <c r="H257" s="10">
        <f t="shared" si="37"/>
        <v>0</v>
      </c>
      <c r="I257" s="73">
        <f>MAX(0,MIN(O257,H256*2,(D257-Sheet1!$C$3)))</f>
        <v>0</v>
      </c>
      <c r="J257" s="9">
        <f>IF(F257&gt;VLOOKUP($B$16,$B$2:$F$9,5,FALSE),MAX(N257,-F257*(VLOOKUP(B257,$B$2:$E$9,4,FALSE)),-2*(6-H256),-(VLOOKUP(B257,$B$2:$G$9,6,FALSE)-D257)),0)</f>
        <v>0</v>
      </c>
      <c r="K257" s="9">
        <f t="shared" si="32"/>
        <v>0</v>
      </c>
      <c r="L257" s="9">
        <f t="shared" si="38"/>
        <v>0</v>
      </c>
      <c r="M257" s="9">
        <f t="shared" si="39"/>
        <v>0</v>
      </c>
      <c r="N257" s="8">
        <v>-2.5</v>
      </c>
      <c r="O257" s="8">
        <v>0</v>
      </c>
      <c r="P257" s="2"/>
      <c r="Q257" s="2"/>
    </row>
    <row r="258" spans="1:17" x14ac:dyDescent="0.3">
      <c r="A258" s="35">
        <f t="shared" si="40"/>
        <v>4</v>
      </c>
      <c r="B258" s="35">
        <v>6</v>
      </c>
      <c r="C258" s="14">
        <v>43309.0625</v>
      </c>
      <c r="D258" s="18">
        <v>1.5354887589999999</v>
      </c>
      <c r="E258" s="19">
        <f t="shared" si="31"/>
        <v>1.5354887589999999</v>
      </c>
      <c r="F258" s="16">
        <v>1.831472E-3</v>
      </c>
      <c r="G258" s="10">
        <f t="shared" si="34"/>
        <v>0</v>
      </c>
      <c r="H258" s="10">
        <f t="shared" si="37"/>
        <v>0</v>
      </c>
      <c r="I258" s="73">
        <f>MAX(0,MIN(O258,H257*2,(D258-Sheet1!$C$3)))</f>
        <v>0</v>
      </c>
      <c r="J258" s="9">
        <f>IF(F258&gt;VLOOKUP($B$16,$B$2:$F$9,5,FALSE),MAX(N258,-F258*(VLOOKUP(B258,$B$2:$E$9,4,FALSE)),-2*(6-H257),-(VLOOKUP(B258,$B$2:$G$9,6,FALSE)-D258)),0)</f>
        <v>0</v>
      </c>
      <c r="K258" s="9">
        <f t="shared" si="32"/>
        <v>0</v>
      </c>
      <c r="L258" s="9">
        <f t="shared" si="38"/>
        <v>0</v>
      </c>
      <c r="M258" s="9">
        <f t="shared" si="39"/>
        <v>0</v>
      </c>
      <c r="N258" s="8">
        <v>-2.5</v>
      </c>
      <c r="O258" s="8">
        <v>0</v>
      </c>
      <c r="P258" s="2"/>
      <c r="Q258" s="2"/>
    </row>
    <row r="259" spans="1:17" x14ac:dyDescent="0.3">
      <c r="A259" s="35">
        <f t="shared" si="40"/>
        <v>5</v>
      </c>
      <c r="B259" s="35">
        <v>6</v>
      </c>
      <c r="C259" s="14">
        <v>43309.083333333336</v>
      </c>
      <c r="D259" s="18">
        <v>1.513540852</v>
      </c>
      <c r="E259" s="19">
        <f t="shared" si="31"/>
        <v>1.513540852</v>
      </c>
      <c r="F259" s="16">
        <v>1.831472E-3</v>
      </c>
      <c r="G259" s="10">
        <f t="shared" si="34"/>
        <v>0</v>
      </c>
      <c r="H259" s="10">
        <f t="shared" si="37"/>
        <v>0</v>
      </c>
      <c r="I259" s="73">
        <f>MAX(0,MIN(O259,H258*2,(D259-Sheet1!$C$3)))</f>
        <v>0</v>
      </c>
      <c r="J259" s="9">
        <f>IF(F259&gt;VLOOKUP($B$16,$B$2:$F$9,5,FALSE),MAX(N259,-F259*(VLOOKUP(B259,$B$2:$E$9,4,FALSE)),-2*(6-H258),-(VLOOKUP(B259,$B$2:$G$9,6,FALSE)-D259)),0)</f>
        <v>0</v>
      </c>
      <c r="K259" s="9">
        <f t="shared" si="32"/>
        <v>0</v>
      </c>
      <c r="L259" s="9">
        <f t="shared" si="38"/>
        <v>0</v>
      </c>
      <c r="M259" s="9">
        <f t="shared" si="39"/>
        <v>0</v>
      </c>
      <c r="N259" s="8">
        <v>-2.5</v>
      </c>
      <c r="O259" s="8">
        <v>0</v>
      </c>
      <c r="P259" s="2"/>
      <c r="Q259" s="2"/>
    </row>
    <row r="260" spans="1:17" x14ac:dyDescent="0.3">
      <c r="A260" s="35">
        <f t="shared" si="40"/>
        <v>6</v>
      </c>
      <c r="B260" s="35">
        <v>6</v>
      </c>
      <c r="C260" s="14">
        <v>43309.104166666664</v>
      </c>
      <c r="D260" s="18">
        <v>1.4745957139999999</v>
      </c>
      <c r="E260" s="19">
        <f t="shared" si="31"/>
        <v>1.4745957139999999</v>
      </c>
      <c r="F260" s="16">
        <v>1.831472E-3</v>
      </c>
      <c r="G260" s="10">
        <f t="shared" si="34"/>
        <v>0</v>
      </c>
      <c r="H260" s="10">
        <f t="shared" si="37"/>
        <v>0</v>
      </c>
      <c r="I260" s="73">
        <f>MAX(0,MIN(O260,H259*2,(D260-Sheet1!$C$3)))</f>
        <v>0</v>
      </c>
      <c r="J260" s="9">
        <f>IF(F260&gt;VLOOKUP($B$16,$B$2:$F$9,5,FALSE),MAX(N260,-F260*(VLOOKUP(B260,$B$2:$E$9,4,FALSE)),-2*(6-H259),-(VLOOKUP(B260,$B$2:$G$9,6,FALSE)-D260)),0)</f>
        <v>0</v>
      </c>
      <c r="K260" s="9">
        <f t="shared" si="32"/>
        <v>0</v>
      </c>
      <c r="L260" s="9">
        <f t="shared" si="38"/>
        <v>0</v>
      </c>
      <c r="M260" s="9">
        <f t="shared" si="39"/>
        <v>0</v>
      </c>
      <c r="N260" s="8">
        <v>-2.5</v>
      </c>
      <c r="O260" s="8">
        <v>0</v>
      </c>
      <c r="P260" s="2"/>
      <c r="Q260" s="2"/>
    </row>
    <row r="261" spans="1:17" x14ac:dyDescent="0.3">
      <c r="A261" s="35">
        <f t="shared" si="40"/>
        <v>7</v>
      </c>
      <c r="B261" s="35">
        <v>6</v>
      </c>
      <c r="C261" s="14">
        <v>43309.125</v>
      </c>
      <c r="D261" s="18">
        <v>1.493196612</v>
      </c>
      <c r="E261" s="19">
        <f t="shared" si="31"/>
        <v>1.493196612</v>
      </c>
      <c r="F261" s="16">
        <v>1.831472E-3</v>
      </c>
      <c r="G261" s="10">
        <f t="shared" si="34"/>
        <v>0</v>
      </c>
      <c r="H261" s="10">
        <f t="shared" si="37"/>
        <v>0</v>
      </c>
      <c r="I261" s="73">
        <f>MAX(0,MIN(O261,H260*2,(D261-Sheet1!$C$3)))</f>
        <v>0</v>
      </c>
      <c r="J261" s="9">
        <f>IF(F261&gt;VLOOKUP($B$16,$B$2:$F$9,5,FALSE),MAX(N261,-F261*(VLOOKUP(B261,$B$2:$E$9,4,FALSE)),-2*(6-H260),-(VLOOKUP(B261,$B$2:$G$9,6,FALSE)-D261)),0)</f>
        <v>0</v>
      </c>
      <c r="K261" s="9">
        <f t="shared" si="32"/>
        <v>0</v>
      </c>
      <c r="L261" s="9">
        <f t="shared" si="38"/>
        <v>0</v>
      </c>
      <c r="M261" s="9">
        <f t="shared" si="39"/>
        <v>0</v>
      </c>
      <c r="N261" s="8">
        <v>-2.5</v>
      </c>
      <c r="O261" s="8">
        <v>0</v>
      </c>
      <c r="P261" s="2"/>
      <c r="Q261" s="2"/>
    </row>
    <row r="262" spans="1:17" x14ac:dyDescent="0.3">
      <c r="A262" s="35">
        <f t="shared" si="40"/>
        <v>8</v>
      </c>
      <c r="B262" s="35">
        <v>6</v>
      </c>
      <c r="C262" s="14">
        <v>43309.145833333336</v>
      </c>
      <c r="D262" s="18">
        <v>1.4608111770000001</v>
      </c>
      <c r="E262" s="19">
        <f t="shared" si="31"/>
        <v>1.4608111770000001</v>
      </c>
      <c r="F262" s="16">
        <v>1.831472E-3</v>
      </c>
      <c r="G262" s="10">
        <f t="shared" si="34"/>
        <v>0</v>
      </c>
      <c r="H262" s="10">
        <f t="shared" si="37"/>
        <v>0</v>
      </c>
      <c r="I262" s="73">
        <f>MAX(0,MIN(O262,H261*2,(D262-Sheet1!$C$3)))</f>
        <v>0</v>
      </c>
      <c r="J262" s="9">
        <f>IF(F262&gt;VLOOKUP($B$16,$B$2:$F$9,5,FALSE),MAX(N262,-F262*(VLOOKUP(B262,$B$2:$E$9,4,FALSE)),-2*(6-H261),-(VLOOKUP(B262,$B$2:$G$9,6,FALSE)-D262)),0)</f>
        <v>0</v>
      </c>
      <c r="K262" s="9">
        <f t="shared" si="32"/>
        <v>0</v>
      </c>
      <c r="L262" s="9">
        <f t="shared" si="38"/>
        <v>0</v>
      </c>
      <c r="M262" s="9">
        <f t="shared" si="39"/>
        <v>0</v>
      </c>
      <c r="N262" s="8">
        <v>-2.5</v>
      </c>
      <c r="O262" s="8">
        <v>0</v>
      </c>
      <c r="P262" s="2"/>
      <c r="Q262" s="2"/>
    </row>
    <row r="263" spans="1:17" x14ac:dyDescent="0.3">
      <c r="A263" s="35">
        <f t="shared" si="40"/>
        <v>9</v>
      </c>
      <c r="B263" s="35">
        <v>6</v>
      </c>
      <c r="C263" s="14">
        <v>43309.166666666664</v>
      </c>
      <c r="D263" s="18">
        <v>1.488609539</v>
      </c>
      <c r="E263" s="19">
        <f t="shared" si="31"/>
        <v>1.488609539</v>
      </c>
      <c r="F263" s="16">
        <v>1.831472E-3</v>
      </c>
      <c r="G263" s="10">
        <f t="shared" si="34"/>
        <v>0</v>
      </c>
      <c r="H263" s="10">
        <f t="shared" si="37"/>
        <v>0</v>
      </c>
      <c r="I263" s="73">
        <f>MAX(0,MIN(O263,H262*2,(D263-Sheet1!$C$3)))</f>
        <v>0</v>
      </c>
      <c r="J263" s="9">
        <f>IF(F263&gt;VLOOKUP($B$16,$B$2:$F$9,5,FALSE),MAX(N263,-F263*(VLOOKUP(B263,$B$2:$E$9,4,FALSE)),-2*(6-H262),-(VLOOKUP(B263,$B$2:$G$9,6,FALSE)-D263)),0)</f>
        <v>0</v>
      </c>
      <c r="K263" s="9">
        <f t="shared" si="32"/>
        <v>0</v>
      </c>
      <c r="L263" s="9">
        <f t="shared" si="38"/>
        <v>0</v>
      </c>
      <c r="M263" s="9">
        <f t="shared" si="39"/>
        <v>0</v>
      </c>
      <c r="N263" s="8">
        <v>-2.5</v>
      </c>
      <c r="O263" s="8">
        <v>0</v>
      </c>
      <c r="P263" s="2"/>
      <c r="Q263" s="2"/>
    </row>
    <row r="264" spans="1:17" x14ac:dyDescent="0.3">
      <c r="A264" s="35">
        <f t="shared" si="40"/>
        <v>10</v>
      </c>
      <c r="B264" s="35">
        <v>6</v>
      </c>
      <c r="C264" s="14">
        <v>43309.1875</v>
      </c>
      <c r="D264" s="18">
        <v>1.5565664480000001</v>
      </c>
      <c r="E264" s="19">
        <f t="shared" si="31"/>
        <v>1.5565664480000001</v>
      </c>
      <c r="F264" s="16">
        <v>1.831472E-3</v>
      </c>
      <c r="G264" s="10">
        <f t="shared" si="34"/>
        <v>0</v>
      </c>
      <c r="H264" s="10">
        <f t="shared" si="37"/>
        <v>0</v>
      </c>
      <c r="I264" s="73">
        <f>MAX(0,MIN(O264,H263*2,(D264-Sheet1!$C$3)))</f>
        <v>0</v>
      </c>
      <c r="J264" s="9">
        <f>IF(F264&gt;VLOOKUP($B$16,$B$2:$F$9,5,FALSE),MAX(N264,-F264*(VLOOKUP(B264,$B$2:$E$9,4,FALSE)),-2*(6-H263),-(VLOOKUP(B264,$B$2:$G$9,6,FALSE)-D264)),0)</f>
        <v>0</v>
      </c>
      <c r="K264" s="9">
        <f t="shared" si="32"/>
        <v>0</v>
      </c>
      <c r="L264" s="9">
        <f t="shared" si="38"/>
        <v>0</v>
      </c>
      <c r="M264" s="9">
        <f t="shared" si="39"/>
        <v>0</v>
      </c>
      <c r="N264" s="8">
        <v>-2.5</v>
      </c>
      <c r="O264" s="8">
        <v>0</v>
      </c>
      <c r="P264" s="2"/>
      <c r="Q264" s="2"/>
    </row>
    <row r="265" spans="1:17" x14ac:dyDescent="0.3">
      <c r="A265" s="35">
        <f t="shared" si="40"/>
        <v>11</v>
      </c>
      <c r="B265" s="35">
        <v>6</v>
      </c>
      <c r="C265" s="14">
        <v>43309.208333333336</v>
      </c>
      <c r="D265" s="18">
        <v>1.6934638740000001</v>
      </c>
      <c r="E265" s="19">
        <f t="shared" si="31"/>
        <v>1.6934638740000001</v>
      </c>
      <c r="F265" s="16">
        <v>0.201490164</v>
      </c>
      <c r="G265" s="10">
        <f t="shared" si="34"/>
        <v>0</v>
      </c>
      <c r="H265" s="10">
        <f t="shared" si="37"/>
        <v>0</v>
      </c>
      <c r="I265" s="73">
        <f>MAX(0,MIN(O265,H264*2,(D265-Sheet1!$C$3)))</f>
        <v>0</v>
      </c>
      <c r="J265" s="9">
        <f>IF(F265&gt;VLOOKUP($B$16,$B$2:$F$9,5,FALSE),MAX(N265,-F265*(VLOOKUP(B265,$B$2:$E$9,4,FALSE)),-2*(6-H264),-(VLOOKUP(B265,$B$2:$G$9,6,FALSE)-D265)),0)</f>
        <v>0</v>
      </c>
      <c r="K265" s="9">
        <f t="shared" si="32"/>
        <v>0</v>
      </c>
      <c r="L265" s="9">
        <f t="shared" si="38"/>
        <v>0</v>
      </c>
      <c r="M265" s="9">
        <f t="shared" si="39"/>
        <v>0</v>
      </c>
      <c r="N265" s="8">
        <v>-2.5</v>
      </c>
      <c r="O265" s="8">
        <v>0</v>
      </c>
      <c r="P265" s="2"/>
      <c r="Q265" s="2"/>
    </row>
    <row r="266" spans="1:17" x14ac:dyDescent="0.3">
      <c r="A266" s="35">
        <f t="shared" si="40"/>
        <v>12</v>
      </c>
      <c r="B266" s="35">
        <v>6</v>
      </c>
      <c r="C266" s="14">
        <v>43309.229166666664</v>
      </c>
      <c r="D266" s="18">
        <v>1.8377911</v>
      </c>
      <c r="E266" s="19">
        <f t="shared" si="31"/>
        <v>1.8377911</v>
      </c>
      <c r="F266" s="16">
        <v>0.201490164</v>
      </c>
      <c r="G266" s="10">
        <f t="shared" si="34"/>
        <v>0</v>
      </c>
      <c r="H266" s="10">
        <f t="shared" si="37"/>
        <v>0</v>
      </c>
      <c r="I266" s="73">
        <f>MAX(0,MIN(O266,H265*2,(D266-Sheet1!$C$3)))</f>
        <v>0</v>
      </c>
      <c r="J266" s="9">
        <f>IF(F266&gt;VLOOKUP($B$16,$B$2:$F$9,5,FALSE),MAX(N266,-F266*(VLOOKUP(B266,$B$2:$E$9,4,FALSE)),-2*(6-H265),-(VLOOKUP(B266,$B$2:$G$9,6,FALSE)-D266)),0)</f>
        <v>0</v>
      </c>
      <c r="K266" s="9">
        <f t="shared" si="32"/>
        <v>0</v>
      </c>
      <c r="L266" s="9">
        <f t="shared" si="38"/>
        <v>0</v>
      </c>
      <c r="M266" s="9">
        <f t="shared" si="39"/>
        <v>0</v>
      </c>
      <c r="N266" s="8">
        <v>-2.5</v>
      </c>
      <c r="O266" s="8">
        <v>0</v>
      </c>
      <c r="P266" s="2"/>
      <c r="Q266" s="2"/>
    </row>
    <row r="267" spans="1:17" x14ac:dyDescent="0.3">
      <c r="A267" s="35">
        <f t="shared" si="40"/>
        <v>13</v>
      </c>
      <c r="B267" s="35">
        <v>6</v>
      </c>
      <c r="C267" s="14">
        <v>43309.25</v>
      </c>
      <c r="D267" s="18">
        <v>1.9566848779999999</v>
      </c>
      <c r="E267" s="19">
        <f t="shared" si="31"/>
        <v>1.9566848779999999</v>
      </c>
      <c r="F267" s="16">
        <v>0.33644121900000001</v>
      </c>
      <c r="G267" s="10">
        <f t="shared" si="34"/>
        <v>0</v>
      </c>
      <c r="H267" s="10">
        <f t="shared" si="37"/>
        <v>0</v>
      </c>
      <c r="I267" s="73">
        <f>MAX(0,MIN(O267,H266*2,(D267-Sheet1!$C$3)))</f>
        <v>0</v>
      </c>
      <c r="J267" s="9">
        <f>IF(F267&gt;VLOOKUP($B$16,$B$2:$F$9,5,FALSE),MAX(N267,-F267*(VLOOKUP(B267,$B$2:$E$9,4,FALSE)),-2*(6-H266),-(VLOOKUP(B267,$B$2:$G$9,6,FALSE)-D267)),0)</f>
        <v>0</v>
      </c>
      <c r="K267" s="9">
        <f t="shared" si="32"/>
        <v>0</v>
      </c>
      <c r="L267" s="9">
        <f t="shared" si="38"/>
        <v>0</v>
      </c>
      <c r="M267" s="9">
        <f t="shared" si="39"/>
        <v>0</v>
      </c>
      <c r="N267" s="8">
        <v>-2.5</v>
      </c>
      <c r="O267" s="8">
        <v>0</v>
      </c>
      <c r="P267" s="2"/>
      <c r="Q267" s="2"/>
    </row>
    <row r="268" spans="1:17" x14ac:dyDescent="0.3">
      <c r="A268" s="35">
        <f t="shared" si="40"/>
        <v>14</v>
      </c>
      <c r="B268" s="35">
        <v>6</v>
      </c>
      <c r="C268" s="14">
        <v>43309.270833333336</v>
      </c>
      <c r="D268" s="18">
        <v>2.2014541950000002</v>
      </c>
      <c r="E268" s="19">
        <f t="shared" si="31"/>
        <v>2.2014541950000002</v>
      </c>
      <c r="F268" s="16">
        <v>0.37732064700000001</v>
      </c>
      <c r="G268" s="10">
        <f t="shared" si="34"/>
        <v>0</v>
      </c>
      <c r="H268" s="10">
        <f t="shared" si="37"/>
        <v>0</v>
      </c>
      <c r="I268" s="73">
        <f>MAX(0,MIN(O268,H267*2,(D268-Sheet1!$C$3)))</f>
        <v>0</v>
      </c>
      <c r="J268" s="9">
        <f>IF(F268&gt;VLOOKUP($B$16,$B$2:$F$9,5,FALSE),MAX(N268,-F268*(VLOOKUP(B268,$B$2:$E$9,4,FALSE)),-2*(6-H267),-(VLOOKUP(B268,$B$2:$G$9,6,FALSE)-D268)),0)</f>
        <v>0</v>
      </c>
      <c r="K268" s="9">
        <f t="shared" si="32"/>
        <v>0</v>
      </c>
      <c r="L268" s="9">
        <f t="shared" si="38"/>
        <v>0</v>
      </c>
      <c r="M268" s="9">
        <f t="shared" si="39"/>
        <v>0</v>
      </c>
      <c r="N268" s="8">
        <v>-2.5</v>
      </c>
      <c r="O268" s="8">
        <v>0</v>
      </c>
      <c r="P268" s="2"/>
      <c r="Q268" s="2"/>
    </row>
    <row r="269" spans="1:17" x14ac:dyDescent="0.3">
      <c r="A269" s="35">
        <f t="shared" si="40"/>
        <v>15</v>
      </c>
      <c r="B269" s="35">
        <v>6</v>
      </c>
      <c r="C269" s="14">
        <v>43309.291666666664</v>
      </c>
      <c r="D269" s="18">
        <v>2.5278165179999998</v>
      </c>
      <c r="E269" s="19">
        <f t="shared" si="31"/>
        <v>2.5278165179999998</v>
      </c>
      <c r="F269" s="16">
        <v>0.65600782599999996</v>
      </c>
      <c r="G269" s="10">
        <f t="shared" si="34"/>
        <v>0</v>
      </c>
      <c r="H269" s="10">
        <f t="shared" si="37"/>
        <v>0</v>
      </c>
      <c r="I269" s="73">
        <f>MAX(0,MIN(O269,H268*2,(D269-Sheet1!$C$3)))</f>
        <v>0</v>
      </c>
      <c r="J269" s="9">
        <f>IF(F269&gt;VLOOKUP($B$16,$B$2:$F$9,5,FALSE),MAX(N269,-F269*(VLOOKUP(B269,$B$2:$E$9,4,FALSE)),-2*(6-H268),-(VLOOKUP(B269,$B$2:$G$9,6,FALSE)-D269)),0)</f>
        <v>0</v>
      </c>
      <c r="K269" s="9">
        <f t="shared" si="32"/>
        <v>0</v>
      </c>
      <c r="L269" s="9">
        <f t="shared" si="38"/>
        <v>0</v>
      </c>
      <c r="M269" s="9">
        <f t="shared" si="39"/>
        <v>0</v>
      </c>
      <c r="N269" s="8">
        <v>-2.5</v>
      </c>
      <c r="O269" s="8">
        <v>0</v>
      </c>
      <c r="P269" s="2"/>
      <c r="Q269" s="2"/>
    </row>
    <row r="270" spans="1:17" x14ac:dyDescent="0.3">
      <c r="A270" s="35">
        <f t="shared" si="40"/>
        <v>16</v>
      </c>
      <c r="B270" s="35">
        <v>6</v>
      </c>
      <c r="C270" s="14">
        <v>43309.3125</v>
      </c>
      <c r="D270" s="18">
        <v>2.6138295760000001</v>
      </c>
      <c r="E270" s="19">
        <f t="shared" si="31"/>
        <v>2.6138295760000001</v>
      </c>
      <c r="F270" s="16">
        <v>0.87058448799999999</v>
      </c>
      <c r="G270" s="10">
        <f t="shared" si="34"/>
        <v>0</v>
      </c>
      <c r="H270" s="10">
        <f t="shared" si="37"/>
        <v>0</v>
      </c>
      <c r="I270" s="73">
        <f>MAX(0,MIN(O270,H269*2,(D270-Sheet1!$C$3)))</f>
        <v>0</v>
      </c>
      <c r="J270" s="9">
        <f>IF(F270&gt;VLOOKUP($B$16,$B$2:$F$9,5,FALSE),MAX(N270,-F270*(VLOOKUP(B270,$B$2:$E$9,4,FALSE)),-2*(6-H269),-(VLOOKUP(B270,$B$2:$G$9,6,FALSE)-D270)),0)</f>
        <v>0</v>
      </c>
      <c r="K270" s="9">
        <f t="shared" si="32"/>
        <v>0</v>
      </c>
      <c r="L270" s="9">
        <f t="shared" si="38"/>
        <v>0</v>
      </c>
      <c r="M270" s="9">
        <f t="shared" si="39"/>
        <v>0</v>
      </c>
      <c r="N270" s="8">
        <v>-2.5</v>
      </c>
      <c r="O270" s="8">
        <v>0</v>
      </c>
      <c r="P270" s="2"/>
      <c r="Q270" s="2"/>
    </row>
    <row r="271" spans="1:17" x14ac:dyDescent="0.3">
      <c r="A271" s="35">
        <f t="shared" si="40"/>
        <v>17</v>
      </c>
      <c r="B271" s="35">
        <v>6</v>
      </c>
      <c r="C271" s="14">
        <v>43309.333333333336</v>
      </c>
      <c r="D271" s="18">
        <v>2.8746005139999999</v>
      </c>
      <c r="E271" s="19">
        <f t="shared" ref="E271:E334" si="41">D271-J271-I271</f>
        <v>3.6868263784878126</v>
      </c>
      <c r="F271" s="16">
        <v>1.257747889</v>
      </c>
      <c r="G271" s="10">
        <f t="shared" si="34"/>
        <v>0.81222586448781253</v>
      </c>
      <c r="H271" s="10">
        <f t="shared" si="37"/>
        <v>0.40611293224390627</v>
      </c>
      <c r="I271" s="73">
        <f>MAX(0,MIN(O271,H270*2,(D271-Sheet1!$C$3)))</f>
        <v>0</v>
      </c>
      <c r="J271" s="9">
        <f>IF(F271&gt;VLOOKUP($B$16,$B$2:$F$9,5,FALSE),MAX(N271,-F271*(VLOOKUP(B271,$B$2:$E$9,4,FALSE)),-2*(6-H270),-(VLOOKUP(B271,$B$2:$G$9,6,FALSE)-D271)),0)</f>
        <v>-0.81222586448781253</v>
      </c>
      <c r="K271" s="9">
        <f t="shared" ref="K271:K332" si="42">IF(A271&lt;&gt;31,0,-2*((6-H270+((J271*0.5)))))</f>
        <v>0</v>
      </c>
      <c r="L271" s="9">
        <f t="shared" si="38"/>
        <v>-0.81222586448781253</v>
      </c>
      <c r="M271" s="9">
        <f t="shared" si="39"/>
        <v>0</v>
      </c>
      <c r="N271" s="8">
        <v>-2.5</v>
      </c>
      <c r="O271" s="8">
        <v>0</v>
      </c>
      <c r="P271" s="2"/>
      <c r="Q271" s="2"/>
    </row>
    <row r="272" spans="1:17" x14ac:dyDescent="0.3">
      <c r="A272" s="35">
        <f t="shared" si="40"/>
        <v>18</v>
      </c>
      <c r="B272" s="35">
        <v>6</v>
      </c>
      <c r="C272" s="14">
        <v>43309.354166666664</v>
      </c>
      <c r="D272" s="18">
        <v>2.8489268729999999</v>
      </c>
      <c r="E272" s="19">
        <f t="shared" si="41"/>
        <v>3.7541819803896397</v>
      </c>
      <c r="F272" s="16">
        <v>1.4018055199999999</v>
      </c>
      <c r="G272" s="10">
        <f t="shared" ref="G272:G335" si="43">-SUM(I272,J272,K272)</f>
        <v>0.90525510738963955</v>
      </c>
      <c r="H272" s="10">
        <f t="shared" si="37"/>
        <v>0.85874048593872598</v>
      </c>
      <c r="I272" s="73">
        <f>MAX(0,MIN(O272,H271*2,(D272-Sheet1!$C$3)))</f>
        <v>0</v>
      </c>
      <c r="J272" s="9">
        <f>IF(F272&gt;VLOOKUP($B$16,$B$2:$F$9,5,FALSE),MAX(N272,-F272*(VLOOKUP(B272,$B$2:$E$9,4,FALSE)),-2*(6-H271),-(VLOOKUP(B272,$B$2:$G$9,6,FALSE)-D272)),0)</f>
        <v>-0.90525510738963955</v>
      </c>
      <c r="K272" s="9">
        <f t="shared" si="42"/>
        <v>0</v>
      </c>
      <c r="L272" s="9">
        <f t="shared" si="38"/>
        <v>-0.90525510738963955</v>
      </c>
      <c r="M272" s="9">
        <f t="shared" si="39"/>
        <v>0</v>
      </c>
      <c r="N272" s="8">
        <v>-2.5</v>
      </c>
      <c r="O272" s="8">
        <v>0</v>
      </c>
      <c r="P272" s="2"/>
      <c r="Q272" s="2"/>
    </row>
    <row r="273" spans="1:28" x14ac:dyDescent="0.3">
      <c r="A273" s="35">
        <f t="shared" si="40"/>
        <v>19</v>
      </c>
      <c r="B273" s="35">
        <v>6</v>
      </c>
      <c r="C273" s="14">
        <v>43309.375</v>
      </c>
      <c r="D273" s="18">
        <v>2.814629638</v>
      </c>
      <c r="E273" s="19">
        <f t="shared" si="41"/>
        <v>3.7031610936470325</v>
      </c>
      <c r="F273" s="16">
        <v>1.375908613</v>
      </c>
      <c r="G273" s="10">
        <f t="shared" si="43"/>
        <v>0.8885314556470324</v>
      </c>
      <c r="H273" s="10">
        <f t="shared" ref="H273:H336" si="44">H272+((G273*0.5))</f>
        <v>1.3030062137622422</v>
      </c>
      <c r="I273" s="73">
        <f>MAX(0,MIN(O273,H272*2,(D273-Sheet1!$C$3)))</f>
        <v>0</v>
      </c>
      <c r="J273" s="9">
        <f>IF(F273&gt;VLOOKUP($B$16,$B$2:$F$9,5,FALSE),MAX(N273,-F273*(VLOOKUP(B273,$B$2:$E$9,4,FALSE)),-2*(6-H272),-(VLOOKUP(B273,$B$2:$G$9,6,FALSE)-D273)),0)</f>
        <v>-0.8885314556470324</v>
      </c>
      <c r="K273" s="9">
        <f t="shared" si="42"/>
        <v>0</v>
      </c>
      <c r="L273" s="9">
        <f t="shared" si="38"/>
        <v>-0.8885314556470324</v>
      </c>
      <c r="M273" s="9">
        <f t="shared" si="39"/>
        <v>0</v>
      </c>
      <c r="N273" s="8">
        <v>-2.5</v>
      </c>
      <c r="O273" s="8">
        <v>0</v>
      </c>
      <c r="P273" s="2"/>
      <c r="Q273" s="2"/>
    </row>
    <row r="274" spans="1:28" x14ac:dyDescent="0.3">
      <c r="A274" s="35">
        <f t="shared" si="40"/>
        <v>20</v>
      </c>
      <c r="B274" s="35">
        <v>6</v>
      </c>
      <c r="C274" s="14">
        <v>43309.395833333336</v>
      </c>
      <c r="D274" s="18">
        <v>2.7337739590000001</v>
      </c>
      <c r="E274" s="19">
        <f t="shared" si="41"/>
        <v>3.7108004522460436</v>
      </c>
      <c r="F274" s="16">
        <v>1.5129449370000001</v>
      </c>
      <c r="G274" s="10">
        <f t="shared" si="43"/>
        <v>0.97702649324604363</v>
      </c>
      <c r="H274" s="10">
        <f t="shared" si="44"/>
        <v>1.791519460385264</v>
      </c>
      <c r="I274" s="73">
        <f>MAX(0,MIN(O274,H273*2,(D274-Sheet1!$C$3)))</f>
        <v>0</v>
      </c>
      <c r="J274" s="9">
        <f>IF(F274&gt;VLOOKUP($B$16,$B$2:$F$9,5,FALSE),MAX(N274,-F274*(VLOOKUP(B274,$B$2:$E$9,4,FALSE)),-2*(6-H273),-(VLOOKUP(B274,$B$2:$G$9,6,FALSE)-D274)),0)</f>
        <v>-0.97702649324604363</v>
      </c>
      <c r="K274" s="9">
        <f t="shared" si="42"/>
        <v>0</v>
      </c>
      <c r="L274" s="9">
        <f t="shared" si="38"/>
        <v>-0.97702649324604363</v>
      </c>
      <c r="M274" s="9">
        <f t="shared" si="39"/>
        <v>0</v>
      </c>
      <c r="N274" s="8">
        <v>-2.5</v>
      </c>
      <c r="O274" s="8">
        <v>0</v>
      </c>
      <c r="P274" s="2"/>
      <c r="Q274" s="2"/>
    </row>
    <row r="275" spans="1:28" x14ac:dyDescent="0.3">
      <c r="A275" s="35">
        <f t="shared" si="40"/>
        <v>21</v>
      </c>
      <c r="B275" s="35">
        <v>6</v>
      </c>
      <c r="C275" s="14">
        <v>43309.416666666664</v>
      </c>
      <c r="D275" s="18">
        <v>2.7166951849999998</v>
      </c>
      <c r="E275" s="19">
        <f t="shared" si="41"/>
        <v>3.7278041657026786</v>
      </c>
      <c r="F275" s="16">
        <v>1.565722346</v>
      </c>
      <c r="G275" s="10">
        <f t="shared" si="43"/>
        <v>1.0111089807026787</v>
      </c>
      <c r="H275" s="10">
        <f t="shared" si="44"/>
        <v>2.2970739507366034</v>
      </c>
      <c r="I275" s="73">
        <f>MAX(0,MIN(O275,H274*2,(D275-Sheet1!$C$3)))</f>
        <v>0</v>
      </c>
      <c r="J275" s="9">
        <f>IF(F275&gt;VLOOKUP($B$16,$B$2:$F$9,5,FALSE),MAX(N275,-F275*(VLOOKUP(B275,$B$2:$E$9,4,FALSE)),-2*(6-H274),-(VLOOKUP(B275,$B$2:$G$9,6,FALSE)-D275)),0)</f>
        <v>-1.0111089807026787</v>
      </c>
      <c r="K275" s="9">
        <f t="shared" si="42"/>
        <v>0</v>
      </c>
      <c r="L275" s="9">
        <f t="shared" si="38"/>
        <v>-1.0111089807026787</v>
      </c>
      <c r="M275" s="9">
        <f t="shared" si="39"/>
        <v>0</v>
      </c>
      <c r="N275" s="8">
        <v>-2.5</v>
      </c>
      <c r="O275" s="8">
        <v>0</v>
      </c>
      <c r="P275" s="2"/>
      <c r="Q275" s="2"/>
    </row>
    <row r="276" spans="1:28" x14ac:dyDescent="0.3">
      <c r="A276" s="35">
        <f t="shared" si="40"/>
        <v>22</v>
      </c>
      <c r="B276" s="35">
        <v>6</v>
      </c>
      <c r="C276" s="14">
        <v>43309.4375</v>
      </c>
      <c r="D276" s="18">
        <v>2.6716914159999998</v>
      </c>
      <c r="E276" s="19">
        <f t="shared" si="41"/>
        <v>3.7054390167872278</v>
      </c>
      <c r="F276" s="16">
        <v>1.6007786989999999</v>
      </c>
      <c r="G276" s="10">
        <f t="shared" si="43"/>
        <v>1.0337476007872279</v>
      </c>
      <c r="H276" s="10">
        <f t="shared" si="44"/>
        <v>2.8139477511302173</v>
      </c>
      <c r="I276" s="73">
        <f>MAX(0,MIN(O276,H275*2,(D276-Sheet1!$C$3)))</f>
        <v>0</v>
      </c>
      <c r="J276" s="9">
        <f>IF(F276&gt;VLOOKUP($B$16,$B$2:$F$9,5,FALSE),MAX(N276,-F276*(VLOOKUP(B276,$B$2:$E$9,4,FALSE)),-2*(6-H275),-(VLOOKUP(B276,$B$2:$G$9,6,FALSE)-D276)),0)</f>
        <v>-1.0337476007872279</v>
      </c>
      <c r="K276" s="9">
        <f t="shared" si="42"/>
        <v>0</v>
      </c>
      <c r="L276" s="9">
        <f t="shared" si="38"/>
        <v>-1.0337476007872279</v>
      </c>
      <c r="M276" s="9">
        <f t="shared" si="39"/>
        <v>0</v>
      </c>
      <c r="N276" s="8">
        <v>-2.5</v>
      </c>
      <c r="O276" s="8">
        <v>0</v>
      </c>
      <c r="P276" s="2"/>
      <c r="Q276" s="2"/>
    </row>
    <row r="277" spans="1:28" x14ac:dyDescent="0.3">
      <c r="A277" s="35">
        <f t="shared" si="40"/>
        <v>23</v>
      </c>
      <c r="B277" s="35">
        <v>6</v>
      </c>
      <c r="C277" s="14">
        <v>43309.458333333336</v>
      </c>
      <c r="D277" s="18">
        <v>2.5625628909999998</v>
      </c>
      <c r="E277" s="19">
        <f t="shared" si="41"/>
        <v>3.9543692574999998</v>
      </c>
      <c r="F277" s="16">
        <v>2.431239605</v>
      </c>
      <c r="G277" s="10">
        <f t="shared" si="43"/>
        <v>1.3918063665</v>
      </c>
      <c r="H277" s="10">
        <f t="shared" si="44"/>
        <v>3.5098509343802173</v>
      </c>
      <c r="I277" s="73">
        <f>MAX(0,MIN(O277,H276*2,(D277-Sheet1!$C$3)))</f>
        <v>0</v>
      </c>
      <c r="J277" s="9">
        <f>IF(F277&gt;VLOOKUP($B$16,$B$2:$F$9,5,FALSE),MAX(N277,-F277*(VLOOKUP(B277,$B$2:$E$9,4,FALSE)),-2*(6-H276),-(VLOOKUP(B277,$B$2:$G$9,6,FALSE)-D277)),0)</f>
        <v>-1.3918063665</v>
      </c>
      <c r="K277" s="9">
        <f t="shared" si="42"/>
        <v>0</v>
      </c>
      <c r="L277" s="9">
        <f t="shared" si="38"/>
        <v>-1.3918063665</v>
      </c>
      <c r="M277" s="9">
        <f t="shared" si="39"/>
        <v>0</v>
      </c>
      <c r="N277" s="8">
        <v>-2.5</v>
      </c>
      <c r="O277" s="8">
        <v>0</v>
      </c>
      <c r="P277" s="2"/>
      <c r="Q277" s="2"/>
    </row>
    <row r="278" spans="1:28" x14ac:dyDescent="0.3">
      <c r="A278" s="35">
        <f t="shared" si="40"/>
        <v>24</v>
      </c>
      <c r="B278" s="35">
        <v>6</v>
      </c>
      <c r="C278" s="14">
        <v>43309.479166666664</v>
      </c>
      <c r="D278" s="18">
        <v>2.5261836799999999</v>
      </c>
      <c r="E278" s="19">
        <f t="shared" si="41"/>
        <v>3.9543692574999998</v>
      </c>
      <c r="F278" s="16">
        <v>2.431239605</v>
      </c>
      <c r="G278" s="10">
        <f t="shared" si="43"/>
        <v>1.4281855774999999</v>
      </c>
      <c r="H278" s="10">
        <f t="shared" si="44"/>
        <v>4.2239437231302173</v>
      </c>
      <c r="I278" s="73">
        <f>MAX(0,MIN(O278,H277*2,(D278-Sheet1!$C$3)))</f>
        <v>0</v>
      </c>
      <c r="J278" s="9">
        <f>IF(F278&gt;VLOOKUP($B$16,$B$2:$F$9,5,FALSE),MAX(N278,-F278*(VLOOKUP(B278,$B$2:$E$9,4,FALSE)),-2*(6-H277),-(VLOOKUP(B278,$B$2:$G$9,6,FALSE)-D278)),0)</f>
        <v>-1.4281855774999999</v>
      </c>
      <c r="K278" s="9">
        <f t="shared" si="42"/>
        <v>0</v>
      </c>
      <c r="L278" s="9">
        <f t="shared" si="38"/>
        <v>-1.4281855774999999</v>
      </c>
      <c r="M278" s="9">
        <f t="shared" si="39"/>
        <v>0</v>
      </c>
      <c r="N278" s="8">
        <v>-2.5</v>
      </c>
      <c r="O278" s="8">
        <v>0</v>
      </c>
      <c r="P278" s="2"/>
      <c r="Q278" s="2"/>
    </row>
    <row r="279" spans="1:28" x14ac:dyDescent="0.3">
      <c r="A279" s="35">
        <f t="shared" si="40"/>
        <v>25</v>
      </c>
      <c r="B279" s="35">
        <v>6</v>
      </c>
      <c r="C279" s="14">
        <v>43309.5</v>
      </c>
      <c r="D279" s="18">
        <v>2.4439773659999999</v>
      </c>
      <c r="E279" s="19">
        <f t="shared" si="41"/>
        <v>3.9543692574999998</v>
      </c>
      <c r="F279" s="16">
        <v>2.4522004129999999</v>
      </c>
      <c r="G279" s="10">
        <f t="shared" si="43"/>
        <v>1.5103918914999999</v>
      </c>
      <c r="H279" s="10">
        <f t="shared" si="44"/>
        <v>4.979139668880217</v>
      </c>
      <c r="I279" s="73">
        <f>MAX(0,MIN(O279,H278*2,(D279-Sheet1!$C$3)))</f>
        <v>0</v>
      </c>
      <c r="J279" s="9">
        <f>IF(F279&gt;VLOOKUP($B$16,$B$2:$F$9,5,FALSE),MAX(N279,-F279*(VLOOKUP(B279,$B$2:$E$9,4,FALSE)),-2*(6-H278),-(VLOOKUP(B279,$B$2:$G$9,6,FALSE)-D279)),0)</f>
        <v>-1.5103918914999999</v>
      </c>
      <c r="K279" s="9">
        <f t="shared" si="42"/>
        <v>0</v>
      </c>
      <c r="L279" s="9">
        <f t="shared" si="38"/>
        <v>-1.5103918914999999</v>
      </c>
      <c r="M279" s="9">
        <f t="shared" si="39"/>
        <v>0</v>
      </c>
      <c r="N279" s="8">
        <v>-2.5</v>
      </c>
      <c r="O279" s="8">
        <v>0</v>
      </c>
      <c r="P279" s="2"/>
      <c r="Q279" s="2"/>
    </row>
    <row r="280" spans="1:28" x14ac:dyDescent="0.3">
      <c r="A280" s="35">
        <f t="shared" si="40"/>
        <v>26</v>
      </c>
      <c r="B280" s="35">
        <v>6</v>
      </c>
      <c r="C280" s="14">
        <v>43309.520833333336</v>
      </c>
      <c r="D280" s="18">
        <v>2.433610077</v>
      </c>
      <c r="E280" s="19">
        <f t="shared" si="41"/>
        <v>3.9543692574999998</v>
      </c>
      <c r="F280" s="16">
        <v>2.4522004129999999</v>
      </c>
      <c r="G280" s="10">
        <f t="shared" si="43"/>
        <v>1.5207591804999998</v>
      </c>
      <c r="H280" s="10">
        <f t="shared" si="44"/>
        <v>5.7395192591302173</v>
      </c>
      <c r="I280" s="73">
        <f>MAX(0,MIN(O280,H279*2,(D280-Sheet1!$C$3)))</f>
        <v>0</v>
      </c>
      <c r="J280" s="9">
        <f>IF(F280&gt;VLOOKUP($B$16,$B$2:$F$9,5,FALSE),MAX(N280,-F280*(VLOOKUP(B280,$B$2:$E$9,4,FALSE)),-2*(6-H279),-(VLOOKUP(B280,$B$2:$G$9,6,FALSE)-D280)),0)</f>
        <v>-1.5207591804999998</v>
      </c>
      <c r="K280" s="9">
        <f t="shared" si="42"/>
        <v>0</v>
      </c>
      <c r="L280" s="9">
        <f t="shared" si="38"/>
        <v>-1.5207591804999998</v>
      </c>
      <c r="M280" s="9">
        <f t="shared" si="39"/>
        <v>0</v>
      </c>
      <c r="N280" s="8">
        <v>-2.5</v>
      </c>
      <c r="O280" s="8">
        <v>0</v>
      </c>
      <c r="P280" s="2"/>
      <c r="Q280" s="2"/>
    </row>
    <row r="281" spans="1:28" x14ac:dyDescent="0.3">
      <c r="A281" s="35">
        <f t="shared" si="40"/>
        <v>27</v>
      </c>
      <c r="B281" s="35">
        <v>6</v>
      </c>
      <c r="C281" s="14">
        <v>43309.541666666664</v>
      </c>
      <c r="D281" s="18">
        <v>2.3834644210000002</v>
      </c>
      <c r="E281" s="19">
        <f t="shared" si="41"/>
        <v>2.9044259027395656</v>
      </c>
      <c r="F281" s="16">
        <v>2.1455945970000001</v>
      </c>
      <c r="G281" s="10">
        <f t="shared" si="43"/>
        <v>0.52096148173956536</v>
      </c>
      <c r="H281" s="10">
        <f t="shared" si="44"/>
        <v>6</v>
      </c>
      <c r="I281" s="73">
        <f>MAX(0,MIN(O281,H280*2,(D281-Sheet1!$C$3)))</f>
        <v>0</v>
      </c>
      <c r="J281" s="9">
        <f>IF(F281&gt;VLOOKUP($B$16,$B$2:$F$9,5,FALSE),MAX(N281,-F281*(VLOOKUP(B281,$B$2:$E$9,4,FALSE)),-2*(6-H280),-(VLOOKUP(B281,$B$2:$G$9,6,FALSE)-D281)),0)</f>
        <v>-0.52096148173956536</v>
      </c>
      <c r="K281" s="9">
        <f t="shared" si="42"/>
        <v>0</v>
      </c>
      <c r="L281" s="9">
        <f t="shared" si="38"/>
        <v>-0.52096148173956536</v>
      </c>
      <c r="M281" s="9">
        <f t="shared" si="39"/>
        <v>0</v>
      </c>
      <c r="N281" s="8">
        <v>-2.5</v>
      </c>
      <c r="O281" s="8">
        <v>0</v>
      </c>
      <c r="P281" s="2"/>
      <c r="Q281" s="2"/>
    </row>
    <row r="282" spans="1:28" x14ac:dyDescent="0.3">
      <c r="A282" s="35">
        <f t="shared" si="40"/>
        <v>28</v>
      </c>
      <c r="B282" s="35">
        <v>6</v>
      </c>
      <c r="C282" s="14">
        <v>43309.5625</v>
      </c>
      <c r="D282" s="18">
        <v>2.393784648</v>
      </c>
      <c r="E282" s="19">
        <f t="shared" si="41"/>
        <v>2.393784648</v>
      </c>
      <c r="F282" s="16">
        <v>2.2075219150000001</v>
      </c>
      <c r="G282" s="10">
        <f t="shared" si="43"/>
        <v>0</v>
      </c>
      <c r="H282" s="10">
        <f t="shared" si="44"/>
        <v>6</v>
      </c>
      <c r="I282" s="73">
        <f>MAX(0,MIN(O282,H281*2,(D282-Sheet1!$C$3)))</f>
        <v>0</v>
      </c>
      <c r="J282" s="9">
        <f>IF(F282&gt;VLOOKUP($B$16,$B$2:$F$9,5,FALSE),MAX(N282,-F282*(VLOOKUP(B282,$B$2:$E$9,4,FALSE)),-2*(6-H281),-(VLOOKUP(B282,$B$2:$G$9,6,FALSE)-D282)),0)</f>
        <v>0</v>
      </c>
      <c r="K282" s="9">
        <f t="shared" si="42"/>
        <v>0</v>
      </c>
      <c r="L282" s="9">
        <f t="shared" si="38"/>
        <v>0</v>
      </c>
      <c r="M282" s="9">
        <f t="shared" si="39"/>
        <v>0</v>
      </c>
      <c r="N282" s="8">
        <v>-2.5</v>
      </c>
      <c r="O282" s="8">
        <v>0</v>
      </c>
      <c r="P282" s="2"/>
      <c r="Q282" s="2"/>
    </row>
    <row r="283" spans="1:28" x14ac:dyDescent="0.3">
      <c r="A283" s="35">
        <f t="shared" si="40"/>
        <v>29</v>
      </c>
      <c r="B283" s="35">
        <v>6</v>
      </c>
      <c r="C283" s="14">
        <v>43309.583333333336</v>
      </c>
      <c r="D283" s="18">
        <v>2.4341255959999999</v>
      </c>
      <c r="E283" s="19">
        <f t="shared" si="41"/>
        <v>2.4341255959999999</v>
      </c>
      <c r="F283" s="16">
        <v>1.8256363870000001</v>
      </c>
      <c r="G283" s="10">
        <f t="shared" si="43"/>
        <v>0</v>
      </c>
      <c r="H283" s="10">
        <f t="shared" si="44"/>
        <v>6</v>
      </c>
      <c r="I283" s="73">
        <f>MAX(0,MIN(O283,H282*2,(D283-Sheet1!$C$3)))</f>
        <v>0</v>
      </c>
      <c r="J283" s="9">
        <f>IF(F283&gt;VLOOKUP($B$16,$B$2:$F$9,5,FALSE),MAX(N283,-F283*(VLOOKUP(B283,$B$2:$E$9,4,FALSE)),-2*(6-H282),-(VLOOKUP(B283,$B$2:$G$9,6,FALSE)-D283)),0)</f>
        <v>0</v>
      </c>
      <c r="K283" s="9">
        <f t="shared" si="42"/>
        <v>0</v>
      </c>
      <c r="L283" s="9">
        <f t="shared" si="38"/>
        <v>0</v>
      </c>
      <c r="M283" s="9">
        <f t="shared" si="39"/>
        <v>0</v>
      </c>
      <c r="N283" s="8">
        <v>-2.5</v>
      </c>
      <c r="O283" s="8">
        <v>0</v>
      </c>
      <c r="P283" s="2"/>
      <c r="Q283" s="2"/>
    </row>
    <row r="284" spans="1:28" x14ac:dyDescent="0.3">
      <c r="A284" s="37">
        <f t="shared" si="40"/>
        <v>30</v>
      </c>
      <c r="B284" s="37">
        <v>6</v>
      </c>
      <c r="C284" s="24">
        <v>43309.604166666664</v>
      </c>
      <c r="D284" s="25">
        <v>2.5096927619999998</v>
      </c>
      <c r="E284" s="26">
        <f t="shared" si="41"/>
        <v>2.5096927619999998</v>
      </c>
      <c r="F284" s="27">
        <v>1.640534401</v>
      </c>
      <c r="G284" s="10">
        <f t="shared" si="43"/>
        <v>0</v>
      </c>
      <c r="H284" s="10">
        <f t="shared" si="44"/>
        <v>6</v>
      </c>
      <c r="I284" s="93">
        <f>MAX(0,MIN(O284,H283*2,(D284-Sheet1!$C$3)))</f>
        <v>0</v>
      </c>
      <c r="J284" s="9">
        <f>IF(F284&gt;VLOOKUP($B$16,$B$2:$F$9,5,FALSE),MAX(N284,-F284*(VLOOKUP(B284,$B$2:$E$9,4,FALSE)),-2*(6-H283),-(VLOOKUP(B284,$B$2:$G$9,6,FALSE)-D284)),0)</f>
        <v>0</v>
      </c>
      <c r="K284" s="9">
        <f t="shared" si="42"/>
        <v>0</v>
      </c>
      <c r="L284" s="42">
        <f t="shared" si="38"/>
        <v>0</v>
      </c>
      <c r="M284" s="42">
        <f t="shared" si="39"/>
        <v>0</v>
      </c>
      <c r="N284" s="23">
        <v>-2.5</v>
      </c>
      <c r="O284" s="23">
        <v>0</v>
      </c>
      <c r="P284" s="2"/>
      <c r="Q284" s="2"/>
    </row>
    <row r="285" spans="1:28" s="64" customFormat="1" ht="15" thickBot="1" x14ac:dyDescent="0.35">
      <c r="A285" s="54">
        <f t="shared" si="40"/>
        <v>31</v>
      </c>
      <c r="B285" s="54">
        <v>6</v>
      </c>
      <c r="C285" s="55">
        <v>43309.625</v>
      </c>
      <c r="D285" s="56">
        <v>2.7464518770000002</v>
      </c>
      <c r="E285" s="57">
        <f t="shared" si="41"/>
        <v>2.7464518770000002</v>
      </c>
      <c r="F285" s="58">
        <v>1.3573064800000001</v>
      </c>
      <c r="G285" s="111">
        <f t="shared" si="43"/>
        <v>0</v>
      </c>
      <c r="H285" s="111">
        <f t="shared" si="44"/>
        <v>6</v>
      </c>
      <c r="I285" s="74">
        <f>MAX(0,MIN(O285,H284*2,(D285-Sheet1!$C$3)))</f>
        <v>0</v>
      </c>
      <c r="J285" s="9">
        <f>IF(F285&gt;VLOOKUP($B$16,$B$2:$F$9,5,FALSE),MAX(N285,-F285*(VLOOKUP(B285,$B$2:$E$9,4,FALSE)),-2*(6-H284),-(VLOOKUP(B285,$B$2:$G$9,6,FALSE)-D285)),0)</f>
        <v>0</v>
      </c>
      <c r="K285" s="60">
        <f t="shared" si="42"/>
        <v>0</v>
      </c>
      <c r="L285" s="60">
        <f t="shared" si="38"/>
        <v>0</v>
      </c>
      <c r="M285" s="60">
        <f t="shared" si="39"/>
        <v>0</v>
      </c>
      <c r="N285" s="61">
        <v>-2.5</v>
      </c>
      <c r="O285" s="61">
        <v>0</v>
      </c>
      <c r="P285" s="62"/>
      <c r="Q285" s="62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 spans="1:28" x14ac:dyDescent="0.3">
      <c r="A286" s="44">
        <f>A285+1</f>
        <v>32</v>
      </c>
      <c r="B286" s="44">
        <v>6</v>
      </c>
      <c r="C286" s="45">
        <v>43309.645833333336</v>
      </c>
      <c r="D286" s="46">
        <v>2.9221604800000001</v>
      </c>
      <c r="E286" s="33">
        <f t="shared" si="41"/>
        <v>1.9066965960909088</v>
      </c>
      <c r="F286" s="47">
        <v>1.2502158880000001</v>
      </c>
      <c r="G286" s="97">
        <f t="shared" si="43"/>
        <v>-1.0154638839090913</v>
      </c>
      <c r="H286" s="97">
        <f t="shared" si="44"/>
        <v>5.4922680580454539</v>
      </c>
      <c r="I286" s="72">
        <f>MAX(0,MIN(O286,H285*2,(D286-Sheet1!$C$3)))</f>
        <v>1.0154638839090913</v>
      </c>
      <c r="J286" s="9">
        <f>IF(F286&gt;VLOOKUP($B$16,$B$2:$F$9,5,FALSE),MAX(N286,-F286*(VLOOKUP(B286,$B$2:$E$9,4,FALSE)),-2*(6-H285),-(VLOOKUP(B286,$B$2:$G$9,6,FALSE)-D286)),0)</f>
        <v>0</v>
      </c>
      <c r="K286" s="40">
        <f t="shared" si="42"/>
        <v>0</v>
      </c>
      <c r="L286" s="41"/>
      <c r="M286" s="41"/>
      <c r="N286" s="48">
        <v>0</v>
      </c>
      <c r="O286" s="48">
        <v>2.5</v>
      </c>
      <c r="P286" s="2"/>
      <c r="Q286" s="2"/>
    </row>
    <row r="287" spans="1:28" x14ac:dyDescent="0.3">
      <c r="A287" s="36">
        <f t="shared" si="40"/>
        <v>33</v>
      </c>
      <c r="B287" s="36">
        <v>6</v>
      </c>
      <c r="C287" s="15">
        <v>43309.666666666664</v>
      </c>
      <c r="D287" s="20">
        <v>3.0557768950000002</v>
      </c>
      <c r="E287" s="19">
        <f t="shared" si="41"/>
        <v>1.9066965960909088</v>
      </c>
      <c r="F287" s="17">
        <v>1.0279327629999999</v>
      </c>
      <c r="G287" s="10">
        <f t="shared" si="43"/>
        <v>-1.1490802989090914</v>
      </c>
      <c r="H287" s="10">
        <f t="shared" si="44"/>
        <v>4.9177279085909085</v>
      </c>
      <c r="I287" s="73">
        <f>MAX(0,MIN(O287,H286*2,(D287-Sheet1!$C$3)))</f>
        <v>1.1490802989090914</v>
      </c>
      <c r="J287" s="9">
        <f>IF(F287&gt;VLOOKUP($B$16,$B$2:$F$9,5,FALSE),MAX(N287,-F287*(VLOOKUP(B287,$B$2:$E$9,4,FALSE)),-2*(6-H286),-(VLOOKUP(B287,$B$2:$G$9,6,FALSE)-D287)),0)</f>
        <v>0</v>
      </c>
      <c r="K287" s="9">
        <f t="shared" si="42"/>
        <v>0</v>
      </c>
      <c r="L287" s="12"/>
      <c r="M287" s="12"/>
      <c r="N287" s="13">
        <v>0</v>
      </c>
      <c r="O287" s="13">
        <v>2.5</v>
      </c>
      <c r="P287" s="2"/>
      <c r="Q287" s="2"/>
    </row>
    <row r="288" spans="1:28" x14ac:dyDescent="0.3">
      <c r="A288" s="36">
        <f t="shared" si="40"/>
        <v>34</v>
      </c>
      <c r="B288" s="36">
        <v>6</v>
      </c>
      <c r="C288" s="15">
        <v>43309.6875</v>
      </c>
      <c r="D288" s="20">
        <v>3.0825005860000001</v>
      </c>
      <c r="E288" s="19">
        <f t="shared" si="41"/>
        <v>1.9066965960909088</v>
      </c>
      <c r="F288" s="17">
        <v>0.75716233300000002</v>
      </c>
      <c r="G288" s="10">
        <f t="shared" si="43"/>
        <v>-1.1758039899090913</v>
      </c>
      <c r="H288" s="10">
        <f t="shared" si="44"/>
        <v>4.3298259136363626</v>
      </c>
      <c r="I288" s="73">
        <f>MAX(0,MIN(O288,H287*2,(D288-Sheet1!$C$3)))</f>
        <v>1.1758039899090913</v>
      </c>
      <c r="J288" s="9">
        <f>IF(F288&gt;VLOOKUP($B$16,$B$2:$F$9,5,FALSE),MAX(N288,-F288*(VLOOKUP(B288,$B$2:$E$9,4,FALSE)),-2*(6-H287),-(VLOOKUP(B288,$B$2:$G$9,6,FALSE)-D288)),0)</f>
        <v>0</v>
      </c>
      <c r="K288" s="9">
        <f t="shared" si="42"/>
        <v>0</v>
      </c>
      <c r="L288" s="12"/>
      <c r="M288" s="12"/>
      <c r="N288" s="13">
        <v>0</v>
      </c>
      <c r="O288" s="13">
        <v>2.5</v>
      </c>
      <c r="P288" s="2"/>
      <c r="Q288" s="2"/>
    </row>
    <row r="289" spans="1:28" x14ac:dyDescent="0.3">
      <c r="A289" s="36">
        <f t="shared" si="40"/>
        <v>35</v>
      </c>
      <c r="B289" s="36">
        <v>6</v>
      </c>
      <c r="C289" s="15">
        <v>43309.708333333336</v>
      </c>
      <c r="D289" s="20">
        <v>3.163495406</v>
      </c>
      <c r="E289" s="19">
        <f t="shared" si="41"/>
        <v>1.9066965960909088</v>
      </c>
      <c r="F289" s="17">
        <v>0.38151928800000001</v>
      </c>
      <c r="G289" s="10">
        <f t="shared" si="43"/>
        <v>-1.2567988099090912</v>
      </c>
      <c r="H289" s="10">
        <f t="shared" si="44"/>
        <v>3.7014265086818172</v>
      </c>
      <c r="I289" s="73">
        <f>MAX(0,MIN(O289,H288*2,(D289-Sheet1!$C$3)))</f>
        <v>1.2567988099090912</v>
      </c>
      <c r="J289" s="9">
        <f>IF(F289&gt;VLOOKUP($B$16,$B$2:$F$9,5,FALSE),MAX(N289,-F289*(VLOOKUP(B289,$B$2:$E$9,4,FALSE)),-2*(6-H288),-(VLOOKUP(B289,$B$2:$G$9,6,FALSE)-D289)),0)</f>
        <v>0</v>
      </c>
      <c r="K289" s="9">
        <f t="shared" si="42"/>
        <v>0</v>
      </c>
      <c r="L289" s="12"/>
      <c r="M289" s="12"/>
      <c r="N289" s="13">
        <v>0</v>
      </c>
      <c r="O289" s="13">
        <v>2.5</v>
      </c>
      <c r="P289" s="2"/>
      <c r="Q289" s="2"/>
    </row>
    <row r="290" spans="1:28" x14ac:dyDescent="0.3">
      <c r="A290" s="36">
        <f t="shared" si="40"/>
        <v>36</v>
      </c>
      <c r="B290" s="36">
        <v>6</v>
      </c>
      <c r="C290" s="15">
        <v>43309.729166666664</v>
      </c>
      <c r="D290" s="20">
        <v>3.0564888940000001</v>
      </c>
      <c r="E290" s="19">
        <f t="shared" si="41"/>
        <v>1.9066965960909088</v>
      </c>
      <c r="F290" s="17">
        <v>0.31046950800000001</v>
      </c>
      <c r="G290" s="10">
        <f t="shared" si="43"/>
        <v>-1.1497922979090913</v>
      </c>
      <c r="H290" s="10">
        <f t="shared" si="44"/>
        <v>3.1265303597272718</v>
      </c>
      <c r="I290" s="73">
        <f>MAX(0,MIN(O290,H289*2,(D290-Sheet1!$C$3)))</f>
        <v>1.1497922979090913</v>
      </c>
      <c r="J290" s="9">
        <f>IF(F290&gt;VLOOKUP($B$16,$B$2:$F$9,5,FALSE),MAX(N290,-F290*(VLOOKUP(B290,$B$2:$E$9,4,FALSE)),-2*(6-H289),-(VLOOKUP(B290,$B$2:$G$9,6,FALSE)-D290)),0)</f>
        <v>0</v>
      </c>
      <c r="K290" s="9">
        <f t="shared" si="42"/>
        <v>0</v>
      </c>
      <c r="L290" s="12"/>
      <c r="M290" s="12"/>
      <c r="N290" s="13">
        <v>0</v>
      </c>
      <c r="O290" s="13">
        <v>2.5</v>
      </c>
      <c r="P290" s="2"/>
      <c r="Q290" s="2"/>
    </row>
    <row r="291" spans="1:28" x14ac:dyDescent="0.3">
      <c r="A291" s="36">
        <f t="shared" si="40"/>
        <v>37</v>
      </c>
      <c r="B291" s="36">
        <v>6</v>
      </c>
      <c r="C291" s="15">
        <v>43309.75</v>
      </c>
      <c r="D291" s="20">
        <v>2.9768132139999999</v>
      </c>
      <c r="E291" s="19">
        <f t="shared" si="41"/>
        <v>1.9066965960909088</v>
      </c>
      <c r="F291" s="17">
        <v>0.126444221</v>
      </c>
      <c r="G291" s="10">
        <f t="shared" si="43"/>
        <v>-1.0701166179090911</v>
      </c>
      <c r="H291" s="10">
        <f t="shared" si="44"/>
        <v>2.591472050772726</v>
      </c>
      <c r="I291" s="73">
        <f>MAX(0,MIN(O291,H290*2,(D291-Sheet1!$C$3)))</f>
        <v>1.0701166179090911</v>
      </c>
      <c r="J291" s="9">
        <f>IF(F291&gt;VLOOKUP($B$16,$B$2:$F$9,5,FALSE),MAX(N291,-F291*(VLOOKUP(B291,$B$2:$E$9,4,FALSE)),-2*(6-H290),-(VLOOKUP(B291,$B$2:$G$9,6,FALSE)-D291)),0)</f>
        <v>0</v>
      </c>
      <c r="K291" s="9">
        <f t="shared" si="42"/>
        <v>0</v>
      </c>
      <c r="L291" s="12"/>
      <c r="M291" s="12"/>
      <c r="N291" s="13">
        <v>0</v>
      </c>
      <c r="O291" s="13">
        <v>2.5</v>
      </c>
      <c r="P291" s="2"/>
      <c r="Q291" s="2"/>
    </row>
    <row r="292" spans="1:28" x14ac:dyDescent="0.3">
      <c r="A292" s="36">
        <f t="shared" si="40"/>
        <v>38</v>
      </c>
      <c r="B292" s="36">
        <v>6</v>
      </c>
      <c r="C292" s="15">
        <v>43309.770833333336</v>
      </c>
      <c r="D292" s="20">
        <v>2.9685145419999999</v>
      </c>
      <c r="E292" s="19">
        <f t="shared" si="41"/>
        <v>1.9066965960909088</v>
      </c>
      <c r="F292" s="17">
        <v>0.12004917900000001</v>
      </c>
      <c r="G292" s="10">
        <f t="shared" si="43"/>
        <v>-1.0618179459090911</v>
      </c>
      <c r="H292" s="10">
        <f t="shared" si="44"/>
        <v>2.0605630778181805</v>
      </c>
      <c r="I292" s="73">
        <f>MAX(0,MIN(O292,H291*2,(D292-Sheet1!$C$3)))</f>
        <v>1.0618179459090911</v>
      </c>
      <c r="J292" s="9">
        <f>IF(F292&gt;VLOOKUP($B$16,$B$2:$F$9,5,FALSE),MAX(N292,-F292*(VLOOKUP(B292,$B$2:$E$9,4,FALSE)),-2*(6-H291),-(VLOOKUP(B292,$B$2:$G$9,6,FALSE)-D292)),0)</f>
        <v>0</v>
      </c>
      <c r="K292" s="9">
        <f t="shared" si="42"/>
        <v>0</v>
      </c>
      <c r="L292" s="12"/>
      <c r="M292" s="12"/>
      <c r="N292" s="13">
        <v>0</v>
      </c>
      <c r="O292" s="13">
        <v>2.5</v>
      </c>
      <c r="P292" s="2"/>
      <c r="Q292" s="2"/>
    </row>
    <row r="293" spans="1:28" x14ac:dyDescent="0.3">
      <c r="A293" s="36">
        <f t="shared" si="40"/>
        <v>39</v>
      </c>
      <c r="B293" s="36">
        <v>6</v>
      </c>
      <c r="C293" s="15">
        <v>43309.791666666664</v>
      </c>
      <c r="D293" s="20">
        <v>2.852132036</v>
      </c>
      <c r="E293" s="19">
        <f t="shared" si="41"/>
        <v>1.9066965960909088</v>
      </c>
      <c r="F293" s="17">
        <v>1.7821461E-2</v>
      </c>
      <c r="G293" s="10">
        <f t="shared" si="43"/>
        <v>-0.94543543990909118</v>
      </c>
      <c r="H293" s="10">
        <f t="shared" si="44"/>
        <v>1.5878453578636349</v>
      </c>
      <c r="I293" s="73">
        <f>MAX(0,MIN(O293,H292*2,(D293-Sheet1!$C$3)))</f>
        <v>0.94543543990909118</v>
      </c>
      <c r="J293" s="9">
        <f>IF(F293&gt;VLOOKUP($B$16,$B$2:$F$9,5,FALSE),MAX(N293,-F293*(VLOOKUP(B293,$B$2:$E$9,4,FALSE)),-2*(6-H292),-(VLOOKUP(B293,$B$2:$G$9,6,FALSE)-D293)),0)</f>
        <v>0</v>
      </c>
      <c r="K293" s="9">
        <f t="shared" si="42"/>
        <v>0</v>
      </c>
      <c r="L293" s="12"/>
      <c r="M293" s="12"/>
      <c r="N293" s="13">
        <v>0</v>
      </c>
      <c r="O293" s="13">
        <v>2.5</v>
      </c>
      <c r="P293" s="2"/>
      <c r="Q293" s="2"/>
    </row>
    <row r="294" spans="1:28" x14ac:dyDescent="0.3">
      <c r="A294" s="36">
        <f t="shared" si="40"/>
        <v>40</v>
      </c>
      <c r="B294" s="36">
        <v>6</v>
      </c>
      <c r="C294" s="15">
        <v>43309.8125</v>
      </c>
      <c r="D294" s="20">
        <v>2.7910629189999998</v>
      </c>
      <c r="E294" s="19">
        <f t="shared" si="41"/>
        <v>1.9066965960909088</v>
      </c>
      <c r="F294" s="17">
        <v>1.7821461E-2</v>
      </c>
      <c r="G294" s="10">
        <f t="shared" si="43"/>
        <v>-0.88436632290909101</v>
      </c>
      <c r="H294" s="10">
        <f t="shared" si="44"/>
        <v>1.1456621964090894</v>
      </c>
      <c r="I294" s="73">
        <f>MAX(0,MIN(O294,H293*2,(D294-Sheet1!$C$3)))</f>
        <v>0.88436632290909101</v>
      </c>
      <c r="J294" s="9">
        <f>IF(F294&gt;VLOOKUP($B$16,$B$2:$F$9,5,FALSE),MAX(N294,-F294*(VLOOKUP(B294,$B$2:$E$9,4,FALSE)),-2*(6-H293),-(VLOOKUP(B294,$B$2:$G$9,6,FALSE)-D294)),0)</f>
        <v>0</v>
      </c>
      <c r="K294" s="9">
        <f t="shared" si="42"/>
        <v>0</v>
      </c>
      <c r="L294" s="12"/>
      <c r="M294" s="12"/>
      <c r="N294" s="13">
        <v>0</v>
      </c>
      <c r="O294" s="13">
        <v>2.5</v>
      </c>
      <c r="P294" s="2"/>
      <c r="Q294" s="2"/>
    </row>
    <row r="295" spans="1:28" x14ac:dyDescent="0.3">
      <c r="A295" s="49">
        <f t="shared" si="40"/>
        <v>41</v>
      </c>
      <c r="B295" s="49">
        <v>6</v>
      </c>
      <c r="C295" s="50">
        <v>43309.833333333336</v>
      </c>
      <c r="D295" s="51">
        <v>2.7209653770000002</v>
      </c>
      <c r="E295" s="26">
        <f t="shared" si="41"/>
        <v>1.9066965960909088</v>
      </c>
      <c r="F295" s="52">
        <v>5.3364930000000003E-3</v>
      </c>
      <c r="G295" s="10">
        <f t="shared" si="43"/>
        <v>-0.81426878090909138</v>
      </c>
      <c r="H295" s="10">
        <f t="shared" si="44"/>
        <v>0.7385278059545437</v>
      </c>
      <c r="I295" s="93">
        <f>MAX(0,MIN(O295,H294*2,(D295-Sheet1!$C$3)))</f>
        <v>0.81426878090909138</v>
      </c>
      <c r="J295" s="9">
        <f>IF(F295&gt;VLOOKUP($B$16,$B$2:$F$9,5,FALSE),MAX(N295,-F295*(VLOOKUP(B295,$B$2:$E$9,4,FALSE)),-2*(6-H294),-(VLOOKUP(B295,$B$2:$G$9,6,FALSE)-D295)),0)</f>
        <v>0</v>
      </c>
      <c r="K295" s="9">
        <f t="shared" si="42"/>
        <v>0</v>
      </c>
      <c r="L295" s="29"/>
      <c r="M295" s="29"/>
      <c r="N295" s="53">
        <v>0</v>
      </c>
      <c r="O295" s="53">
        <v>2.5</v>
      </c>
      <c r="P295" s="2"/>
      <c r="Q295" s="2"/>
    </row>
    <row r="296" spans="1:28" s="64" customFormat="1" ht="15" thickBot="1" x14ac:dyDescent="0.35">
      <c r="A296" s="65">
        <f t="shared" si="40"/>
        <v>42</v>
      </c>
      <c r="B296" s="65">
        <v>6</v>
      </c>
      <c r="C296" s="66">
        <v>43309.854166666664</v>
      </c>
      <c r="D296" s="67">
        <v>2.606276448</v>
      </c>
      <c r="E296" s="57">
        <f t="shared" si="41"/>
        <v>1.9066965960909088</v>
      </c>
      <c r="F296" s="68">
        <v>5.3364930000000003E-3</v>
      </c>
      <c r="G296" s="111">
        <f t="shared" si="43"/>
        <v>-0.69957985190909122</v>
      </c>
      <c r="H296" s="111">
        <f t="shared" si="44"/>
        <v>0.38873787999999809</v>
      </c>
      <c r="I296" s="74">
        <f>MAX(0,MIN(O296,H295*2,(D296-Sheet1!$C$3)))</f>
        <v>0.69957985190909122</v>
      </c>
      <c r="J296" s="9">
        <f>IF(F296&gt;VLOOKUP($B$16,$B$2:$F$9,5,FALSE),MAX(N296,-F296*(VLOOKUP(B296,$B$2:$E$9,4,FALSE)),-2*(6-H295),-(VLOOKUP(B296,$B$2:$G$9,6,FALSE)-D296)),0)</f>
        <v>0</v>
      </c>
      <c r="K296" s="60">
        <f t="shared" si="42"/>
        <v>0</v>
      </c>
      <c r="L296" s="59"/>
      <c r="M296" s="59"/>
      <c r="N296" s="69">
        <v>0</v>
      </c>
      <c r="O296" s="69">
        <v>2.5</v>
      </c>
      <c r="P296" s="62"/>
      <c r="Q296" s="62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 spans="1:28" x14ac:dyDescent="0.3">
      <c r="A297" s="38">
        <f t="shared" si="40"/>
        <v>43</v>
      </c>
      <c r="B297" s="38">
        <v>6</v>
      </c>
      <c r="C297" s="31">
        <v>43309.875</v>
      </c>
      <c r="D297" s="32">
        <v>2.5857917270000002</v>
      </c>
      <c r="E297" s="33">
        <f t="shared" si="41"/>
        <v>2.5857917270000002</v>
      </c>
      <c r="F297" s="39">
        <v>5.3364930000000003E-3</v>
      </c>
      <c r="G297" s="97">
        <f t="shared" si="43"/>
        <v>0</v>
      </c>
      <c r="H297" s="97">
        <f t="shared" si="44"/>
        <v>0.38873787999999809</v>
      </c>
      <c r="I297" s="72">
        <f>MAX(0,MIN(O297,H296*2,(D297-Sheet1!$C$3)))</f>
        <v>0</v>
      </c>
      <c r="J297" s="9">
        <f>IF(F297&gt;VLOOKUP($B$16,$B$2:$F$9,5,FALSE),MAX(N297,-F297*(VLOOKUP(B297,$B$2:$E$9,4,FALSE)),-2*(6-H296),-(VLOOKUP(B297,$B$2:$G$9,6,FALSE)-D297)),0)</f>
        <v>0</v>
      </c>
      <c r="K297" s="40">
        <f t="shared" si="42"/>
        <v>0</v>
      </c>
      <c r="L297" s="34"/>
      <c r="M297" s="34"/>
      <c r="N297" s="30">
        <v>0</v>
      </c>
      <c r="O297" s="30">
        <v>0</v>
      </c>
      <c r="P297" s="2"/>
      <c r="Q297" s="2"/>
    </row>
    <row r="298" spans="1:28" x14ac:dyDescent="0.3">
      <c r="A298" s="35">
        <f t="shared" si="40"/>
        <v>44</v>
      </c>
      <c r="B298" s="35">
        <v>6</v>
      </c>
      <c r="C298" s="14">
        <v>43309.895833333336</v>
      </c>
      <c r="D298" s="18">
        <v>2.399355371</v>
      </c>
      <c r="E298" s="19">
        <f t="shared" si="41"/>
        <v>2.399355371</v>
      </c>
      <c r="F298" s="16">
        <v>5.3364930000000003E-3</v>
      </c>
      <c r="G298" s="10">
        <f t="shared" si="43"/>
        <v>0</v>
      </c>
      <c r="H298" s="10">
        <f t="shared" si="44"/>
        <v>0.38873787999999809</v>
      </c>
      <c r="I298" s="73">
        <f>MAX(0,MIN(O298,H297*2,(D298-Sheet1!$C$3)))</f>
        <v>0</v>
      </c>
      <c r="J298" s="9">
        <f>IF(F298&gt;VLOOKUP($B$16,$B$2:$F$9,5,FALSE),MAX(N298,-F298*(VLOOKUP(B298,$B$2:$E$9,4,FALSE)),-2*(6-H297),-(VLOOKUP(B298,$B$2:$G$9,6,FALSE)-D298)),0)</f>
        <v>0</v>
      </c>
      <c r="K298" s="9">
        <f t="shared" si="42"/>
        <v>0</v>
      </c>
      <c r="L298" s="11"/>
      <c r="M298" s="11"/>
      <c r="N298" s="8">
        <v>0</v>
      </c>
      <c r="O298" s="8">
        <v>0</v>
      </c>
      <c r="P298" s="2"/>
      <c r="Q298" s="2"/>
    </row>
    <row r="299" spans="1:28" x14ac:dyDescent="0.3">
      <c r="A299" s="35">
        <f t="shared" si="40"/>
        <v>45</v>
      </c>
      <c r="B299" s="35">
        <v>6</v>
      </c>
      <c r="C299" s="14">
        <v>43309.916666666664</v>
      </c>
      <c r="D299" s="18">
        <v>2.1514471390000001</v>
      </c>
      <c r="E299" s="19">
        <f t="shared" si="41"/>
        <v>2.1514471390000001</v>
      </c>
      <c r="F299" s="16">
        <v>5.3364930000000003E-3</v>
      </c>
      <c r="G299" s="10">
        <f t="shared" si="43"/>
        <v>0</v>
      </c>
      <c r="H299" s="10">
        <f t="shared" si="44"/>
        <v>0.38873787999999809</v>
      </c>
      <c r="I299" s="73">
        <f>MAX(0,MIN(O299,H298*2,(D299-Sheet1!$C$3)))</f>
        <v>0</v>
      </c>
      <c r="J299" s="9">
        <f>IF(F299&gt;VLOOKUP($B$16,$B$2:$F$9,5,FALSE),MAX(N299,-F299*(VLOOKUP(B299,$B$2:$E$9,4,FALSE)),-2*(6-H298),-(VLOOKUP(B299,$B$2:$G$9,6,FALSE)-D299)),0)</f>
        <v>0</v>
      </c>
      <c r="K299" s="9">
        <f t="shared" si="42"/>
        <v>0</v>
      </c>
      <c r="L299" s="11"/>
      <c r="M299" s="11"/>
      <c r="N299" s="8">
        <v>0</v>
      </c>
      <c r="O299" s="8">
        <v>0</v>
      </c>
      <c r="P299" s="2"/>
      <c r="Q299" s="2"/>
    </row>
    <row r="300" spans="1:28" x14ac:dyDescent="0.3">
      <c r="A300" s="35">
        <f t="shared" si="40"/>
        <v>46</v>
      </c>
      <c r="B300" s="35">
        <v>6</v>
      </c>
      <c r="C300" s="14">
        <v>43309.9375</v>
      </c>
      <c r="D300" s="18">
        <v>1.9192763639999999</v>
      </c>
      <c r="E300" s="19">
        <f t="shared" si="41"/>
        <v>1.9192763639999999</v>
      </c>
      <c r="F300" s="16">
        <v>5.3364930000000003E-3</v>
      </c>
      <c r="G300" s="10">
        <f t="shared" si="43"/>
        <v>0</v>
      </c>
      <c r="H300" s="10">
        <f t="shared" si="44"/>
        <v>0.38873787999999809</v>
      </c>
      <c r="I300" s="73">
        <f>MAX(0,MIN(O300,H299*2,(D300-Sheet1!$C$3)))</f>
        <v>0</v>
      </c>
      <c r="J300" s="9">
        <f>IF(F300&gt;VLOOKUP($B$16,$B$2:$F$9,5,FALSE),MAX(N300,-F300*(VLOOKUP(B300,$B$2:$E$9,4,FALSE)),-2*(6-H299),-(VLOOKUP(B300,$B$2:$G$9,6,FALSE)-D300)),0)</f>
        <v>0</v>
      </c>
      <c r="K300" s="9">
        <f t="shared" si="42"/>
        <v>0</v>
      </c>
      <c r="L300" s="11"/>
      <c r="M300" s="11"/>
      <c r="N300" s="8">
        <v>0</v>
      </c>
      <c r="O300" s="8">
        <v>0</v>
      </c>
      <c r="P300" s="2"/>
      <c r="Q300" s="2"/>
    </row>
    <row r="301" spans="1:28" x14ac:dyDescent="0.3">
      <c r="A301" s="37">
        <f t="shared" si="40"/>
        <v>47</v>
      </c>
      <c r="B301" s="37">
        <v>6</v>
      </c>
      <c r="C301" s="24">
        <v>43309.958333333336</v>
      </c>
      <c r="D301" s="25">
        <v>1.8374660519999999</v>
      </c>
      <c r="E301" s="26">
        <f t="shared" si="41"/>
        <v>1.8374660519999999</v>
      </c>
      <c r="F301" s="27">
        <v>1.831472E-3</v>
      </c>
      <c r="G301" s="98">
        <f t="shared" si="43"/>
        <v>0</v>
      </c>
      <c r="H301" s="98">
        <f t="shared" si="44"/>
        <v>0.38873787999999809</v>
      </c>
      <c r="I301" s="93">
        <f>MAX(0,MIN(O301,H300*2,(D301-Sheet1!$C$3)))</f>
        <v>0</v>
      </c>
      <c r="J301" s="9">
        <f>IF(F301&gt;VLOOKUP($B$16,$B$2:$F$9,5,FALSE),MAX(N301,-F301*(VLOOKUP(B301,$B$2:$E$9,4,FALSE)),-2*(6-H300),-(VLOOKUP(B301,$B$2:$G$9,6,FALSE)-D301)),0)</f>
        <v>0</v>
      </c>
      <c r="K301" s="42">
        <f t="shared" si="42"/>
        <v>0</v>
      </c>
      <c r="L301" s="28"/>
      <c r="M301" s="28"/>
      <c r="N301" s="23">
        <v>0</v>
      </c>
      <c r="O301" s="23">
        <v>0</v>
      </c>
      <c r="P301" s="2"/>
      <c r="Q301" s="2"/>
    </row>
    <row r="302" spans="1:28" s="110" customFormat="1" ht="15" thickBot="1" x14ac:dyDescent="0.35">
      <c r="A302" s="99">
        <f t="shared" si="40"/>
        <v>48</v>
      </c>
      <c r="B302" s="99">
        <v>6</v>
      </c>
      <c r="C302" s="100">
        <v>43309.979166666664</v>
      </c>
      <c r="D302" s="101">
        <v>1.722527946</v>
      </c>
      <c r="E302" s="102">
        <f t="shared" si="41"/>
        <v>1.722527946</v>
      </c>
      <c r="F302" s="103">
        <v>1.831472E-3</v>
      </c>
      <c r="G302" s="104">
        <f t="shared" si="43"/>
        <v>0</v>
      </c>
      <c r="H302" s="104">
        <f t="shared" si="44"/>
        <v>0.38873787999999809</v>
      </c>
      <c r="I302" s="105">
        <f>MAX(0,MIN(O302,H301*2,(D302-Sheet1!$C$3)))</f>
        <v>0</v>
      </c>
      <c r="J302" s="9">
        <f>IF(F302&gt;VLOOKUP($B$16,$B$2:$F$9,5,FALSE),MAX(N302,-F302*(VLOOKUP(B302,$B$2:$E$9,4,FALSE)),-2*(6-H301),-(VLOOKUP(B302,$B$2:$G$9,6,FALSE)-D302)),0)</f>
        <v>0</v>
      </c>
      <c r="K302" s="106">
        <f t="shared" si="42"/>
        <v>0</v>
      </c>
      <c r="L302" s="107"/>
      <c r="M302" s="107"/>
      <c r="N302" s="108">
        <v>0</v>
      </c>
      <c r="O302" s="108">
        <v>0</v>
      </c>
      <c r="P302" s="109"/>
      <c r="Q302" s="109"/>
    </row>
    <row r="303" spans="1:28" s="122" customFormat="1" x14ac:dyDescent="0.3">
      <c r="A303" s="113">
        <v>1</v>
      </c>
      <c r="B303" s="113">
        <v>7</v>
      </c>
      <c r="C303" s="114">
        <v>43310</v>
      </c>
      <c r="D303" s="115">
        <v>1.7608755490000001</v>
      </c>
      <c r="E303" s="116">
        <f t="shared" si="41"/>
        <v>1.7608755490000001</v>
      </c>
      <c r="F303" s="117">
        <v>1.831472E-3</v>
      </c>
      <c r="G303" s="118">
        <f t="shared" si="43"/>
        <v>0</v>
      </c>
      <c r="H303" s="118">
        <v>0</v>
      </c>
      <c r="I303" s="119">
        <v>0</v>
      </c>
      <c r="J303" s="9">
        <f>IF(F303&gt;VLOOKUP($B$16,$B$2:$F$9,5,FALSE),MAX(N303,-F303*(VLOOKUP(B303,$B$2:$E$9,4,FALSE)),-2*(6-H302),-(VLOOKUP(B303,$B$2:$G$9,6,FALSE)-D303)),0)</f>
        <v>0</v>
      </c>
      <c r="K303" s="119">
        <f t="shared" si="42"/>
        <v>0</v>
      </c>
      <c r="L303" s="119">
        <f t="shared" ref="L303:L333" si="45">MIN(J303,F303)</f>
        <v>0</v>
      </c>
      <c r="M303" s="119">
        <f>J303-L303</f>
        <v>0</v>
      </c>
      <c r="N303" s="120">
        <v>-2.5</v>
      </c>
      <c r="O303" s="120">
        <v>0</v>
      </c>
      <c r="P303" s="121"/>
      <c r="Q303" s="121"/>
    </row>
    <row r="304" spans="1:28" x14ac:dyDescent="0.3">
      <c r="A304" s="35">
        <f>A303+1</f>
        <v>2</v>
      </c>
      <c r="B304" s="35">
        <v>7</v>
      </c>
      <c r="C304" s="14">
        <v>43310.020833333336</v>
      </c>
      <c r="D304" s="18">
        <v>1.6784091910000001</v>
      </c>
      <c r="E304" s="19">
        <f t="shared" si="41"/>
        <v>1.6784091910000001</v>
      </c>
      <c r="F304" s="16">
        <v>1.831472E-3</v>
      </c>
      <c r="G304" s="10">
        <f t="shared" si="43"/>
        <v>0</v>
      </c>
      <c r="H304" s="10">
        <f t="shared" si="44"/>
        <v>0</v>
      </c>
      <c r="I304" s="73">
        <f>MAX(0,MIN(O304,H303*2,(D304-Sheet1!$C$3)))</f>
        <v>0</v>
      </c>
      <c r="J304" s="9">
        <f>IF(F304&gt;VLOOKUP($B$16,$B$2:$F$9,5,FALSE),MAX(N304,-F304*(VLOOKUP(B304,$B$2:$E$9,4,FALSE)),-2*(6-H303),-(VLOOKUP(B304,$B$2:$G$9,6,FALSE)-D304)),0)</f>
        <v>0</v>
      </c>
      <c r="K304" s="9">
        <f t="shared" si="42"/>
        <v>0</v>
      </c>
      <c r="L304" s="9">
        <f t="shared" si="45"/>
        <v>0</v>
      </c>
      <c r="M304" s="9">
        <f t="shared" ref="M304:M333" si="46">J304-L304</f>
        <v>0</v>
      </c>
      <c r="N304" s="8">
        <v>-2.5</v>
      </c>
      <c r="O304" s="8">
        <v>0</v>
      </c>
      <c r="P304" s="2"/>
      <c r="Q304" s="2"/>
    </row>
    <row r="305" spans="1:17" x14ac:dyDescent="0.3">
      <c r="A305" s="35">
        <f t="shared" ref="A305:A350" si="47">A304+1</f>
        <v>3</v>
      </c>
      <c r="B305" s="35">
        <v>7</v>
      </c>
      <c r="C305" s="14">
        <v>43310.041666666664</v>
      </c>
      <c r="D305" s="18">
        <v>1.5996815310000001</v>
      </c>
      <c r="E305" s="19">
        <f t="shared" si="41"/>
        <v>1.5996815310000001</v>
      </c>
      <c r="F305" s="16">
        <v>1.831472E-3</v>
      </c>
      <c r="G305" s="10">
        <f t="shared" si="43"/>
        <v>0</v>
      </c>
      <c r="H305" s="10">
        <f t="shared" si="44"/>
        <v>0</v>
      </c>
      <c r="I305" s="73">
        <f>MAX(0,MIN(O305,H304*2,(D305-Sheet1!$C$3)))</f>
        <v>0</v>
      </c>
      <c r="J305" s="9">
        <f>IF(F305&gt;VLOOKUP($B$16,$B$2:$F$9,5,FALSE),MAX(N305,-F305*(VLOOKUP(B305,$B$2:$E$9,4,FALSE)),-2*(6-H304),-(VLOOKUP(B305,$B$2:$G$9,6,FALSE)-D305)),0)</f>
        <v>0</v>
      </c>
      <c r="K305" s="9">
        <f t="shared" si="42"/>
        <v>0</v>
      </c>
      <c r="L305" s="9">
        <f t="shared" si="45"/>
        <v>0</v>
      </c>
      <c r="M305" s="9">
        <f t="shared" si="46"/>
        <v>0</v>
      </c>
      <c r="N305" s="8">
        <v>-2.5</v>
      </c>
      <c r="O305" s="8">
        <v>0</v>
      </c>
      <c r="P305" s="2"/>
      <c r="Q305" s="2"/>
    </row>
    <row r="306" spans="1:17" x14ac:dyDescent="0.3">
      <c r="A306" s="35">
        <f t="shared" si="47"/>
        <v>4</v>
      </c>
      <c r="B306" s="35">
        <v>7</v>
      </c>
      <c r="C306" s="14">
        <v>43310.0625</v>
      </c>
      <c r="D306" s="18">
        <v>1.5391118509999999</v>
      </c>
      <c r="E306" s="19">
        <f t="shared" si="41"/>
        <v>1.5391118509999999</v>
      </c>
      <c r="F306" s="16">
        <v>1.831472E-3</v>
      </c>
      <c r="G306" s="10">
        <f t="shared" si="43"/>
        <v>0</v>
      </c>
      <c r="H306" s="10">
        <f t="shared" si="44"/>
        <v>0</v>
      </c>
      <c r="I306" s="73">
        <f>MAX(0,MIN(O306,H305*2,(D306-Sheet1!$C$3)))</f>
        <v>0</v>
      </c>
      <c r="J306" s="9">
        <f>IF(F306&gt;VLOOKUP($B$16,$B$2:$F$9,5,FALSE),MAX(N306,-F306*(VLOOKUP(B306,$B$2:$E$9,4,FALSE)),-2*(6-H305),-(VLOOKUP(B306,$B$2:$G$9,6,FALSE)-D306)),0)</f>
        <v>0</v>
      </c>
      <c r="K306" s="9">
        <f t="shared" si="42"/>
        <v>0</v>
      </c>
      <c r="L306" s="9">
        <f t="shared" si="45"/>
        <v>0</v>
      </c>
      <c r="M306" s="9">
        <f t="shared" si="46"/>
        <v>0</v>
      </c>
      <c r="N306" s="8">
        <v>-2.5</v>
      </c>
      <c r="O306" s="8">
        <v>0</v>
      </c>
      <c r="P306" s="2"/>
      <c r="Q306" s="2"/>
    </row>
    <row r="307" spans="1:17" x14ac:dyDescent="0.3">
      <c r="A307" s="35">
        <f t="shared" si="47"/>
        <v>5</v>
      </c>
      <c r="B307" s="35">
        <v>7</v>
      </c>
      <c r="C307" s="14">
        <v>43310.083333333336</v>
      </c>
      <c r="D307" s="18">
        <v>1.5250056599999999</v>
      </c>
      <c r="E307" s="19">
        <f t="shared" si="41"/>
        <v>1.5250056599999999</v>
      </c>
      <c r="F307" s="16">
        <v>1.831472E-3</v>
      </c>
      <c r="G307" s="10">
        <f t="shared" si="43"/>
        <v>0</v>
      </c>
      <c r="H307" s="10">
        <f t="shared" si="44"/>
        <v>0</v>
      </c>
      <c r="I307" s="73">
        <f>MAX(0,MIN(O307,H306*2,(D307-Sheet1!$C$3)))</f>
        <v>0</v>
      </c>
      <c r="J307" s="9">
        <f>IF(F307&gt;VLOOKUP($B$16,$B$2:$F$9,5,FALSE),MAX(N307,-F307*(VLOOKUP(B307,$B$2:$E$9,4,FALSE)),-2*(6-H306),-(VLOOKUP(B307,$B$2:$G$9,6,FALSE)-D307)),0)</f>
        <v>0</v>
      </c>
      <c r="K307" s="9">
        <f t="shared" si="42"/>
        <v>0</v>
      </c>
      <c r="L307" s="9">
        <f t="shared" si="45"/>
        <v>0</v>
      </c>
      <c r="M307" s="9">
        <f t="shared" si="46"/>
        <v>0</v>
      </c>
      <c r="N307" s="8">
        <v>-2.5</v>
      </c>
      <c r="O307" s="8">
        <v>0</v>
      </c>
      <c r="P307" s="2"/>
      <c r="Q307" s="2"/>
    </row>
    <row r="308" spans="1:17" x14ac:dyDescent="0.3">
      <c r="A308" s="35">
        <f t="shared" si="47"/>
        <v>6</v>
      </c>
      <c r="B308" s="35">
        <v>7</v>
      </c>
      <c r="C308" s="14">
        <v>43310.104166666664</v>
      </c>
      <c r="D308" s="18">
        <v>1.488712912</v>
      </c>
      <c r="E308" s="19">
        <f t="shared" si="41"/>
        <v>1.488712912</v>
      </c>
      <c r="F308" s="16">
        <v>1.831472E-3</v>
      </c>
      <c r="G308" s="10">
        <f t="shared" si="43"/>
        <v>0</v>
      </c>
      <c r="H308" s="10">
        <f t="shared" si="44"/>
        <v>0</v>
      </c>
      <c r="I308" s="73">
        <f>MAX(0,MIN(O308,H307*2,(D308-Sheet1!$C$3)))</f>
        <v>0</v>
      </c>
      <c r="J308" s="9">
        <f>IF(F308&gt;VLOOKUP($B$16,$B$2:$F$9,5,FALSE),MAX(N308,-F308*(VLOOKUP(B308,$B$2:$E$9,4,FALSE)),-2*(6-H307),-(VLOOKUP(B308,$B$2:$G$9,6,FALSE)-D308)),0)</f>
        <v>0</v>
      </c>
      <c r="K308" s="9">
        <f t="shared" si="42"/>
        <v>0</v>
      </c>
      <c r="L308" s="9">
        <f t="shared" si="45"/>
        <v>0</v>
      </c>
      <c r="M308" s="9">
        <f t="shared" si="46"/>
        <v>0</v>
      </c>
      <c r="N308" s="8">
        <v>-2.5</v>
      </c>
      <c r="O308" s="8">
        <v>0</v>
      </c>
      <c r="P308" s="2"/>
      <c r="Q308" s="2"/>
    </row>
    <row r="309" spans="1:17" x14ac:dyDescent="0.3">
      <c r="A309" s="35">
        <f t="shared" si="47"/>
        <v>7</v>
      </c>
      <c r="B309" s="35">
        <v>7</v>
      </c>
      <c r="C309" s="14">
        <v>43310.125</v>
      </c>
      <c r="D309" s="18">
        <v>1.4887543409999999</v>
      </c>
      <c r="E309" s="19">
        <f t="shared" si="41"/>
        <v>1.4887543409999999</v>
      </c>
      <c r="F309" s="16">
        <v>1.831472E-3</v>
      </c>
      <c r="G309" s="10">
        <f t="shared" si="43"/>
        <v>0</v>
      </c>
      <c r="H309" s="10">
        <f t="shared" si="44"/>
        <v>0</v>
      </c>
      <c r="I309" s="73">
        <f>MAX(0,MIN(O309,H308*2,(D309-Sheet1!$C$3)))</f>
        <v>0</v>
      </c>
      <c r="J309" s="9">
        <f>IF(F309&gt;VLOOKUP($B$16,$B$2:$F$9,5,FALSE),MAX(N309,-F309*(VLOOKUP(B309,$B$2:$E$9,4,FALSE)),-2*(6-H308),-(VLOOKUP(B309,$B$2:$G$9,6,FALSE)-D309)),0)</f>
        <v>0</v>
      </c>
      <c r="K309" s="9">
        <f t="shared" si="42"/>
        <v>0</v>
      </c>
      <c r="L309" s="9">
        <f t="shared" si="45"/>
        <v>0</v>
      </c>
      <c r="M309" s="9">
        <f t="shared" si="46"/>
        <v>0</v>
      </c>
      <c r="N309" s="8">
        <v>-2.5</v>
      </c>
      <c r="O309" s="8">
        <v>0</v>
      </c>
      <c r="P309" s="2"/>
      <c r="Q309" s="2"/>
    </row>
    <row r="310" spans="1:17" x14ac:dyDescent="0.3">
      <c r="A310" s="35">
        <f t="shared" si="47"/>
        <v>8</v>
      </c>
      <c r="B310" s="35">
        <v>7</v>
      </c>
      <c r="C310" s="14">
        <v>43310.145833333336</v>
      </c>
      <c r="D310" s="18">
        <v>1.465001223</v>
      </c>
      <c r="E310" s="19">
        <f t="shared" si="41"/>
        <v>1.465001223</v>
      </c>
      <c r="F310" s="16">
        <v>1.831472E-3</v>
      </c>
      <c r="G310" s="10">
        <f t="shared" si="43"/>
        <v>0</v>
      </c>
      <c r="H310" s="10">
        <f t="shared" si="44"/>
        <v>0</v>
      </c>
      <c r="I310" s="73">
        <f>MAX(0,MIN(O310,H309*2,(D310-Sheet1!$C$3)))</f>
        <v>0</v>
      </c>
      <c r="J310" s="9">
        <f>IF(F310&gt;VLOOKUP($B$16,$B$2:$F$9,5,FALSE),MAX(N310,-F310*(VLOOKUP(B310,$B$2:$E$9,4,FALSE)),-2*(6-H309),-(VLOOKUP(B310,$B$2:$G$9,6,FALSE)-D310)),0)</f>
        <v>0</v>
      </c>
      <c r="K310" s="9">
        <f t="shared" si="42"/>
        <v>0</v>
      </c>
      <c r="L310" s="9">
        <f t="shared" si="45"/>
        <v>0</v>
      </c>
      <c r="M310" s="9">
        <f t="shared" si="46"/>
        <v>0</v>
      </c>
      <c r="N310" s="8">
        <v>-2.5</v>
      </c>
      <c r="O310" s="8">
        <v>0</v>
      </c>
      <c r="P310" s="2"/>
      <c r="Q310" s="2"/>
    </row>
    <row r="311" spans="1:17" x14ac:dyDescent="0.3">
      <c r="A311" s="35">
        <f t="shared" si="47"/>
        <v>9</v>
      </c>
      <c r="B311" s="35">
        <v>7</v>
      </c>
      <c r="C311" s="14">
        <v>43310.166666666664</v>
      </c>
      <c r="D311" s="18">
        <v>1.4287209299999999</v>
      </c>
      <c r="E311" s="19">
        <f t="shared" si="41"/>
        <v>1.4287209299999999</v>
      </c>
      <c r="F311" s="16">
        <v>1.831472E-3</v>
      </c>
      <c r="G311" s="10">
        <f t="shared" si="43"/>
        <v>0</v>
      </c>
      <c r="H311" s="10">
        <f t="shared" si="44"/>
        <v>0</v>
      </c>
      <c r="I311" s="73">
        <f>MAX(0,MIN(O311,H310*2,(D311-Sheet1!$C$3)))</f>
        <v>0</v>
      </c>
      <c r="J311" s="9">
        <f>IF(F311&gt;VLOOKUP($B$16,$B$2:$F$9,5,FALSE),MAX(N311,-F311*(VLOOKUP(B311,$B$2:$E$9,4,FALSE)),-2*(6-H310),-(VLOOKUP(B311,$B$2:$G$9,6,FALSE)-D311)),0)</f>
        <v>0</v>
      </c>
      <c r="K311" s="9">
        <f t="shared" si="42"/>
        <v>0</v>
      </c>
      <c r="L311" s="9">
        <f t="shared" si="45"/>
        <v>0</v>
      </c>
      <c r="M311" s="9">
        <f t="shared" si="46"/>
        <v>0</v>
      </c>
      <c r="N311" s="8">
        <v>-2.5</v>
      </c>
      <c r="O311" s="8">
        <v>0</v>
      </c>
      <c r="P311" s="2"/>
      <c r="Q311" s="2"/>
    </row>
    <row r="312" spans="1:17" x14ac:dyDescent="0.3">
      <c r="A312" s="35">
        <f t="shared" si="47"/>
        <v>10</v>
      </c>
      <c r="B312" s="35">
        <v>7</v>
      </c>
      <c r="C312" s="14">
        <v>43310.1875</v>
      </c>
      <c r="D312" s="18">
        <v>1.4908228610000001</v>
      </c>
      <c r="E312" s="19">
        <f t="shared" si="41"/>
        <v>1.4908228610000001</v>
      </c>
      <c r="F312" s="16">
        <v>1.831472E-3</v>
      </c>
      <c r="G312" s="10">
        <f t="shared" si="43"/>
        <v>0</v>
      </c>
      <c r="H312" s="10">
        <f t="shared" si="44"/>
        <v>0</v>
      </c>
      <c r="I312" s="73">
        <f>MAX(0,MIN(O312,H311*2,(D312-Sheet1!$C$3)))</f>
        <v>0</v>
      </c>
      <c r="J312" s="9">
        <f>IF(F312&gt;VLOOKUP($B$16,$B$2:$F$9,5,FALSE),MAX(N312,-F312*(VLOOKUP(B312,$B$2:$E$9,4,FALSE)),-2*(6-H311),-(VLOOKUP(B312,$B$2:$G$9,6,FALSE)-D312)),0)</f>
        <v>0</v>
      </c>
      <c r="K312" s="9">
        <f t="shared" si="42"/>
        <v>0</v>
      </c>
      <c r="L312" s="9">
        <f t="shared" si="45"/>
        <v>0</v>
      </c>
      <c r="M312" s="9">
        <f t="shared" si="46"/>
        <v>0</v>
      </c>
      <c r="N312" s="8">
        <v>-2.5</v>
      </c>
      <c r="O312" s="8">
        <v>0</v>
      </c>
      <c r="P312" s="2"/>
      <c r="Q312" s="2"/>
    </row>
    <row r="313" spans="1:17" x14ac:dyDescent="0.3">
      <c r="A313" s="35">
        <f t="shared" si="47"/>
        <v>11</v>
      </c>
      <c r="B313" s="35">
        <v>7</v>
      </c>
      <c r="C313" s="14">
        <v>43310.208333333336</v>
      </c>
      <c r="D313" s="18">
        <v>1.627475343</v>
      </c>
      <c r="E313" s="19">
        <f t="shared" si="41"/>
        <v>1.627475343</v>
      </c>
      <c r="F313" s="16">
        <v>2.8760910000000001E-2</v>
      </c>
      <c r="G313" s="10">
        <f t="shared" si="43"/>
        <v>0</v>
      </c>
      <c r="H313" s="10">
        <f t="shared" si="44"/>
        <v>0</v>
      </c>
      <c r="I313" s="73">
        <f>MAX(0,MIN(O313,H312*2,(D313-Sheet1!$C$3)))</f>
        <v>0</v>
      </c>
      <c r="J313" s="9">
        <f>IF(F313&gt;VLOOKUP($B$16,$B$2:$F$9,5,FALSE),MAX(N313,-F313*(VLOOKUP(B313,$B$2:$E$9,4,FALSE)),-2*(6-H312),-(VLOOKUP(B313,$B$2:$G$9,6,FALSE)-D313)),0)</f>
        <v>0</v>
      </c>
      <c r="K313" s="9">
        <f t="shared" si="42"/>
        <v>0</v>
      </c>
      <c r="L313" s="9">
        <f t="shared" si="45"/>
        <v>0</v>
      </c>
      <c r="M313" s="9">
        <f t="shared" si="46"/>
        <v>0</v>
      </c>
      <c r="N313" s="8">
        <v>-2.5</v>
      </c>
      <c r="O313" s="8">
        <v>0</v>
      </c>
      <c r="P313" s="2"/>
      <c r="Q313" s="2"/>
    </row>
    <row r="314" spans="1:17" x14ac:dyDescent="0.3">
      <c r="A314" s="35">
        <f t="shared" si="47"/>
        <v>12</v>
      </c>
      <c r="B314" s="35">
        <v>7</v>
      </c>
      <c r="C314" s="14">
        <v>43310.229166666664</v>
      </c>
      <c r="D314" s="18">
        <v>1.671168148</v>
      </c>
      <c r="E314" s="19">
        <f t="shared" si="41"/>
        <v>1.671168148</v>
      </c>
      <c r="F314" s="16">
        <v>2.8760910000000001E-2</v>
      </c>
      <c r="G314" s="10">
        <f t="shared" si="43"/>
        <v>0</v>
      </c>
      <c r="H314" s="10">
        <f t="shared" si="44"/>
        <v>0</v>
      </c>
      <c r="I314" s="73">
        <f>MAX(0,MIN(O314,H313*2,(D314-Sheet1!$C$3)))</f>
        <v>0</v>
      </c>
      <c r="J314" s="9">
        <f>IF(F314&gt;VLOOKUP($B$16,$B$2:$F$9,5,FALSE),MAX(N314,-F314*(VLOOKUP(B314,$B$2:$E$9,4,FALSE)),-2*(6-H313),-(VLOOKUP(B314,$B$2:$G$9,6,FALSE)-D314)),0)</f>
        <v>0</v>
      </c>
      <c r="K314" s="9">
        <f t="shared" si="42"/>
        <v>0</v>
      </c>
      <c r="L314" s="9">
        <f t="shared" si="45"/>
        <v>0</v>
      </c>
      <c r="M314" s="9">
        <f t="shared" si="46"/>
        <v>0</v>
      </c>
      <c r="N314" s="8">
        <v>-2.5</v>
      </c>
      <c r="O314" s="8">
        <v>0</v>
      </c>
      <c r="P314" s="2"/>
      <c r="Q314" s="2"/>
    </row>
    <row r="315" spans="1:17" x14ac:dyDescent="0.3">
      <c r="A315" s="35">
        <f t="shared" si="47"/>
        <v>13</v>
      </c>
      <c r="B315" s="35">
        <v>7</v>
      </c>
      <c r="C315" s="14">
        <v>43310.25</v>
      </c>
      <c r="D315" s="18">
        <v>1.8583342839999999</v>
      </c>
      <c r="E315" s="19">
        <f t="shared" si="41"/>
        <v>1.8583342839999999</v>
      </c>
      <c r="F315" s="16">
        <v>6.5142959E-2</v>
      </c>
      <c r="G315" s="10">
        <f t="shared" si="43"/>
        <v>0</v>
      </c>
      <c r="H315" s="10">
        <f t="shared" si="44"/>
        <v>0</v>
      </c>
      <c r="I315" s="73">
        <f>MAX(0,MIN(O315,H314*2,(D315-Sheet1!$C$3)))</f>
        <v>0</v>
      </c>
      <c r="J315" s="9">
        <f>IF(F315&gt;VLOOKUP($B$16,$B$2:$F$9,5,FALSE),MAX(N315,-F315*(VLOOKUP(B315,$B$2:$E$9,4,FALSE)),-2*(6-H314),-(VLOOKUP(B315,$B$2:$G$9,6,FALSE)-D315)),0)</f>
        <v>0</v>
      </c>
      <c r="K315" s="9">
        <f t="shared" si="42"/>
        <v>0</v>
      </c>
      <c r="L315" s="9">
        <f t="shared" si="45"/>
        <v>0</v>
      </c>
      <c r="M315" s="9">
        <f t="shared" si="46"/>
        <v>0</v>
      </c>
      <c r="N315" s="8">
        <v>-2.5</v>
      </c>
      <c r="O315" s="8">
        <v>0</v>
      </c>
      <c r="P315" s="2"/>
      <c r="Q315" s="2"/>
    </row>
    <row r="316" spans="1:17" x14ac:dyDescent="0.3">
      <c r="A316" s="35">
        <f t="shared" si="47"/>
        <v>14</v>
      </c>
      <c r="B316" s="35">
        <v>7</v>
      </c>
      <c r="C316" s="14">
        <v>43310.270833333336</v>
      </c>
      <c r="D316" s="18">
        <v>1.9577239179999999</v>
      </c>
      <c r="E316" s="19">
        <f t="shared" si="41"/>
        <v>1.9577239179999999</v>
      </c>
      <c r="F316" s="16">
        <v>7.5135559000000005E-2</v>
      </c>
      <c r="G316" s="10">
        <f t="shared" si="43"/>
        <v>0</v>
      </c>
      <c r="H316" s="10">
        <f t="shared" si="44"/>
        <v>0</v>
      </c>
      <c r="I316" s="73">
        <f>MAX(0,MIN(O316,H315*2,(D316-Sheet1!$C$3)))</f>
        <v>0</v>
      </c>
      <c r="J316" s="9">
        <f>IF(F316&gt;VLOOKUP($B$16,$B$2:$F$9,5,FALSE),MAX(N316,-F316*(VLOOKUP(B316,$B$2:$E$9,4,FALSE)),-2*(6-H315),-(VLOOKUP(B316,$B$2:$G$9,6,FALSE)-D316)),0)</f>
        <v>0</v>
      </c>
      <c r="K316" s="9">
        <f t="shared" si="42"/>
        <v>0</v>
      </c>
      <c r="L316" s="9">
        <f t="shared" si="45"/>
        <v>0</v>
      </c>
      <c r="M316" s="9">
        <f t="shared" si="46"/>
        <v>0</v>
      </c>
      <c r="N316" s="8">
        <v>-2.5</v>
      </c>
      <c r="O316" s="8">
        <v>0</v>
      </c>
      <c r="P316" s="2"/>
      <c r="Q316" s="2"/>
    </row>
    <row r="317" spans="1:17" x14ac:dyDescent="0.3">
      <c r="A317" s="35">
        <f t="shared" si="47"/>
        <v>15</v>
      </c>
      <c r="B317" s="35">
        <v>7</v>
      </c>
      <c r="C317" s="14">
        <v>43310.291666666664</v>
      </c>
      <c r="D317" s="18">
        <v>2.3214154900000001</v>
      </c>
      <c r="E317" s="19">
        <f t="shared" si="41"/>
        <v>2.3214154900000001</v>
      </c>
      <c r="F317" s="16">
        <v>0.25268137499999999</v>
      </c>
      <c r="G317" s="10">
        <f t="shared" si="43"/>
        <v>0</v>
      </c>
      <c r="H317" s="10">
        <f t="shared" si="44"/>
        <v>0</v>
      </c>
      <c r="I317" s="73">
        <f>MAX(0,MIN(O317,H316*2,(D317-Sheet1!$C$3)))</f>
        <v>0</v>
      </c>
      <c r="J317" s="9">
        <f>IF(F317&gt;VLOOKUP($B$16,$B$2:$F$9,5,FALSE),MAX(N317,-F317*(VLOOKUP(B317,$B$2:$E$9,4,FALSE)),-2*(6-H316),-(VLOOKUP(B317,$B$2:$G$9,6,FALSE)-D317)),0)</f>
        <v>0</v>
      </c>
      <c r="K317" s="9">
        <f t="shared" si="42"/>
        <v>0</v>
      </c>
      <c r="L317" s="9">
        <f t="shared" si="45"/>
        <v>0</v>
      </c>
      <c r="M317" s="9">
        <f t="shared" si="46"/>
        <v>0</v>
      </c>
      <c r="N317" s="8">
        <v>-2.5</v>
      </c>
      <c r="O317" s="8">
        <v>0</v>
      </c>
      <c r="P317" s="2"/>
      <c r="Q317" s="2"/>
    </row>
    <row r="318" spans="1:17" x14ac:dyDescent="0.3">
      <c r="A318" s="35">
        <f t="shared" si="47"/>
        <v>16</v>
      </c>
      <c r="B318" s="35">
        <v>7</v>
      </c>
      <c r="C318" s="14">
        <v>43310.3125</v>
      </c>
      <c r="D318" s="18">
        <v>2.4574770610000001</v>
      </c>
      <c r="E318" s="19">
        <f t="shared" si="41"/>
        <v>2.4574770610000001</v>
      </c>
      <c r="F318" s="16">
        <v>0.32854080200000002</v>
      </c>
      <c r="G318" s="10">
        <f t="shared" si="43"/>
        <v>0</v>
      </c>
      <c r="H318" s="10">
        <f t="shared" si="44"/>
        <v>0</v>
      </c>
      <c r="I318" s="73">
        <f>MAX(0,MIN(O318,H317*2,(D318-Sheet1!$C$3)))</f>
        <v>0</v>
      </c>
      <c r="J318" s="9">
        <f>IF(F318&gt;VLOOKUP($B$16,$B$2:$F$9,5,FALSE),MAX(N318,-F318*(VLOOKUP(B318,$B$2:$E$9,4,FALSE)),-2*(6-H317),-(VLOOKUP(B318,$B$2:$G$9,6,FALSE)-D318)),0)</f>
        <v>0</v>
      </c>
      <c r="K318" s="9">
        <f t="shared" si="42"/>
        <v>0</v>
      </c>
      <c r="L318" s="9">
        <f t="shared" si="45"/>
        <v>0</v>
      </c>
      <c r="M318" s="9">
        <f t="shared" si="46"/>
        <v>0</v>
      </c>
      <c r="N318" s="8">
        <v>-2.5</v>
      </c>
      <c r="O318" s="8">
        <v>0</v>
      </c>
      <c r="P318" s="2"/>
      <c r="Q318" s="2"/>
    </row>
    <row r="319" spans="1:17" x14ac:dyDescent="0.3">
      <c r="A319" s="35">
        <f t="shared" si="47"/>
        <v>17</v>
      </c>
      <c r="B319" s="35">
        <v>7</v>
      </c>
      <c r="C319" s="14">
        <v>43310.333333333336</v>
      </c>
      <c r="D319" s="18">
        <v>2.8967349740000001</v>
      </c>
      <c r="E319" s="19">
        <f t="shared" si="41"/>
        <v>2.8967349740000001</v>
      </c>
      <c r="F319" s="16">
        <v>0.57902067899999998</v>
      </c>
      <c r="G319" s="10">
        <f t="shared" si="43"/>
        <v>0</v>
      </c>
      <c r="H319" s="10">
        <f t="shared" si="44"/>
        <v>0</v>
      </c>
      <c r="I319" s="73">
        <f>MAX(0,MIN(O319,H318*2,(D319-Sheet1!$C$3)))</f>
        <v>0</v>
      </c>
      <c r="J319" s="9">
        <f>IF(F319&gt;VLOOKUP($B$16,$B$2:$F$9,5,FALSE),MAX(N319,-F319*(VLOOKUP(B319,$B$2:$E$9,4,FALSE)),-2*(6-H318),-(VLOOKUP(B319,$B$2:$G$9,6,FALSE)-D319)),0)</f>
        <v>0</v>
      </c>
      <c r="K319" s="9">
        <f t="shared" si="42"/>
        <v>0</v>
      </c>
      <c r="L319" s="9">
        <f t="shared" si="45"/>
        <v>0</v>
      </c>
      <c r="M319" s="9">
        <f t="shared" si="46"/>
        <v>0</v>
      </c>
      <c r="N319" s="8">
        <v>-2.5</v>
      </c>
      <c r="O319" s="8">
        <v>0</v>
      </c>
      <c r="P319" s="2"/>
      <c r="Q319" s="2"/>
    </row>
    <row r="320" spans="1:17" x14ac:dyDescent="0.3">
      <c r="A320" s="35">
        <f t="shared" si="47"/>
        <v>18</v>
      </c>
      <c r="B320" s="35">
        <v>7</v>
      </c>
      <c r="C320" s="14">
        <v>43310.354166666664</v>
      </c>
      <c r="D320" s="18">
        <v>2.910588325</v>
      </c>
      <c r="E320" s="19">
        <f t="shared" si="41"/>
        <v>2.910588325</v>
      </c>
      <c r="F320" s="16">
        <v>0.82445561899999997</v>
      </c>
      <c r="G320" s="10">
        <f t="shared" si="43"/>
        <v>0</v>
      </c>
      <c r="H320" s="10">
        <f t="shared" si="44"/>
        <v>0</v>
      </c>
      <c r="I320" s="73">
        <f>MAX(0,MIN(O320,H319*2,(D320-Sheet1!$C$3)))</f>
        <v>0</v>
      </c>
      <c r="J320" s="9">
        <f>IF(F320&gt;VLOOKUP($B$16,$B$2:$F$9,5,FALSE),MAX(N320,-F320*(VLOOKUP(B320,$B$2:$E$9,4,FALSE)),-2*(6-H319),-(VLOOKUP(B320,$B$2:$G$9,6,FALSE)-D320)),0)</f>
        <v>0</v>
      </c>
      <c r="K320" s="9">
        <f t="shared" si="42"/>
        <v>0</v>
      </c>
      <c r="L320" s="9">
        <f t="shared" si="45"/>
        <v>0</v>
      </c>
      <c r="M320" s="9">
        <f t="shared" si="46"/>
        <v>0</v>
      </c>
      <c r="N320" s="8">
        <v>-2.5</v>
      </c>
      <c r="O320" s="8">
        <v>0</v>
      </c>
      <c r="P320" s="2"/>
      <c r="Q320" s="2"/>
    </row>
    <row r="321" spans="1:28" x14ac:dyDescent="0.3">
      <c r="A321" s="35">
        <f t="shared" si="47"/>
        <v>19</v>
      </c>
      <c r="B321" s="35">
        <v>7</v>
      </c>
      <c r="C321" s="14">
        <v>43310.375</v>
      </c>
      <c r="D321" s="18">
        <v>2.9425569899999999</v>
      </c>
      <c r="E321" s="19">
        <f t="shared" si="41"/>
        <v>2.9425569899999999</v>
      </c>
      <c r="F321" s="16">
        <v>0.88621586600000002</v>
      </c>
      <c r="G321" s="10">
        <f t="shared" si="43"/>
        <v>0</v>
      </c>
      <c r="H321" s="10">
        <f t="shared" si="44"/>
        <v>0</v>
      </c>
      <c r="I321" s="73">
        <f>MAX(0,MIN(O321,H320*2,(D321-Sheet1!$C$3)))</f>
        <v>0</v>
      </c>
      <c r="J321" s="9">
        <f>IF(F321&gt;VLOOKUP($B$16,$B$2:$F$9,5,FALSE),MAX(N321,-F321*(VLOOKUP(B321,$B$2:$E$9,4,FALSE)),-2*(6-H320),-(VLOOKUP(B321,$B$2:$G$9,6,FALSE)-D321)),0)</f>
        <v>0</v>
      </c>
      <c r="K321" s="9">
        <f t="shared" si="42"/>
        <v>0</v>
      </c>
      <c r="L321" s="9">
        <f t="shared" si="45"/>
        <v>0</v>
      </c>
      <c r="M321" s="9">
        <f t="shared" si="46"/>
        <v>0</v>
      </c>
      <c r="N321" s="8">
        <v>-2.5</v>
      </c>
      <c r="O321" s="8">
        <v>0</v>
      </c>
      <c r="P321" s="2"/>
      <c r="Q321" s="2"/>
    </row>
    <row r="322" spans="1:28" x14ac:dyDescent="0.3">
      <c r="A322" s="35">
        <f t="shared" si="47"/>
        <v>20</v>
      </c>
      <c r="B322" s="35">
        <v>7</v>
      </c>
      <c r="C322" s="14">
        <v>43310.395833333336</v>
      </c>
      <c r="D322" s="18">
        <v>2.8865789159999999</v>
      </c>
      <c r="E322" s="19">
        <f t="shared" si="41"/>
        <v>3.5994869642730318</v>
      </c>
      <c r="F322" s="16">
        <v>1.07110858</v>
      </c>
      <c r="G322" s="10">
        <f t="shared" si="43"/>
        <v>0.71290804827303189</v>
      </c>
      <c r="H322" s="10">
        <f t="shared" si="44"/>
        <v>0.35645402413651595</v>
      </c>
      <c r="I322" s="73">
        <f>MAX(0,MIN(O322,H321*2,(D322-Sheet1!$C$3)))</f>
        <v>0</v>
      </c>
      <c r="J322" s="9">
        <f>IF(F322&gt;VLOOKUP($B$16,$B$2:$F$9,5,FALSE),MAX(N322,-F322*(VLOOKUP(B322,$B$2:$E$9,4,FALSE)),-2*(6-H321),-(VLOOKUP(B322,$B$2:$G$9,6,FALSE)-D322)),0)</f>
        <v>-0.71290804827303189</v>
      </c>
      <c r="K322" s="9">
        <f t="shared" si="42"/>
        <v>0</v>
      </c>
      <c r="L322" s="9">
        <f t="shared" si="45"/>
        <v>-0.71290804827303189</v>
      </c>
      <c r="M322" s="9">
        <f t="shared" si="46"/>
        <v>0</v>
      </c>
      <c r="N322" s="8">
        <v>-2.5</v>
      </c>
      <c r="O322" s="8">
        <v>0</v>
      </c>
      <c r="P322" s="2"/>
      <c r="Q322" s="2"/>
    </row>
    <row r="323" spans="1:28" x14ac:dyDescent="0.3">
      <c r="A323" s="35">
        <f t="shared" si="47"/>
        <v>21</v>
      </c>
      <c r="B323" s="35">
        <v>7</v>
      </c>
      <c r="C323" s="14">
        <v>43310.416666666664</v>
      </c>
      <c r="D323" s="18">
        <v>2.8070105320000001</v>
      </c>
      <c r="E323" s="19">
        <f t="shared" si="41"/>
        <v>3.9942431637499998</v>
      </c>
      <c r="F323" s="16">
        <v>1.938806295</v>
      </c>
      <c r="G323" s="10">
        <f t="shared" si="43"/>
        <v>1.1872326317499997</v>
      </c>
      <c r="H323" s="10">
        <f t="shared" si="44"/>
        <v>0.9500703400115158</v>
      </c>
      <c r="I323" s="73">
        <f>MAX(0,MIN(O323,H322*2,(D323-Sheet1!$C$3)))</f>
        <v>0</v>
      </c>
      <c r="J323" s="9">
        <f>IF(F323&gt;VLOOKUP($B$16,$B$2:$F$9,5,FALSE),MAX(N323,-F323*(VLOOKUP(B323,$B$2:$E$9,4,FALSE)),-2*(6-H322),-(VLOOKUP(B323,$B$2:$G$9,6,FALSE)-D323)),0)</f>
        <v>-1.1872326317499997</v>
      </c>
      <c r="K323" s="9">
        <f t="shared" si="42"/>
        <v>0</v>
      </c>
      <c r="L323" s="9">
        <f t="shared" si="45"/>
        <v>-1.1872326317499997</v>
      </c>
      <c r="M323" s="9">
        <f t="shared" si="46"/>
        <v>0</v>
      </c>
      <c r="N323" s="8">
        <v>-2.5</v>
      </c>
      <c r="O323" s="8">
        <v>0</v>
      </c>
      <c r="P323" s="2"/>
      <c r="Q323" s="2"/>
    </row>
    <row r="324" spans="1:28" x14ac:dyDescent="0.3">
      <c r="A324" s="35">
        <f t="shared" si="47"/>
        <v>22</v>
      </c>
      <c r="B324" s="35">
        <v>7</v>
      </c>
      <c r="C324" s="14">
        <v>43310.4375</v>
      </c>
      <c r="D324" s="18">
        <v>2.78594542</v>
      </c>
      <c r="E324" s="19">
        <f t="shared" si="41"/>
        <v>3.9942431637499998</v>
      </c>
      <c r="F324" s="16">
        <v>2.0033552650000002</v>
      </c>
      <c r="G324" s="10">
        <f t="shared" si="43"/>
        <v>1.2082977437499998</v>
      </c>
      <c r="H324" s="10">
        <f t="shared" si="44"/>
        <v>1.5542192118865157</v>
      </c>
      <c r="I324" s="73">
        <f>MAX(0,MIN(O324,H323*2,(D324-Sheet1!$C$3)))</f>
        <v>0</v>
      </c>
      <c r="J324" s="9">
        <f>IF(F324&gt;VLOOKUP($B$16,$B$2:$F$9,5,FALSE),MAX(N324,-F324*(VLOOKUP(B324,$B$2:$E$9,4,FALSE)),-2*(6-H323),-(VLOOKUP(B324,$B$2:$G$9,6,FALSE)-D324)),0)</f>
        <v>-1.2082977437499998</v>
      </c>
      <c r="K324" s="9">
        <f t="shared" si="42"/>
        <v>0</v>
      </c>
      <c r="L324" s="9">
        <f t="shared" si="45"/>
        <v>-1.2082977437499998</v>
      </c>
      <c r="M324" s="9">
        <f t="shared" si="46"/>
        <v>0</v>
      </c>
      <c r="N324" s="8">
        <v>-2.5</v>
      </c>
      <c r="O324" s="8">
        <v>0</v>
      </c>
      <c r="P324" s="2"/>
      <c r="Q324" s="2"/>
    </row>
    <row r="325" spans="1:28" x14ac:dyDescent="0.3">
      <c r="A325" s="35">
        <f t="shared" si="47"/>
        <v>23</v>
      </c>
      <c r="B325" s="35">
        <v>7</v>
      </c>
      <c r="C325" s="14">
        <v>43310.458333333336</v>
      </c>
      <c r="D325" s="18">
        <v>2.6661202230000001</v>
      </c>
      <c r="E325" s="19">
        <f t="shared" si="41"/>
        <v>3.9942431637499998</v>
      </c>
      <c r="F325" s="16">
        <v>2.6272087100000001</v>
      </c>
      <c r="G325" s="10">
        <f t="shared" si="43"/>
        <v>1.3281229407499997</v>
      </c>
      <c r="H325" s="10">
        <f t="shared" si="44"/>
        <v>2.2182806822615158</v>
      </c>
      <c r="I325" s="73">
        <f>MAX(0,MIN(O325,H324*2,(D325-Sheet1!$C$3)))</f>
        <v>0</v>
      </c>
      <c r="J325" s="9">
        <f>IF(F325&gt;VLOOKUP($B$16,$B$2:$F$9,5,FALSE),MAX(N325,-F325*(VLOOKUP(B325,$B$2:$E$9,4,FALSE)),-2*(6-H324),-(VLOOKUP(B325,$B$2:$G$9,6,FALSE)-D325)),0)</f>
        <v>-1.3281229407499997</v>
      </c>
      <c r="K325" s="9">
        <f t="shared" si="42"/>
        <v>0</v>
      </c>
      <c r="L325" s="9">
        <f t="shared" si="45"/>
        <v>-1.3281229407499997</v>
      </c>
      <c r="M325" s="9">
        <f t="shared" si="46"/>
        <v>0</v>
      </c>
      <c r="N325" s="8">
        <v>-2.5</v>
      </c>
      <c r="O325" s="8">
        <v>0</v>
      </c>
      <c r="P325" s="2"/>
      <c r="Q325" s="2"/>
    </row>
    <row r="326" spans="1:28" x14ac:dyDescent="0.3">
      <c r="A326" s="35">
        <f t="shared" si="47"/>
        <v>24</v>
      </c>
      <c r="B326" s="35">
        <v>7</v>
      </c>
      <c r="C326" s="14">
        <v>43310.479166666664</v>
      </c>
      <c r="D326" s="18">
        <v>2.6566116759999998</v>
      </c>
      <c r="E326" s="19">
        <f t="shared" si="41"/>
        <v>3.9942431637499998</v>
      </c>
      <c r="F326" s="16">
        <v>2.6567013259999999</v>
      </c>
      <c r="G326" s="10">
        <f t="shared" si="43"/>
        <v>1.33763148775</v>
      </c>
      <c r="H326" s="10">
        <f t="shared" si="44"/>
        <v>2.887096426136516</v>
      </c>
      <c r="I326" s="73">
        <f>MAX(0,MIN(O326,H325*2,(D326-Sheet1!$C$3)))</f>
        <v>0</v>
      </c>
      <c r="J326" s="9">
        <f>IF(F326&gt;VLOOKUP($B$16,$B$2:$F$9,5,FALSE),MAX(N326,-F326*(VLOOKUP(B326,$B$2:$E$9,4,FALSE)),-2*(6-H325),-(VLOOKUP(B326,$B$2:$G$9,6,FALSE)-D326)),0)</f>
        <v>-1.33763148775</v>
      </c>
      <c r="K326" s="9">
        <f t="shared" si="42"/>
        <v>0</v>
      </c>
      <c r="L326" s="9">
        <f t="shared" si="45"/>
        <v>-1.33763148775</v>
      </c>
      <c r="M326" s="9">
        <f t="shared" si="46"/>
        <v>0</v>
      </c>
      <c r="N326" s="8">
        <v>-2.5</v>
      </c>
      <c r="O326" s="8">
        <v>0</v>
      </c>
      <c r="P326" s="2"/>
      <c r="Q326" s="2"/>
    </row>
    <row r="327" spans="1:28" x14ac:dyDescent="0.3">
      <c r="A327" s="35">
        <f t="shared" si="47"/>
        <v>25</v>
      </c>
      <c r="B327" s="35">
        <v>7</v>
      </c>
      <c r="C327" s="14">
        <v>43310.5</v>
      </c>
      <c r="D327" s="18">
        <v>2.4609248629999998</v>
      </c>
      <c r="E327" s="19">
        <f t="shared" si="41"/>
        <v>3.9942431637499998</v>
      </c>
      <c r="F327" s="16">
        <v>2.7817151550000001</v>
      </c>
      <c r="G327" s="10">
        <f t="shared" si="43"/>
        <v>1.53331830075</v>
      </c>
      <c r="H327" s="10">
        <f t="shared" si="44"/>
        <v>3.6537555765115162</v>
      </c>
      <c r="I327" s="73">
        <f>MAX(0,MIN(O327,H326*2,(D327-Sheet1!$C$3)))</f>
        <v>0</v>
      </c>
      <c r="J327" s="9">
        <f>IF(F327&gt;VLOOKUP($B$16,$B$2:$F$9,5,FALSE),MAX(N327,-F327*(VLOOKUP(B327,$B$2:$E$9,4,FALSE)),-2*(6-H326),-(VLOOKUP(B327,$B$2:$G$9,6,FALSE)-D327)),0)</f>
        <v>-1.53331830075</v>
      </c>
      <c r="K327" s="9">
        <f t="shared" si="42"/>
        <v>0</v>
      </c>
      <c r="L327" s="9">
        <f t="shared" si="45"/>
        <v>-1.53331830075</v>
      </c>
      <c r="M327" s="9">
        <f t="shared" si="46"/>
        <v>0</v>
      </c>
      <c r="N327" s="8">
        <v>-2.5</v>
      </c>
      <c r="O327" s="8">
        <v>0</v>
      </c>
      <c r="P327" s="2"/>
      <c r="Q327" s="2"/>
    </row>
    <row r="328" spans="1:28" x14ac:dyDescent="0.3">
      <c r="A328" s="35">
        <f t="shared" si="47"/>
        <v>26</v>
      </c>
      <c r="B328" s="35">
        <v>7</v>
      </c>
      <c r="C328" s="14">
        <v>43310.520833333336</v>
      </c>
      <c r="D328" s="18">
        <v>2.4070870740000001</v>
      </c>
      <c r="E328" s="19">
        <f t="shared" si="41"/>
        <v>3.9942431637499998</v>
      </c>
      <c r="F328" s="16">
        <v>2.7457706929999999</v>
      </c>
      <c r="G328" s="10">
        <f t="shared" si="43"/>
        <v>1.5871560897499997</v>
      </c>
      <c r="H328" s="10">
        <f t="shared" si="44"/>
        <v>4.447333621386516</v>
      </c>
      <c r="I328" s="73">
        <f>MAX(0,MIN(O328,H327*2,(D328-Sheet1!$C$3)))</f>
        <v>0</v>
      </c>
      <c r="J328" s="9">
        <f>IF(F328&gt;VLOOKUP($B$16,$B$2:$F$9,5,FALSE),MAX(N328,-F328*(VLOOKUP(B328,$B$2:$E$9,4,FALSE)),-2*(6-H327),-(VLOOKUP(B328,$B$2:$G$9,6,FALSE)-D328)),0)</f>
        <v>-1.5871560897499997</v>
      </c>
      <c r="K328" s="9">
        <f t="shared" si="42"/>
        <v>0</v>
      </c>
      <c r="L328" s="9">
        <f t="shared" si="45"/>
        <v>-1.5871560897499997</v>
      </c>
      <c r="M328" s="9">
        <f t="shared" si="46"/>
        <v>0</v>
      </c>
      <c r="N328" s="8">
        <v>-2.5</v>
      </c>
      <c r="O328" s="8">
        <v>0</v>
      </c>
      <c r="P328" s="2"/>
      <c r="Q328" s="2"/>
    </row>
    <row r="329" spans="1:28" x14ac:dyDescent="0.3">
      <c r="A329" s="35">
        <f t="shared" si="47"/>
        <v>27</v>
      </c>
      <c r="B329" s="35">
        <v>7</v>
      </c>
      <c r="C329" s="14">
        <v>43310.541666666664</v>
      </c>
      <c r="D329" s="18">
        <v>2.3421261059999998</v>
      </c>
      <c r="E329" s="19">
        <f t="shared" si="41"/>
        <v>3.9942431637499998</v>
      </c>
      <c r="F329" s="16">
        <v>2.8152046199999998</v>
      </c>
      <c r="G329" s="10">
        <f t="shared" si="43"/>
        <v>1.65211705775</v>
      </c>
      <c r="H329" s="10">
        <f t="shared" si="44"/>
        <v>5.2733921502615164</v>
      </c>
      <c r="I329" s="73">
        <f>MAX(0,MIN(O329,H328*2,(D329-Sheet1!$C$3)))</f>
        <v>0</v>
      </c>
      <c r="J329" s="9">
        <f>IF(F329&gt;VLOOKUP($B$16,$B$2:$F$9,5,FALSE),MAX(N329,-F329*(VLOOKUP(B329,$B$2:$E$9,4,FALSE)),-2*(6-H328),-(VLOOKUP(B329,$B$2:$G$9,6,FALSE)-D329)),0)</f>
        <v>-1.65211705775</v>
      </c>
      <c r="K329" s="9">
        <f t="shared" si="42"/>
        <v>0</v>
      </c>
      <c r="L329" s="9">
        <f t="shared" si="45"/>
        <v>-1.65211705775</v>
      </c>
      <c r="M329" s="9">
        <f t="shared" si="46"/>
        <v>0</v>
      </c>
      <c r="N329" s="8">
        <v>-2.5</v>
      </c>
      <c r="O329" s="8">
        <v>0</v>
      </c>
      <c r="P329" s="2"/>
      <c r="Q329" s="2"/>
    </row>
    <row r="330" spans="1:28" x14ac:dyDescent="0.3">
      <c r="A330" s="35">
        <f t="shared" si="47"/>
        <v>28</v>
      </c>
      <c r="B330" s="35">
        <v>7</v>
      </c>
      <c r="C330" s="14">
        <v>43310.5625</v>
      </c>
      <c r="D330" s="18">
        <v>2.3472860199999999</v>
      </c>
      <c r="E330" s="19">
        <f t="shared" si="41"/>
        <v>3.800501719476967</v>
      </c>
      <c r="F330" s="16">
        <v>2.8152046199999998</v>
      </c>
      <c r="G330" s="10">
        <f t="shared" si="43"/>
        <v>1.4532156994769672</v>
      </c>
      <c r="H330" s="10">
        <f t="shared" si="44"/>
        <v>6</v>
      </c>
      <c r="I330" s="73">
        <f>MAX(0,MIN(O330,H329*2,(D330-Sheet1!$C$3)))</f>
        <v>0</v>
      </c>
      <c r="J330" s="9">
        <f>IF(F330&gt;VLOOKUP($B$16,$B$2:$F$9,5,FALSE),MAX(N330,-F330*(VLOOKUP(B330,$B$2:$E$9,4,FALSE)),-2*(6-H329),-(VLOOKUP(B330,$B$2:$G$9,6,FALSE)-D330)),0)</f>
        <v>-1.4532156994769672</v>
      </c>
      <c r="K330" s="9">
        <f t="shared" si="42"/>
        <v>0</v>
      </c>
      <c r="L330" s="9">
        <f t="shared" si="45"/>
        <v>-1.4532156994769672</v>
      </c>
      <c r="M330" s="9">
        <f t="shared" si="46"/>
        <v>0</v>
      </c>
      <c r="N330" s="8">
        <v>-2.5</v>
      </c>
      <c r="O330" s="8">
        <v>0</v>
      </c>
      <c r="P330" s="2"/>
      <c r="Q330" s="2"/>
    </row>
    <row r="331" spans="1:28" x14ac:dyDescent="0.3">
      <c r="A331" s="35">
        <f t="shared" si="47"/>
        <v>29</v>
      </c>
      <c r="B331" s="35">
        <v>7</v>
      </c>
      <c r="C331" s="14">
        <v>43310.583333333336</v>
      </c>
      <c r="D331" s="18">
        <v>2.4317770460000001</v>
      </c>
      <c r="E331" s="19">
        <f t="shared" si="41"/>
        <v>2.4317770460000001</v>
      </c>
      <c r="F331" s="16">
        <v>1.8658413890000001</v>
      </c>
      <c r="G331" s="10">
        <f t="shared" si="43"/>
        <v>0</v>
      </c>
      <c r="H331" s="10">
        <f t="shared" si="44"/>
        <v>6</v>
      </c>
      <c r="I331" s="73">
        <f>MAX(0,MIN(O331,H330*2,(D331-Sheet1!$C$3)))</f>
        <v>0</v>
      </c>
      <c r="J331" s="9">
        <f>IF(F331&gt;VLOOKUP($B$16,$B$2:$F$9,5,FALSE),MAX(N331,-F331*(VLOOKUP(B331,$B$2:$E$9,4,FALSE)),-2*(6-H330),-(VLOOKUP(B331,$B$2:$G$9,6,FALSE)-D331)),0)</f>
        <v>0</v>
      </c>
      <c r="K331" s="9">
        <f t="shared" si="42"/>
        <v>0</v>
      </c>
      <c r="L331" s="9">
        <f t="shared" si="45"/>
        <v>0</v>
      </c>
      <c r="M331" s="9">
        <f t="shared" si="46"/>
        <v>0</v>
      </c>
      <c r="N331" s="8">
        <v>-2.5</v>
      </c>
      <c r="O331" s="8">
        <v>0</v>
      </c>
      <c r="P331" s="2"/>
      <c r="Q331" s="2"/>
    </row>
    <row r="332" spans="1:28" x14ac:dyDescent="0.3">
      <c r="A332" s="37">
        <f t="shared" si="47"/>
        <v>30</v>
      </c>
      <c r="B332" s="37">
        <v>7</v>
      </c>
      <c r="C332" s="24">
        <v>43310.604166666664</v>
      </c>
      <c r="D332" s="25">
        <v>2.4993341240000002</v>
      </c>
      <c r="E332" s="26">
        <f t="shared" si="41"/>
        <v>2.4993341240000002</v>
      </c>
      <c r="F332" s="27">
        <v>1.707827091</v>
      </c>
      <c r="G332" s="10">
        <f t="shared" si="43"/>
        <v>0</v>
      </c>
      <c r="H332" s="10">
        <f t="shared" si="44"/>
        <v>6</v>
      </c>
      <c r="I332" s="93">
        <f>MAX(0,MIN(O332,H331*2,(D332-Sheet1!$C$3)))</f>
        <v>0</v>
      </c>
      <c r="J332" s="9">
        <f>IF(F332&gt;VLOOKUP($B$16,$B$2:$F$9,5,FALSE),MAX(N332,-F332*(VLOOKUP(B332,$B$2:$E$9,4,FALSE)),-2*(6-H331),-(VLOOKUP(B332,$B$2:$G$9,6,FALSE)-D332)),0)</f>
        <v>0</v>
      </c>
      <c r="K332" s="9">
        <f t="shared" si="42"/>
        <v>0</v>
      </c>
      <c r="L332" s="42">
        <f t="shared" si="45"/>
        <v>0</v>
      </c>
      <c r="M332" s="42">
        <f t="shared" si="46"/>
        <v>0</v>
      </c>
      <c r="N332" s="23">
        <v>-2.5</v>
      </c>
      <c r="O332" s="23">
        <v>0</v>
      </c>
      <c r="P332" s="2"/>
      <c r="Q332" s="2"/>
    </row>
    <row r="333" spans="1:28" s="64" customFormat="1" ht="15" thickBot="1" x14ac:dyDescent="0.35">
      <c r="A333" s="54">
        <f t="shared" si="47"/>
        <v>31</v>
      </c>
      <c r="B333" s="54">
        <v>7</v>
      </c>
      <c r="C333" s="55">
        <v>43310.625</v>
      </c>
      <c r="D333" s="56">
        <v>2.9160692070000001</v>
      </c>
      <c r="E333" s="57">
        <f t="shared" si="41"/>
        <v>2.9160692070000001</v>
      </c>
      <c r="F333" s="58">
        <v>0.75955963100000001</v>
      </c>
      <c r="G333" s="111">
        <f>-SUM(I333,J333,K333)</f>
        <v>0</v>
      </c>
      <c r="H333" s="111">
        <f>H332+((G333*0.5))</f>
        <v>6</v>
      </c>
      <c r="I333" s="74">
        <f>MAX(0,MIN(O333,H332*2,(D333-Sheet1!$C$3)))</f>
        <v>0</v>
      </c>
      <c r="J333" s="9">
        <f>IF(F333&gt;VLOOKUP($B$16,$B$2:$F$9,5,FALSE),MAX(N333,-F333*(VLOOKUP(B333,$B$2:$E$9,4,FALSE)),-2*(6-H332),-(VLOOKUP(B333,$B$2:$G$9,6,FALSE)-D333)),0)</f>
        <v>0</v>
      </c>
      <c r="K333" s="60">
        <f>IF(A333&lt;&gt;31,0,-2*((6-H332+((J333*0.5)))))</f>
        <v>0</v>
      </c>
      <c r="L333" s="60">
        <f t="shared" si="45"/>
        <v>0</v>
      </c>
      <c r="M333" s="60">
        <f t="shared" si="46"/>
        <v>0</v>
      </c>
      <c r="N333" s="61">
        <v>-2.5</v>
      </c>
      <c r="O333" s="61">
        <v>0</v>
      </c>
      <c r="P333" s="62"/>
      <c r="Q333" s="62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 spans="1:28" x14ac:dyDescent="0.3">
      <c r="A334" s="44">
        <f>A333+1</f>
        <v>32</v>
      </c>
      <c r="B334" s="44">
        <v>7</v>
      </c>
      <c r="C334" s="45">
        <v>43310.645833333336</v>
      </c>
      <c r="D334" s="46">
        <v>3.0639703709999999</v>
      </c>
      <c r="E334" s="33">
        <f t="shared" si="41"/>
        <v>1.9066965960909088</v>
      </c>
      <c r="F334" s="47">
        <v>0.69125837099999998</v>
      </c>
      <c r="G334" s="97">
        <f t="shared" si="43"/>
        <v>-1.1572737749090911</v>
      </c>
      <c r="H334" s="97">
        <f t="shared" si="44"/>
        <v>5.4213631125454542</v>
      </c>
      <c r="I334" s="72">
        <f>MAX(0,MIN(O334,H333*2,(D334-Sheet1!$C$3)))</f>
        <v>1.1572737749090911</v>
      </c>
      <c r="J334" s="9">
        <f>IF(F334&gt;VLOOKUP($B$16,$B$2:$F$9,5,FALSE),MAX(N334,-F334*(VLOOKUP(B334,$B$2:$E$9,4,FALSE)),-2*(6-H333),-(VLOOKUP(B334,$B$2:$G$9,6,FALSE)-D334)),0)</f>
        <v>0</v>
      </c>
      <c r="K334" s="40">
        <f t="shared" ref="K334:K350" si="48">IF(A334&lt;&gt;31,0,-2*((6-H333+((J334*0.5)))))</f>
        <v>0</v>
      </c>
      <c r="L334" s="41"/>
      <c r="M334" s="41"/>
      <c r="N334" s="48">
        <v>0</v>
      </c>
      <c r="O334" s="48">
        <v>2.5</v>
      </c>
      <c r="P334" s="2"/>
      <c r="Q334" s="2"/>
    </row>
    <row r="335" spans="1:28" x14ac:dyDescent="0.3">
      <c r="A335" s="36">
        <f t="shared" si="47"/>
        <v>33</v>
      </c>
      <c r="B335" s="36">
        <v>7</v>
      </c>
      <c r="C335" s="15">
        <v>43310.666666666664</v>
      </c>
      <c r="D335" s="20">
        <v>3.1195840380000002</v>
      </c>
      <c r="E335" s="19">
        <f t="shared" ref="E335:E350" si="49">D335-J335-I335</f>
        <v>1.9066965960909088</v>
      </c>
      <c r="F335" s="17">
        <v>0.444859952</v>
      </c>
      <c r="G335" s="10">
        <f t="shared" si="43"/>
        <v>-1.2128874419090914</v>
      </c>
      <c r="H335" s="10">
        <f t="shared" si="44"/>
        <v>4.8149193915909088</v>
      </c>
      <c r="I335" s="73">
        <f>MAX(0,MIN(O335,H334*2,(D335-Sheet1!$C$3)))</f>
        <v>1.2128874419090914</v>
      </c>
      <c r="J335" s="9">
        <f>IF(F335&gt;VLOOKUP($B$16,$B$2:$F$9,5,FALSE),MAX(N335,-F335*(VLOOKUP(B335,$B$2:$E$9,4,FALSE)),-2*(6-H334),-(VLOOKUP(B335,$B$2:$G$9,6,FALSE)-D335)),0)</f>
        <v>0</v>
      </c>
      <c r="K335" s="9">
        <f t="shared" si="48"/>
        <v>0</v>
      </c>
      <c r="L335" s="12"/>
      <c r="M335" s="12"/>
      <c r="N335" s="13">
        <v>0</v>
      </c>
      <c r="O335" s="13">
        <v>2.5</v>
      </c>
      <c r="P335" s="2"/>
      <c r="Q335" s="2"/>
    </row>
    <row r="336" spans="1:28" x14ac:dyDescent="0.3">
      <c r="A336" s="36">
        <f t="shared" si="47"/>
        <v>34</v>
      </c>
      <c r="B336" s="36">
        <v>7</v>
      </c>
      <c r="C336" s="15">
        <v>43310.6875</v>
      </c>
      <c r="D336" s="20">
        <v>3.1953945309999998</v>
      </c>
      <c r="E336" s="19">
        <f t="shared" si="49"/>
        <v>1.9066965960909088</v>
      </c>
      <c r="F336" s="17">
        <v>0.36950463099999997</v>
      </c>
      <c r="G336" s="10">
        <f t="shared" ref="G336:G350" si="50">-SUM(I336,J336,K336)</f>
        <v>-1.288697934909091</v>
      </c>
      <c r="H336" s="10">
        <f t="shared" si="44"/>
        <v>4.170570424136363</v>
      </c>
      <c r="I336" s="73">
        <f>MAX(0,MIN(O336,H335*2,(D336-Sheet1!$C$3)))</f>
        <v>1.288697934909091</v>
      </c>
      <c r="J336" s="9">
        <f>IF(F336&gt;VLOOKUP($B$16,$B$2:$F$9,5,FALSE),MAX(N336,-F336*(VLOOKUP(B336,$B$2:$E$9,4,FALSE)),-2*(6-H335),-(VLOOKUP(B336,$B$2:$G$9,6,FALSE)-D336)),0)</f>
        <v>0</v>
      </c>
      <c r="K336" s="9">
        <f t="shared" si="48"/>
        <v>0</v>
      </c>
      <c r="L336" s="12"/>
      <c r="M336" s="12"/>
      <c r="N336" s="13">
        <v>0</v>
      </c>
      <c r="O336" s="13">
        <v>2.5</v>
      </c>
      <c r="P336" s="2"/>
      <c r="Q336" s="2"/>
    </row>
    <row r="337" spans="1:17" x14ac:dyDescent="0.3">
      <c r="A337" s="36">
        <f t="shared" si="47"/>
        <v>35</v>
      </c>
      <c r="B337" s="36">
        <v>7</v>
      </c>
      <c r="C337" s="15">
        <v>43310.708333333336</v>
      </c>
      <c r="D337" s="20">
        <v>3.1153835390000002</v>
      </c>
      <c r="E337" s="19">
        <f t="shared" si="49"/>
        <v>1.9066965960909088</v>
      </c>
      <c r="F337" s="17">
        <v>0.40915924300000001</v>
      </c>
      <c r="G337" s="10">
        <f t="shared" si="50"/>
        <v>-1.2086869429090914</v>
      </c>
      <c r="H337" s="10">
        <f t="shared" ref="H337:H350" si="51">H336+((G337*0.5))</f>
        <v>3.5662269526818173</v>
      </c>
      <c r="I337" s="73">
        <f>MAX(0,MIN(O337,H336*2,(D337-Sheet1!$C$3)))</f>
        <v>1.2086869429090914</v>
      </c>
      <c r="J337" s="9">
        <f>IF(F337&gt;VLOOKUP($B$16,$B$2:$F$9,5,FALSE),MAX(N337,-F337*(VLOOKUP(B337,$B$2:$E$9,4,FALSE)),-2*(6-H336),-(VLOOKUP(B337,$B$2:$G$9,6,FALSE)-D337)),0)</f>
        <v>0</v>
      </c>
      <c r="K337" s="9">
        <f t="shared" si="48"/>
        <v>0</v>
      </c>
      <c r="L337" s="12"/>
      <c r="M337" s="12"/>
      <c r="N337" s="13">
        <v>0</v>
      </c>
      <c r="O337" s="13">
        <v>2.5</v>
      </c>
      <c r="P337" s="2"/>
      <c r="Q337" s="2"/>
    </row>
    <row r="338" spans="1:17" x14ac:dyDescent="0.3">
      <c r="A338" s="36">
        <f t="shared" si="47"/>
        <v>36</v>
      </c>
      <c r="B338" s="36">
        <v>7</v>
      </c>
      <c r="C338" s="15">
        <v>43310.729166666664</v>
      </c>
      <c r="D338" s="20">
        <v>3.046774272</v>
      </c>
      <c r="E338" s="19">
        <f t="shared" si="49"/>
        <v>1.9066965960909088</v>
      </c>
      <c r="F338" s="17">
        <v>0.33810952300000002</v>
      </c>
      <c r="G338" s="10">
        <f t="shared" si="50"/>
        <v>-1.1400776759090911</v>
      </c>
      <c r="H338" s="10">
        <f t="shared" si="51"/>
        <v>2.9961881147272718</v>
      </c>
      <c r="I338" s="73">
        <f>MAX(0,MIN(O338,H337*2,(D338-Sheet1!$C$3)))</f>
        <v>1.1400776759090911</v>
      </c>
      <c r="J338" s="9">
        <f>IF(F338&gt;VLOOKUP($B$16,$B$2:$F$9,5,FALSE),MAX(N338,-F338*(VLOOKUP(B338,$B$2:$E$9,4,FALSE)),-2*(6-H337),-(VLOOKUP(B338,$B$2:$G$9,6,FALSE)-D338)),0)</f>
        <v>0</v>
      </c>
      <c r="K338" s="9">
        <f t="shared" si="48"/>
        <v>0</v>
      </c>
      <c r="L338" s="12"/>
      <c r="M338" s="12"/>
      <c r="N338" s="13">
        <v>0</v>
      </c>
      <c r="O338" s="13">
        <v>2.5</v>
      </c>
      <c r="P338" s="2"/>
      <c r="Q338" s="2"/>
    </row>
    <row r="339" spans="1:17" x14ac:dyDescent="0.3">
      <c r="A339" s="36">
        <f t="shared" si="47"/>
        <v>37</v>
      </c>
      <c r="B339" s="36">
        <v>7</v>
      </c>
      <c r="C339" s="15">
        <v>43310.75</v>
      </c>
      <c r="D339" s="20">
        <v>2.9663022379999999</v>
      </c>
      <c r="E339" s="19">
        <f t="shared" si="49"/>
        <v>1.9066965960909088</v>
      </c>
      <c r="F339" s="17">
        <v>0.26710796399999998</v>
      </c>
      <c r="G339" s="10">
        <f t="shared" si="50"/>
        <v>-1.0596056419090911</v>
      </c>
      <c r="H339" s="10">
        <f t="shared" si="51"/>
        <v>2.466385293772726</v>
      </c>
      <c r="I339" s="73">
        <f>MAX(0,MIN(O339,H338*2,(D339-Sheet1!$C$3)))</f>
        <v>1.0596056419090911</v>
      </c>
      <c r="J339" s="9">
        <f>IF(F339&gt;VLOOKUP($B$16,$B$2:$F$9,5,FALSE),MAX(N339,-F339*(VLOOKUP(B339,$B$2:$E$9,4,FALSE)),-2*(6-H338),-(VLOOKUP(B339,$B$2:$G$9,6,FALSE)-D339)),0)</f>
        <v>0</v>
      </c>
      <c r="K339" s="9">
        <f t="shared" si="48"/>
        <v>0</v>
      </c>
      <c r="L339" s="12"/>
      <c r="M339" s="12"/>
      <c r="N339" s="13">
        <v>0</v>
      </c>
      <c r="O339" s="13">
        <v>2.5</v>
      </c>
      <c r="P339" s="2"/>
      <c r="Q339" s="2"/>
    </row>
    <row r="340" spans="1:17" x14ac:dyDescent="0.3">
      <c r="A340" s="36">
        <f t="shared" si="47"/>
        <v>38</v>
      </c>
      <c r="B340" s="36">
        <v>7</v>
      </c>
      <c r="C340" s="15">
        <v>43310.770833333336</v>
      </c>
      <c r="D340" s="20">
        <v>2.9187029729999998</v>
      </c>
      <c r="E340" s="19">
        <f t="shared" si="49"/>
        <v>1.9066965960909088</v>
      </c>
      <c r="F340" s="17">
        <v>0.24639233899999999</v>
      </c>
      <c r="G340" s="10">
        <f t="shared" si="50"/>
        <v>-1.012006376909091</v>
      </c>
      <c r="H340" s="10">
        <f t="shared" si="51"/>
        <v>1.9603821053181805</v>
      </c>
      <c r="I340" s="73">
        <f>MAX(0,MIN(O340,H339*2,(D340-Sheet1!$C$3)))</f>
        <v>1.012006376909091</v>
      </c>
      <c r="J340" s="9">
        <f>IF(F340&gt;VLOOKUP($B$16,$B$2:$F$9,5,FALSE),MAX(N340,-F340*(VLOOKUP(B340,$B$2:$E$9,4,FALSE)),-2*(6-H339),-(VLOOKUP(B340,$B$2:$G$9,6,FALSE)-D340)),0)</f>
        <v>0</v>
      </c>
      <c r="K340" s="9">
        <f t="shared" si="48"/>
        <v>0</v>
      </c>
      <c r="L340" s="12"/>
      <c r="M340" s="12"/>
      <c r="N340" s="13">
        <v>0</v>
      </c>
      <c r="O340" s="13">
        <v>2.5</v>
      </c>
      <c r="P340" s="2"/>
      <c r="Q340" s="2"/>
    </row>
    <row r="341" spans="1:17" x14ac:dyDescent="0.3">
      <c r="A341" s="36">
        <f t="shared" si="47"/>
        <v>39</v>
      </c>
      <c r="B341" s="36">
        <v>7</v>
      </c>
      <c r="C341" s="15">
        <v>43310.791666666664</v>
      </c>
      <c r="D341" s="20">
        <v>2.845646517</v>
      </c>
      <c r="E341" s="19">
        <f t="shared" si="49"/>
        <v>1.9066965960909088</v>
      </c>
      <c r="F341" s="17">
        <v>4.7856300999999997E-2</v>
      </c>
      <c r="G341" s="10">
        <f t="shared" si="50"/>
        <v>-0.93894992090909124</v>
      </c>
      <c r="H341" s="10">
        <f t="shared" si="51"/>
        <v>1.4909071448636348</v>
      </c>
      <c r="I341" s="73">
        <f>MAX(0,MIN(O341,H340*2,(D341-Sheet1!$C$3)))</f>
        <v>0.93894992090909124</v>
      </c>
      <c r="J341" s="9">
        <f>IF(F341&gt;VLOOKUP($B$16,$B$2:$F$9,5,FALSE),MAX(N341,-F341*(VLOOKUP(B341,$B$2:$E$9,4,FALSE)),-2*(6-H340),-(VLOOKUP(B341,$B$2:$G$9,6,FALSE)-D341)),0)</f>
        <v>0</v>
      </c>
      <c r="K341" s="9">
        <f t="shared" si="48"/>
        <v>0</v>
      </c>
      <c r="L341" s="12"/>
      <c r="M341" s="12"/>
      <c r="N341" s="13">
        <v>0</v>
      </c>
      <c r="O341" s="13">
        <v>2.5</v>
      </c>
      <c r="P341" s="2"/>
      <c r="Q341" s="2"/>
    </row>
    <row r="342" spans="1:17" x14ac:dyDescent="0.3">
      <c r="A342" s="36">
        <f t="shared" si="47"/>
        <v>40</v>
      </c>
      <c r="B342" s="36">
        <v>7</v>
      </c>
      <c r="C342" s="15">
        <v>43310.8125</v>
      </c>
      <c r="D342" s="20">
        <v>2.7747598340000001</v>
      </c>
      <c r="E342" s="19">
        <f t="shared" si="49"/>
        <v>1.9066965960909088</v>
      </c>
      <c r="F342" s="17">
        <v>4.7856300999999997E-2</v>
      </c>
      <c r="G342" s="10">
        <f t="shared" si="50"/>
        <v>-0.86806323790909135</v>
      </c>
      <c r="H342" s="10">
        <f t="shared" si="51"/>
        <v>1.0568755259090892</v>
      </c>
      <c r="I342" s="73">
        <f>MAX(0,MIN(O342,H341*2,(D342-Sheet1!$C$3)))</f>
        <v>0.86806323790909135</v>
      </c>
      <c r="J342" s="9">
        <f>IF(F342&gt;VLOOKUP($B$16,$B$2:$F$9,5,FALSE),MAX(N342,-F342*(VLOOKUP(B342,$B$2:$E$9,4,FALSE)),-2*(6-H341),-(VLOOKUP(B342,$B$2:$G$9,6,FALSE)-D342)),0)</f>
        <v>0</v>
      </c>
      <c r="K342" s="9">
        <f t="shared" si="48"/>
        <v>0</v>
      </c>
      <c r="L342" s="12"/>
      <c r="M342" s="12"/>
      <c r="N342" s="13">
        <v>0</v>
      </c>
      <c r="O342" s="13">
        <v>2.5</v>
      </c>
      <c r="P342" s="2"/>
      <c r="Q342" s="2"/>
    </row>
    <row r="343" spans="1:17" x14ac:dyDescent="0.3">
      <c r="A343" s="49">
        <f t="shared" si="47"/>
        <v>41</v>
      </c>
      <c r="B343" s="49">
        <v>7</v>
      </c>
      <c r="C343" s="50">
        <v>43310.833333333336</v>
      </c>
      <c r="D343" s="51">
        <v>2.70588864</v>
      </c>
      <c r="E343" s="26">
        <f t="shared" si="49"/>
        <v>1.9066965960909088</v>
      </c>
      <c r="F343" s="52">
        <v>5.3364930000000003E-3</v>
      </c>
      <c r="G343" s="98">
        <f t="shared" si="50"/>
        <v>-0.79919204390909115</v>
      </c>
      <c r="H343" s="98">
        <f t="shared" si="51"/>
        <v>0.6572795039545436</v>
      </c>
      <c r="I343" s="93">
        <f>MAX(0,MIN(O343,H342*2,(D343-Sheet1!$C$3)))</f>
        <v>0.79919204390909115</v>
      </c>
      <c r="J343" s="9">
        <f>IF(F343&gt;VLOOKUP($B$16,$B$2:$F$9,5,FALSE),MAX(N343,-F343*(VLOOKUP(B343,$B$2:$E$9,4,FALSE)),-2*(6-H342),-(VLOOKUP(B343,$B$2:$G$9,6,FALSE)-D343)),0)</f>
        <v>0</v>
      </c>
      <c r="K343" s="42">
        <f t="shared" si="48"/>
        <v>0</v>
      </c>
      <c r="L343" s="29"/>
      <c r="M343" s="29"/>
      <c r="N343" s="53">
        <v>0</v>
      </c>
      <c r="O343" s="53">
        <v>2.5</v>
      </c>
      <c r="P343" s="2"/>
      <c r="Q343" s="2"/>
    </row>
    <row r="344" spans="1:17" s="64" customFormat="1" ht="15" thickBot="1" x14ac:dyDescent="0.35">
      <c r="A344" s="65">
        <f t="shared" si="47"/>
        <v>42</v>
      </c>
      <c r="B344" s="65">
        <v>7</v>
      </c>
      <c r="C344" s="66">
        <v>43310.854166666664</v>
      </c>
      <c r="D344" s="67">
        <v>2.591637601</v>
      </c>
      <c r="E344" s="57">
        <f t="shared" si="49"/>
        <v>1.9066965960909088</v>
      </c>
      <c r="F344" s="68">
        <v>5.3364930000000003E-3</v>
      </c>
      <c r="G344" s="111">
        <f t="shared" si="50"/>
        <v>-0.68494100490909116</v>
      </c>
      <c r="H344" s="111">
        <f t="shared" si="51"/>
        <v>0.31480900149999802</v>
      </c>
      <c r="I344" s="74">
        <f>MAX(0,MIN(O344,H343*2,(D344-Sheet1!$C$3)))</f>
        <v>0.68494100490909116</v>
      </c>
      <c r="J344" s="9">
        <f>IF(F344&gt;VLOOKUP($B$16,$B$2:$F$9,5,FALSE),MAX(N344,-F344*(VLOOKUP(B344,$B$2:$E$9,4,FALSE)),-2*(6-H343),-(VLOOKUP(B344,$B$2:$G$9,6,FALSE)-D344)),0)</f>
        <v>0</v>
      </c>
      <c r="K344" s="60">
        <f t="shared" si="48"/>
        <v>0</v>
      </c>
      <c r="L344" s="59"/>
      <c r="M344" s="59"/>
      <c r="N344" s="69">
        <v>0</v>
      </c>
      <c r="O344" s="69">
        <v>2.5</v>
      </c>
      <c r="P344" s="112"/>
      <c r="Q344" s="112"/>
    </row>
    <row r="345" spans="1:17" x14ac:dyDescent="0.3">
      <c r="A345" s="38">
        <f t="shared" si="47"/>
        <v>43</v>
      </c>
      <c r="B345" s="38">
        <v>7</v>
      </c>
      <c r="C345" s="31">
        <v>43310.875</v>
      </c>
      <c r="D345" s="32">
        <v>2.5711418240000001</v>
      </c>
      <c r="E345" s="33">
        <f t="shared" si="49"/>
        <v>2.5711418240000001</v>
      </c>
      <c r="F345" s="39">
        <v>5.3364930000000003E-3</v>
      </c>
      <c r="G345" s="97">
        <f t="shared" si="50"/>
        <v>0</v>
      </c>
      <c r="H345" s="97">
        <f t="shared" si="51"/>
        <v>0.31480900149999802</v>
      </c>
      <c r="I345" s="72">
        <f>MAX(0,MIN(O345,H344*2,(D345-Sheet1!$C$3)))</f>
        <v>0</v>
      </c>
      <c r="J345" s="9">
        <f>IF(F345&gt;VLOOKUP($B$16,$B$2:$F$9,5,FALSE),MAX(N345,-F345*(VLOOKUP(B345,$B$2:$E$9,4,FALSE)),-2*(6-H344),-(VLOOKUP(B345,$B$2:$G$9,6,FALSE)-D345)),0)</f>
        <v>0</v>
      </c>
      <c r="K345" s="40">
        <f t="shared" si="48"/>
        <v>0</v>
      </c>
      <c r="L345" s="34"/>
      <c r="M345" s="34"/>
      <c r="N345" s="30">
        <v>0</v>
      </c>
      <c r="O345" s="30">
        <v>0</v>
      </c>
      <c r="P345" s="2"/>
      <c r="Q345" s="2"/>
    </row>
    <row r="346" spans="1:17" x14ac:dyDescent="0.3">
      <c r="A346" s="35">
        <f t="shared" si="47"/>
        <v>44</v>
      </c>
      <c r="B346" s="35">
        <v>7</v>
      </c>
      <c r="C346" s="14">
        <v>43310.895833333336</v>
      </c>
      <c r="D346" s="18">
        <v>2.3953088139999998</v>
      </c>
      <c r="E346" s="19">
        <f t="shared" si="49"/>
        <v>2.3953088139999998</v>
      </c>
      <c r="F346" s="16">
        <v>5.3364930000000003E-3</v>
      </c>
      <c r="G346" s="10">
        <f t="shared" si="50"/>
        <v>0</v>
      </c>
      <c r="H346" s="10">
        <f t="shared" si="51"/>
        <v>0.31480900149999802</v>
      </c>
      <c r="I346" s="73">
        <f>MAX(0,MIN(O346,H345*2,(D346-Sheet1!$C$3)))</f>
        <v>0</v>
      </c>
      <c r="J346" s="9">
        <f>IF(F346&gt;VLOOKUP($B$16,$B$2:$F$9,5,FALSE),MAX(N346,-F346*(VLOOKUP(B346,$B$2:$E$9,4,FALSE)),-2*(6-H345),-(VLOOKUP(B346,$B$2:$G$9,6,FALSE)-D346)),0)</f>
        <v>0</v>
      </c>
      <c r="K346" s="9">
        <f t="shared" si="48"/>
        <v>0</v>
      </c>
      <c r="L346" s="11"/>
      <c r="M346" s="11"/>
      <c r="N346" s="8">
        <v>0</v>
      </c>
      <c r="O346" s="8">
        <v>0</v>
      </c>
      <c r="P346" s="2"/>
      <c r="Q346" s="2"/>
    </row>
    <row r="347" spans="1:17" x14ac:dyDescent="0.3">
      <c r="A347" s="35">
        <f t="shared" si="47"/>
        <v>45</v>
      </c>
      <c r="B347" s="35">
        <v>7</v>
      </c>
      <c r="C347" s="14">
        <v>43310.916666666664</v>
      </c>
      <c r="D347" s="18">
        <v>2.1456691939999999</v>
      </c>
      <c r="E347" s="19">
        <f t="shared" si="49"/>
        <v>2.1456691939999999</v>
      </c>
      <c r="F347" s="16">
        <v>5.3364930000000003E-3</v>
      </c>
      <c r="G347" s="10">
        <f t="shared" si="50"/>
        <v>0</v>
      </c>
      <c r="H347" s="10">
        <f t="shared" si="51"/>
        <v>0.31480900149999802</v>
      </c>
      <c r="I347" s="73">
        <f>MAX(0,MIN(O347,H346*2,(D347-Sheet1!$C$3)))</f>
        <v>0</v>
      </c>
      <c r="J347" s="9">
        <f>IF(F347&gt;VLOOKUP($B$16,$B$2:$F$9,5,FALSE),MAX(N347,-F347*(VLOOKUP(B347,$B$2:$E$9,4,FALSE)),-2*(6-H346),-(VLOOKUP(B347,$B$2:$G$9,6,FALSE)-D347)),0)</f>
        <v>0</v>
      </c>
      <c r="K347" s="9">
        <f t="shared" si="48"/>
        <v>0</v>
      </c>
      <c r="L347" s="11"/>
      <c r="M347" s="11"/>
      <c r="N347" s="8">
        <v>0</v>
      </c>
      <c r="O347" s="8">
        <v>0</v>
      </c>
      <c r="P347" s="2"/>
      <c r="Q347" s="2"/>
    </row>
    <row r="348" spans="1:17" x14ac:dyDescent="0.3">
      <c r="A348" s="35">
        <f t="shared" si="47"/>
        <v>46</v>
      </c>
      <c r="B348" s="35">
        <v>7</v>
      </c>
      <c r="C348" s="14">
        <v>43310.9375</v>
      </c>
      <c r="D348" s="18">
        <v>1.91298568</v>
      </c>
      <c r="E348" s="19">
        <f t="shared" si="49"/>
        <v>1.91298568</v>
      </c>
      <c r="F348" s="16">
        <v>5.3364930000000003E-3</v>
      </c>
      <c r="G348" s="10">
        <f t="shared" si="50"/>
        <v>0</v>
      </c>
      <c r="H348" s="10">
        <f t="shared" si="51"/>
        <v>0.31480900149999802</v>
      </c>
      <c r="I348" s="73">
        <f>MAX(0,MIN(O348,H347*2,(D348-Sheet1!$C$3)))</f>
        <v>0</v>
      </c>
      <c r="J348" s="9">
        <f>IF(F348&gt;VLOOKUP($B$16,$B$2:$F$9,5,FALSE),MAX(N348,-F348*(VLOOKUP(B348,$B$2:$E$9,4,FALSE)),-2*(6-H347),-(VLOOKUP(B348,$B$2:$G$9,6,FALSE)-D348)),0)</f>
        <v>0</v>
      </c>
      <c r="K348" s="9">
        <f t="shared" si="48"/>
        <v>0</v>
      </c>
      <c r="L348" s="11"/>
      <c r="M348" s="11"/>
      <c r="N348" s="8">
        <v>0</v>
      </c>
      <c r="O348" s="8">
        <v>0</v>
      </c>
      <c r="P348" s="2"/>
      <c r="Q348" s="2"/>
    </row>
    <row r="349" spans="1:17" x14ac:dyDescent="0.3">
      <c r="A349" s="37">
        <f t="shared" si="47"/>
        <v>47</v>
      </c>
      <c r="B349" s="37">
        <v>7</v>
      </c>
      <c r="C349" s="24">
        <v>43310.958333391201</v>
      </c>
      <c r="D349" s="25">
        <v>1.800951628</v>
      </c>
      <c r="E349" s="26">
        <f t="shared" si="49"/>
        <v>1.800951628</v>
      </c>
      <c r="F349" s="27">
        <v>1.831472E-3</v>
      </c>
      <c r="G349" s="98">
        <f t="shared" si="50"/>
        <v>0</v>
      </c>
      <c r="H349" s="98">
        <f t="shared" si="51"/>
        <v>0.31480900149999802</v>
      </c>
      <c r="I349" s="93">
        <f>MAX(0,MIN(O349,H348*2,(D349-Sheet1!$C$3)))</f>
        <v>0</v>
      </c>
      <c r="J349" s="9">
        <f>IF(F349&gt;VLOOKUP($B$16,$B$2:$F$9,5,FALSE),MAX(N349,-F349*(VLOOKUP(B349,$B$2:$E$9,4,FALSE)),-2*(6-H348),-(VLOOKUP(B349,$B$2:$G$9,6,FALSE)-D349)),0)</f>
        <v>0</v>
      </c>
      <c r="K349" s="42">
        <f t="shared" si="48"/>
        <v>0</v>
      </c>
      <c r="L349" s="28"/>
      <c r="M349" s="28"/>
      <c r="N349" s="23">
        <v>0</v>
      </c>
      <c r="O349" s="23">
        <v>0</v>
      </c>
      <c r="P349" s="2"/>
      <c r="Q349" s="2"/>
    </row>
    <row r="350" spans="1:17" s="110" customFormat="1" ht="15" thickBot="1" x14ac:dyDescent="0.35">
      <c r="A350" s="99">
        <f t="shared" si="47"/>
        <v>48</v>
      </c>
      <c r="B350" s="99">
        <v>7</v>
      </c>
      <c r="C350" s="100">
        <v>43310.97916678241</v>
      </c>
      <c r="D350" s="101">
        <v>1.7036656290000001</v>
      </c>
      <c r="E350" s="102">
        <f t="shared" si="49"/>
        <v>1.7036656290000001</v>
      </c>
      <c r="F350" s="103">
        <v>1.831472E-3</v>
      </c>
      <c r="G350" s="104">
        <f t="shared" si="50"/>
        <v>0</v>
      </c>
      <c r="H350" s="104">
        <f t="shared" si="51"/>
        <v>0.31480900149999802</v>
      </c>
      <c r="I350" s="105">
        <f>MAX(0,MIN(O350,H349*2,(D350-Sheet1!$C$3)))</f>
        <v>0</v>
      </c>
      <c r="J350" s="9">
        <f>IF(F350&gt;VLOOKUP($B$16,$B$2:$F$9,5,FALSE),MAX(N350,-F350*(VLOOKUP(B350,$B$2:$E$9,4,FALSE)),-2*(6-H349),-(VLOOKUP(B350,$B$2:$G$9,6,FALSE)-D350)),0)</f>
        <v>0</v>
      </c>
      <c r="K350" s="106">
        <f t="shared" si="48"/>
        <v>0</v>
      </c>
      <c r="L350" s="107"/>
      <c r="M350" s="107"/>
      <c r="N350" s="108">
        <v>0</v>
      </c>
      <c r="O350" s="108">
        <v>0</v>
      </c>
      <c r="P350" s="109"/>
      <c r="Q350" s="109"/>
    </row>
    <row r="351" spans="1:17" x14ac:dyDescent="0.3">
      <c r="P351" s="2"/>
      <c r="Q351" s="2"/>
    </row>
    <row r="352" spans="1:17" x14ac:dyDescent="0.3">
      <c r="P352" s="2"/>
      <c r="Q352" s="2"/>
    </row>
    <row r="353" spans="16:17" x14ac:dyDescent="0.3">
      <c r="P353" s="2"/>
      <c r="Q353" s="2"/>
    </row>
    <row r="354" spans="16:17" x14ac:dyDescent="0.3">
      <c r="P354" s="2"/>
      <c r="Q354" s="2"/>
    </row>
  </sheetData>
  <autoFilter ref="A14:AC350" xr:uid="{5D5006B3-7891-47D6-A95E-DC8BC80B9628}"/>
  <mergeCells count="1">
    <mergeCell ref="L1:L2"/>
  </mergeCells>
  <conditionalFormatting sqref="D14:D348 D351:D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{458599E6-722D-43E1-AE0A-7732DFC687BF}</x14:id>
        </ext>
      </extLst>
    </cfRule>
  </conditionalFormatting>
  <conditionalFormatting sqref="D349:D3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50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{95D2EE61-CB1B-48AB-BA6B-0D1623387A7E}</x14:id>
        </ext>
      </extLst>
    </cfRule>
  </conditionalFormatting>
  <conditionalFormatting sqref="F15:F6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{88E690CC-98DF-4D20-8D3C-DB152B36B720}</x14:id>
        </ext>
      </extLst>
    </cfRule>
  </conditionalFormatting>
  <conditionalFormatting sqref="F63:F11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{5F1B5DD3-F5CF-4C1B-A459-A358B866D534}</x14:id>
        </ext>
      </extLst>
    </cfRule>
  </conditionalFormatting>
  <conditionalFormatting sqref="E15:E6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5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{F22EE42B-78B4-4755-9E44-CDDCE9060B56}</x14:id>
        </ext>
      </extLst>
    </cfRule>
  </conditionalFormatting>
  <conditionalFormatting sqref="F159:F20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{209FD931-55D1-4353-87F6-EA96C34526B4}</x14:id>
        </ext>
      </extLst>
    </cfRule>
  </conditionalFormatting>
  <conditionalFormatting sqref="F207:F25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{41E937D9-2DB5-4754-A7A2-02624BE4938E}</x14:id>
        </ext>
      </extLst>
    </cfRule>
  </conditionalFormatting>
  <conditionalFormatting sqref="F255:F30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{B9890A81-C0DA-435C-A064-69895D2D34D2}</x14:id>
        </ext>
      </extLst>
    </cfRule>
  </conditionalFormatting>
  <conditionalFormatting sqref="F303:F35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{9B477F1E-3344-42A2-B94F-328BBA979AD3}</x14:id>
        </ext>
      </extLst>
    </cfRule>
  </conditionalFormatting>
  <conditionalFormatting sqref="H15:H350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{463C13FB-B241-4085-8E2A-8C0838A8FDCD}</x14:id>
        </ext>
      </extLst>
    </cfRule>
  </conditionalFormatting>
  <conditionalFormatting sqref="E63:E1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{0CA340EF-9202-4E6F-879B-2386E3EB1AE2}</x14:id>
        </ext>
      </extLst>
    </cfRule>
  </conditionalFormatting>
  <conditionalFormatting sqref="L15:L62">
    <cfRule type="colorScale" priority="3">
      <colorScale>
        <cfvo type="min"/>
        <cfvo type="max"/>
        <color rgb="FF63BE7B"/>
        <color rgb="FFFFEF9C"/>
      </colorScale>
    </cfRule>
  </conditionalFormatting>
  <conditionalFormatting sqref="K3:K9">
    <cfRule type="cellIs" dxfId="1" priority="2" operator="notEqual">
      <formula>0</formula>
    </cfRule>
  </conditionalFormatting>
  <conditionalFormatting sqref="K15:K35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8599E6-722D-43E1-AE0A-7732DFC68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95D2EE61-CB1B-48AB-BA6B-0D1623387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88E690CC-98DF-4D20-8D3C-DB152B36B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F15:F62</xm:sqref>
        </x14:conditionalFormatting>
        <x14:conditionalFormatting xmlns:xm="http://schemas.microsoft.com/office/excel/2006/main">
          <x14:cfRule type="dataBar" id="{5F1B5DD3-F5CF-4C1B-A459-A358B866D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F63:F110</xm:sqref>
        </x14:conditionalFormatting>
        <x14:conditionalFormatting xmlns:xm="http://schemas.microsoft.com/office/excel/2006/main">
          <x14:cfRule type="dataBar" id="{F22EE42B-78B4-4755-9E44-CDDCE9060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F111:F158</xm:sqref>
        </x14:conditionalFormatting>
        <x14:conditionalFormatting xmlns:xm="http://schemas.microsoft.com/office/excel/2006/main">
          <x14:cfRule type="dataBar" id="{209FD931-55D1-4353-87F6-EA96C3452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F159:F206</xm:sqref>
        </x14:conditionalFormatting>
        <x14:conditionalFormatting xmlns:xm="http://schemas.microsoft.com/office/excel/2006/main">
          <x14:cfRule type="dataBar" id="{41E937D9-2DB5-4754-A7A2-02624BE49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F207:F254</xm:sqref>
        </x14:conditionalFormatting>
        <x14:conditionalFormatting xmlns:xm="http://schemas.microsoft.com/office/excel/2006/main">
          <x14:cfRule type="dataBar" id="{B9890A81-C0DA-435C-A064-69895D2D3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F255:F302</xm:sqref>
        </x14:conditionalFormatting>
        <x14:conditionalFormatting xmlns:xm="http://schemas.microsoft.com/office/excel/2006/main">
          <x14:cfRule type="dataBar" id="{9B477F1E-3344-42A2-B94F-328BBA979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F303:F350</xm:sqref>
        </x14:conditionalFormatting>
        <x14:conditionalFormatting xmlns:xm="http://schemas.microsoft.com/office/excel/2006/main">
          <x14:cfRule type="dataBar" id="{463C13FB-B241-4085-8E2A-8C0838A8FD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0CA340EF-9202-4E6F-879B-2386E3EB1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8F28-1970-4429-B5CB-EB3A3AF9F58F}">
  <dimension ref="A1:K9"/>
  <sheetViews>
    <sheetView workbookViewId="0">
      <selection sqref="A1:K9"/>
    </sheetView>
  </sheetViews>
  <sheetFormatPr defaultRowHeight="14.4" x14ac:dyDescent="0.3"/>
  <cols>
    <col min="1" max="1" width="2.109375" bestFit="1" customWidth="1"/>
  </cols>
  <sheetData>
    <row r="1" spans="1:11" x14ac:dyDescent="0.3">
      <c r="A1" s="135"/>
      <c r="B1" s="136"/>
      <c r="C1" s="136"/>
      <c r="D1" s="136"/>
      <c r="E1" s="136"/>
      <c r="F1" s="136"/>
      <c r="G1" s="136"/>
      <c r="H1" s="136"/>
      <c r="I1" s="136"/>
      <c r="J1" s="76" t="s">
        <v>26</v>
      </c>
      <c r="K1" s="76" t="s">
        <v>27</v>
      </c>
    </row>
    <row r="2" spans="1:11" x14ac:dyDescent="0.3">
      <c r="A2" s="76" t="s">
        <v>11</v>
      </c>
      <c r="B2" s="76" t="s">
        <v>14</v>
      </c>
      <c r="C2" s="76" t="s">
        <v>15</v>
      </c>
      <c r="D2" s="76" t="s">
        <v>12</v>
      </c>
      <c r="E2" s="76" t="s">
        <v>18</v>
      </c>
      <c r="F2" s="76" t="s">
        <v>19</v>
      </c>
      <c r="G2" s="76" t="s">
        <v>28</v>
      </c>
      <c r="H2" s="76" t="s">
        <v>23</v>
      </c>
      <c r="I2" s="76" t="s">
        <v>20</v>
      </c>
      <c r="J2" s="76" t="s">
        <v>24</v>
      </c>
      <c r="K2" s="76" t="s">
        <v>25</v>
      </c>
    </row>
    <row r="3" spans="1:11" x14ac:dyDescent="0.3">
      <c r="A3" s="79">
        <v>1</v>
      </c>
      <c r="B3" s="77">
        <f>MAX(peakd1)</f>
        <v>3.2347108800000002</v>
      </c>
      <c r="C3" s="80">
        <f>(SUM(peakd1)-12)/COUNTA(peakd1)</f>
        <v>1.9066965960909088</v>
      </c>
      <c r="D3" s="77">
        <v>3.2</v>
      </c>
      <c r="E3" s="75">
        <f>MAX(newPeakd1)</f>
        <v>1.906696596090911</v>
      </c>
      <c r="F3" s="75">
        <f>SUM(chargingSolard1)/2</f>
        <v>23.216264039999999</v>
      </c>
      <c r="G3" s="77">
        <f>SUM(solarCharged1)</f>
        <v>-12</v>
      </c>
      <c r="H3" s="77">
        <f>SUM(gridTopUpd1)</f>
        <v>0</v>
      </c>
      <c r="I3" s="134">
        <f t="shared" ref="I3:I9" si="0">(StartPeakd1-E3)/StartPeakd1</f>
        <v>0.41055115377393142</v>
      </c>
      <c r="J3" s="77"/>
      <c r="K3" s="77"/>
    </row>
    <row r="4" spans="1:11" x14ac:dyDescent="0.3">
      <c r="A4" s="79">
        <v>2</v>
      </c>
      <c r="B4" s="77">
        <f>MAX(peakd2)</f>
        <v>3.239753662</v>
      </c>
      <c r="C4" s="80">
        <f>(SUM(peakd2)-12)/COUNTA(peakd2)</f>
        <v>1.919738196454545</v>
      </c>
      <c r="D4" s="77">
        <v>3.2</v>
      </c>
      <c r="E4" s="75">
        <f>MAX(newPeakd2)</f>
        <v>1.9197381964545506</v>
      </c>
      <c r="F4" s="75">
        <f>SUM(chargingSolard2)/2</f>
        <v>24.669655740999996</v>
      </c>
      <c r="G4" s="77">
        <f>SUM(solarCharged2)</f>
        <v>-12</v>
      </c>
      <c r="H4" s="77">
        <f>SUM(gridTopUpd2)</f>
        <v>0</v>
      </c>
      <c r="I4" s="134">
        <f t="shared" si="0"/>
        <v>0.40651938684098082</v>
      </c>
      <c r="J4" s="77"/>
      <c r="K4" s="77"/>
    </row>
    <row r="5" spans="1:11" x14ac:dyDescent="0.3">
      <c r="A5" s="79">
        <v>3</v>
      </c>
      <c r="B5" s="77">
        <f>MAX(peakd3)</f>
        <v>3.1615813880000001</v>
      </c>
      <c r="C5" s="80">
        <f>(SUM(peakd2)-12)/COUNTA(peakd3)</f>
        <v>1.919738196454545</v>
      </c>
      <c r="D5" s="77">
        <v>3.2</v>
      </c>
      <c r="E5" s="75">
        <f>MAX(newPeakd3)</f>
        <v>1.9066965960909088</v>
      </c>
      <c r="F5" s="75">
        <f>SUM(chargingSolard3)/2</f>
        <v>25.724700763000001</v>
      </c>
      <c r="G5" s="77">
        <f>SUM(solarCharged3)</f>
        <v>-12</v>
      </c>
      <c r="H5" s="77">
        <f>SUM(gridTopUpd3)</f>
        <v>0</v>
      </c>
      <c r="I5" s="134">
        <f t="shared" si="0"/>
        <v>0.41055115377393214</v>
      </c>
      <c r="J5" s="77"/>
      <c r="K5" s="77"/>
    </row>
    <row r="6" spans="1:11" x14ac:dyDescent="0.3">
      <c r="A6" s="79">
        <v>4</v>
      </c>
      <c r="B6" s="77">
        <f>MAX(peakd4)</f>
        <v>3.1236041910000001</v>
      </c>
      <c r="C6" s="80">
        <f>(SUM(peakd3)-12)/COUNTA(peakd3)</f>
        <v>1.8914588093636366</v>
      </c>
      <c r="D6" s="77">
        <v>3.2</v>
      </c>
      <c r="E6" s="75">
        <f>MAX(newPeakd4)</f>
        <v>1.9066965960909088</v>
      </c>
      <c r="F6" s="75">
        <f>SUM(chargingSolard4)/2</f>
        <v>22.108774245999996</v>
      </c>
      <c r="G6" s="77">
        <f>SUM(solarCharged4)</f>
        <v>-12</v>
      </c>
      <c r="H6" s="77">
        <f>SUM(gridTopUpd4)</f>
        <v>0</v>
      </c>
      <c r="I6" s="134">
        <f t="shared" si="0"/>
        <v>0.41055115377393214</v>
      </c>
      <c r="J6" s="77"/>
      <c r="K6" s="77"/>
    </row>
    <row r="7" spans="1:11" x14ac:dyDescent="0.3">
      <c r="A7" s="79">
        <v>5</v>
      </c>
      <c r="B7" s="77">
        <f>MAX(peakd5)</f>
        <v>3.073930759</v>
      </c>
      <c r="C7" s="80">
        <f>(SUM(peakd4)-12)/COUNTA(peakd4)</f>
        <v>1.855375937</v>
      </c>
      <c r="D7" s="77">
        <v>3.2</v>
      </c>
      <c r="E7" s="75">
        <f>MAX(newPeakd5)</f>
        <v>1.9066965960909088</v>
      </c>
      <c r="F7" s="75">
        <f>SUM(chargingSolard5)/2</f>
        <v>14.886071519499996</v>
      </c>
      <c r="G7" s="77">
        <f>SUM(solarCharged5)</f>
        <v>-12</v>
      </c>
      <c r="H7" s="77">
        <f>SUM(gridTopUpd5)</f>
        <v>0</v>
      </c>
      <c r="I7" s="134">
        <f t="shared" si="0"/>
        <v>0.41055115377393214</v>
      </c>
      <c r="J7" s="77"/>
      <c r="K7" s="77"/>
    </row>
    <row r="8" spans="1:11" x14ac:dyDescent="0.3">
      <c r="A8" s="79">
        <v>6</v>
      </c>
      <c r="B8" s="77">
        <f>MAX(peakd6)</f>
        <v>3.163495406</v>
      </c>
      <c r="C8" s="80">
        <f>(SUM(peakd5)-12)/COUNTA(peakd5)</f>
        <v>1.8033711687272729</v>
      </c>
      <c r="D8" s="77">
        <v>3.2</v>
      </c>
      <c r="E8" s="75">
        <f>MAX(newPeakd6)</f>
        <v>1.9066965960909088</v>
      </c>
      <c r="F8" s="75">
        <f>SUM(chargingSolard6)/2</f>
        <v>15.160015523999999</v>
      </c>
      <c r="G8" s="77">
        <f>SUM(solarCharged6)</f>
        <v>-12</v>
      </c>
      <c r="H8" s="77">
        <f>SUM(gridTopUpd6)</f>
        <v>0</v>
      </c>
      <c r="I8" s="134">
        <f t="shared" si="0"/>
        <v>0.41055115377393214</v>
      </c>
      <c r="J8" s="77"/>
      <c r="K8" s="77"/>
    </row>
    <row r="9" spans="1:11" x14ac:dyDescent="0.3">
      <c r="A9" s="79">
        <v>7</v>
      </c>
      <c r="B9" s="77">
        <f>MAX(peakd7)</f>
        <v>3.1953945309999998</v>
      </c>
      <c r="C9" s="80">
        <f>(SUM(peakd6)-12)/COUNTA(peakd6)</f>
        <v>1.8360169815454548</v>
      </c>
      <c r="D9" s="77">
        <v>3.2</v>
      </c>
      <c r="E9" s="75">
        <f>MAX(newPeakd7)</f>
        <v>1.9066965960909088</v>
      </c>
      <c r="F9" s="75">
        <f>SUM(chargingSolard7)/2</f>
        <v>14.437666386999998</v>
      </c>
      <c r="G9" s="77">
        <f>SUM(solarCharged7)</f>
        <v>-12</v>
      </c>
      <c r="H9" s="77">
        <f>SUM(gridTopUpd7)</f>
        <v>0</v>
      </c>
      <c r="I9" s="134">
        <f t="shared" si="0"/>
        <v>0.41055115377393214</v>
      </c>
      <c r="J9" s="77"/>
      <c r="K9" s="77"/>
    </row>
  </sheetData>
  <conditionalFormatting sqref="H3:H9">
    <cfRule type="cellIs" dxfId="2" priority="1" operator="not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Y 5 C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N Y 5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O Q l I o i k e 4 D g A A A B E A A A A T A B w A R m 9 y b X V s Y X M v U 2 V j d G l v b j E u b S C i G A A o o B Q A A A A A A A A A A A A A A A A A A A A A A A A A A A A r T k 0 u y c z P U w i G 0 I b W A F B L A Q I t A B Q A A g A I A D W O Q l L 5 V E c 6 p A A A A P U A A A A S A A A A A A A A A A A A A A A A A A A A A A B D b 2 5 m a W c v U G F j a 2 F n Z S 5 4 b W x Q S w E C L Q A U A A I A C A A 1 j k J S D 8 r p q 6 Q A A A D p A A A A E w A A A A A A A A A A A A A A A A D w A A A A W 0 N v b n R l b n R f V H l w Z X N d L n h t b F B L A Q I t A B Q A A g A I A D W O Q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K m l O 9 k E P R o u t 6 8 x 7 m W B h A A A A A A I A A A A A A B B m A A A A A Q A A I A A A A G L 5 Y h 7 y H 1 U H C o S j O G r i L 5 6 b P 7 u f x E b z g N B B 4 x I V F w R Y A A A A A A 6 A A A A A A g A A I A A A A P 3 z 9 P C B m l n L 8 z H t v R 7 N R F y n n Z X a h z 5 Q R a 7 T C i n 7 U f O E U A A A A B 3 s h + H r M 4 M z q a i y Z f t p o V 6 p h c 7 o M / + A h l + J J Z L Y + + G F L n K + c p 5 X T L N O i v B u a M F I V G H o L 8 b t p 8 x u C D 2 U f H c / 6 u O D I 9 d N 9 e e J s L J G I 3 X B 4 b A 7 Q A A A A B B / Y u 9 A x T T i s X M Q I C 9 R i m y 4 F S 0 w N / T 7 n m 8 V b n E x T L D q c J M V H I 1 I c S I 7 s O / X U g / a B + G s J n U R 4 3 d Q a 0 6 T 5 f s j m 8 g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86</vt:i4>
      </vt:variant>
    </vt:vector>
  </HeadingPairs>
  <TitlesOfParts>
    <vt:vector size="89" baseType="lpstr">
      <vt:lpstr>task0ForecastsPVandDemand_Run1</vt:lpstr>
      <vt:lpstr>task0ForecastsPVandDemand_R (2)</vt:lpstr>
      <vt:lpstr>Sheet1</vt:lpstr>
      <vt:lpstr>'task0ForecastsPVandDemand_R (2)'!chargingSolard1</vt:lpstr>
      <vt:lpstr>chargingSolard1</vt:lpstr>
      <vt:lpstr>'task0ForecastsPVandDemand_R (2)'!chargingSolard2</vt:lpstr>
      <vt:lpstr>chargingSolard2</vt:lpstr>
      <vt:lpstr>'task0ForecastsPVandDemand_R (2)'!chargingSolard3</vt:lpstr>
      <vt:lpstr>chargingSolard3</vt:lpstr>
      <vt:lpstr>'task0ForecastsPVandDemand_R (2)'!chargingSolard4</vt:lpstr>
      <vt:lpstr>chargingSolard4</vt:lpstr>
      <vt:lpstr>'task0ForecastsPVandDemand_R (2)'!chargingSolard5</vt:lpstr>
      <vt:lpstr>chargingSolard5</vt:lpstr>
      <vt:lpstr>'task0ForecastsPVandDemand_R (2)'!chargingSolard6</vt:lpstr>
      <vt:lpstr>chargingSolard6</vt:lpstr>
      <vt:lpstr>'task0ForecastsPVandDemand_R (2)'!chargingSolard7</vt:lpstr>
      <vt:lpstr>chargingSolard7</vt:lpstr>
      <vt:lpstr>'task0ForecastsPVandDemand_R (2)'!gridTopUpd1</vt:lpstr>
      <vt:lpstr>gridTopUpd1</vt:lpstr>
      <vt:lpstr>'task0ForecastsPVandDemand_R (2)'!gridTopUpd2</vt:lpstr>
      <vt:lpstr>gridTopUpd2</vt:lpstr>
      <vt:lpstr>'task0ForecastsPVandDemand_R (2)'!gridTopUpd3</vt:lpstr>
      <vt:lpstr>gridTopUpd3</vt:lpstr>
      <vt:lpstr>'task0ForecastsPVandDemand_R (2)'!gridTopUpd4</vt:lpstr>
      <vt:lpstr>gridTopUpd4</vt:lpstr>
      <vt:lpstr>'task0ForecastsPVandDemand_R (2)'!gridTopUpd5</vt:lpstr>
      <vt:lpstr>gridTopUpd5</vt:lpstr>
      <vt:lpstr>'task0ForecastsPVandDemand_R (2)'!gridTopUpd6</vt:lpstr>
      <vt:lpstr>gridTopUpd6</vt:lpstr>
      <vt:lpstr>'task0ForecastsPVandDemand_R (2)'!gridTopUpd7</vt:lpstr>
      <vt:lpstr>gridTopUpd7</vt:lpstr>
      <vt:lpstr>'task0ForecastsPVandDemand_R (2)'!newPeakd1</vt:lpstr>
      <vt:lpstr>newPeakd1</vt:lpstr>
      <vt:lpstr>'task0ForecastsPVandDemand_R (2)'!newPeakd2</vt:lpstr>
      <vt:lpstr>newPeakd2</vt:lpstr>
      <vt:lpstr>'task0ForecastsPVandDemand_R (2)'!newPeakd3</vt:lpstr>
      <vt:lpstr>newPeakd3</vt:lpstr>
      <vt:lpstr>'task0ForecastsPVandDemand_R (2)'!newPeakd4</vt:lpstr>
      <vt:lpstr>newPeakd4</vt:lpstr>
      <vt:lpstr>'task0ForecastsPVandDemand_R (2)'!newPeakd5</vt:lpstr>
      <vt:lpstr>newPeakd5</vt:lpstr>
      <vt:lpstr>'task0ForecastsPVandDemand_R (2)'!newPeakd6</vt:lpstr>
      <vt:lpstr>newPeakd6</vt:lpstr>
      <vt:lpstr>'task0ForecastsPVandDemand_R (2)'!newPeakd7</vt:lpstr>
      <vt:lpstr>newPeakd7</vt:lpstr>
      <vt:lpstr>'task0ForecastsPVandDemand_R (2)'!peakd1</vt:lpstr>
      <vt:lpstr>peakd1</vt:lpstr>
      <vt:lpstr>'task0ForecastsPVandDemand_R (2)'!peakd2</vt:lpstr>
      <vt:lpstr>peakd2</vt:lpstr>
      <vt:lpstr>'task0ForecastsPVandDemand_R (2)'!peakd3</vt:lpstr>
      <vt:lpstr>peakd3</vt:lpstr>
      <vt:lpstr>'task0ForecastsPVandDemand_R (2)'!peakd4</vt:lpstr>
      <vt:lpstr>peakd4</vt:lpstr>
      <vt:lpstr>'task0ForecastsPVandDemand_R (2)'!peakd5</vt:lpstr>
      <vt:lpstr>peakd5</vt:lpstr>
      <vt:lpstr>'task0ForecastsPVandDemand_R (2)'!peakd6</vt:lpstr>
      <vt:lpstr>peakd6</vt:lpstr>
      <vt:lpstr>'task0ForecastsPVandDemand_R (2)'!peakd7</vt:lpstr>
      <vt:lpstr>peakd7</vt:lpstr>
      <vt:lpstr>'task0ForecastsPVandDemand_R (2)'!pvRIskF1</vt:lpstr>
      <vt:lpstr>pvRIskF1</vt:lpstr>
      <vt:lpstr>'task0ForecastsPVandDemand_R (2)'!solarCharged1</vt:lpstr>
      <vt:lpstr>solarCharged1</vt:lpstr>
      <vt:lpstr>'task0ForecastsPVandDemand_R (2)'!solarCharged2</vt:lpstr>
      <vt:lpstr>solarCharged2</vt:lpstr>
      <vt:lpstr>'task0ForecastsPVandDemand_R (2)'!solarCharged3</vt:lpstr>
      <vt:lpstr>solarCharged3</vt:lpstr>
      <vt:lpstr>'task0ForecastsPVandDemand_R (2)'!solarCharged4</vt:lpstr>
      <vt:lpstr>solarCharged4</vt:lpstr>
      <vt:lpstr>'task0ForecastsPVandDemand_R (2)'!solarCharged5</vt:lpstr>
      <vt:lpstr>solarCharged5</vt:lpstr>
      <vt:lpstr>'task0ForecastsPVandDemand_R (2)'!solarCharged6</vt:lpstr>
      <vt:lpstr>solarCharged6</vt:lpstr>
      <vt:lpstr>'task0ForecastsPVandDemand_R (2)'!solarCharged7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2021-02-06T00:31:20Z</dcterms:modified>
</cp:coreProperties>
</file>