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SmartControl\Flyback\Tarjeta_flyback\sensado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O27" i="1" l="1"/>
  <c r="O47" i="1"/>
  <c r="O50" i="1" s="1"/>
  <c r="O46" i="1"/>
  <c r="O49" i="1" s="1"/>
  <c r="S48" i="1"/>
  <c r="R49" i="1" l="1"/>
  <c r="S49" i="1" s="1"/>
  <c r="S51" i="1" s="1"/>
  <c r="O22" i="1"/>
  <c r="O25" i="1" s="1"/>
  <c r="O28" i="1" s="1"/>
  <c r="R27" i="1" s="1"/>
  <c r="S27" i="1" s="1"/>
  <c r="S29" i="1" s="1"/>
  <c r="S26" i="1"/>
  <c r="O24" i="1"/>
  <c r="F36" i="1"/>
  <c r="F72" i="1" l="1"/>
  <c r="F55" i="1"/>
  <c r="O62" i="1"/>
  <c r="O72" i="1" s="1"/>
  <c r="O68" i="1" s="1"/>
  <c r="J70" i="1"/>
  <c r="J72" i="1" s="1"/>
  <c r="J53" i="1"/>
  <c r="J55" i="1" s="1"/>
  <c r="J35" i="1"/>
  <c r="J37" i="1" s="1"/>
  <c r="F35" i="1"/>
  <c r="C31" i="1"/>
  <c r="C32" i="1"/>
  <c r="C30" i="1"/>
  <c r="O69" i="1" l="1"/>
  <c r="P75" i="1" s="1"/>
  <c r="F26" i="1"/>
  <c r="F29" i="1" s="1"/>
  <c r="F33" i="1"/>
  <c r="C68" i="1"/>
  <c r="C67" i="1"/>
  <c r="C69" i="1"/>
  <c r="C50" i="1"/>
  <c r="C45" i="1"/>
  <c r="C47" i="1" s="1"/>
  <c r="F57" i="1" l="1"/>
  <c r="F56" i="1"/>
  <c r="F43" i="1"/>
  <c r="F49" i="1" s="1"/>
  <c r="P74" i="1"/>
  <c r="P73" i="1"/>
  <c r="F27" i="1"/>
  <c r="F63" i="1"/>
  <c r="F66" i="1" s="1"/>
  <c r="F74" i="1"/>
  <c r="F73" i="1"/>
  <c r="F37" i="1"/>
  <c r="M10" i="1"/>
  <c r="M9" i="1"/>
  <c r="C16" i="1"/>
  <c r="C7" i="1"/>
  <c r="C9" i="1" s="1"/>
  <c r="C6" i="1"/>
  <c r="C4" i="1"/>
  <c r="F47" i="1" l="1"/>
  <c r="J52" i="1" s="1"/>
  <c r="J34" i="1"/>
  <c r="J36" i="1"/>
  <c r="J38" i="1" s="1"/>
  <c r="F64" i="1"/>
  <c r="M11" i="1"/>
  <c r="N13" i="1" s="1"/>
  <c r="J54" i="1" l="1"/>
  <c r="J56" i="1" s="1"/>
  <c r="J71" i="1"/>
  <c r="J73" i="1" s="1"/>
  <c r="J69" i="1"/>
</calcChain>
</file>

<file path=xl/sharedStrings.xml><?xml version="1.0" encoding="utf-8"?>
<sst xmlns="http://schemas.openxmlformats.org/spreadsheetml/2006/main" count="206" uniqueCount="109">
  <si>
    <t>R1</t>
  </si>
  <si>
    <t>R2</t>
  </si>
  <si>
    <t>C1</t>
  </si>
  <si>
    <t>C2</t>
  </si>
  <si>
    <t>C3</t>
  </si>
  <si>
    <t>f</t>
  </si>
  <si>
    <t>ffiltro</t>
  </si>
  <si>
    <t>R</t>
  </si>
  <si>
    <t>C</t>
  </si>
  <si>
    <t>bits</t>
  </si>
  <si>
    <t>V</t>
  </si>
  <si>
    <t>Rshunt</t>
  </si>
  <si>
    <t>Delta Corriente</t>
  </si>
  <si>
    <t>A</t>
  </si>
  <si>
    <t>Ohm</t>
  </si>
  <si>
    <t>Bits ADC</t>
  </si>
  <si>
    <t>Rango I ADC</t>
  </si>
  <si>
    <t>V/step</t>
  </si>
  <si>
    <t>steps</t>
  </si>
  <si>
    <t>%</t>
  </si>
  <si>
    <t>KHz</t>
  </si>
  <si>
    <t>Ganancia sensor</t>
  </si>
  <si>
    <t>Ganancia instru</t>
  </si>
  <si>
    <t>Vin1</t>
  </si>
  <si>
    <t>Vin2</t>
  </si>
  <si>
    <t>K</t>
  </si>
  <si>
    <t>Vsen1</t>
  </si>
  <si>
    <t>Vsen2</t>
  </si>
  <si>
    <t>Spam ADC</t>
  </si>
  <si>
    <t>Vref</t>
  </si>
  <si>
    <t>Rg inst</t>
  </si>
  <si>
    <t>Kohm</t>
  </si>
  <si>
    <t>G</t>
  </si>
  <si>
    <t>Rg comercial</t>
  </si>
  <si>
    <t>Vref comercial</t>
  </si>
  <si>
    <t>V ADC1</t>
  </si>
  <si>
    <t>V ADC2</t>
  </si>
  <si>
    <t>I sensado</t>
  </si>
  <si>
    <t>270+56</t>
  </si>
  <si>
    <t>uA</t>
  </si>
  <si>
    <t>Vmin</t>
  </si>
  <si>
    <t>Vmax</t>
  </si>
  <si>
    <t>ID max</t>
  </si>
  <si>
    <t>hom</t>
  </si>
  <si>
    <t>Gsen</t>
  </si>
  <si>
    <t>V max sen</t>
  </si>
  <si>
    <t>Vmin sen</t>
  </si>
  <si>
    <t>V instr min</t>
  </si>
  <si>
    <t>V instr max</t>
  </si>
  <si>
    <t>offset</t>
  </si>
  <si>
    <t>TENSION ENTRADA</t>
  </si>
  <si>
    <t>CORRIENTE DIODO</t>
  </si>
  <si>
    <t>Vout1</t>
  </si>
  <si>
    <t>Vout2</t>
  </si>
  <si>
    <t>Comercial</t>
  </si>
  <si>
    <t>TENSION SALIDA</t>
  </si>
  <si>
    <t>tensión diodo</t>
  </si>
  <si>
    <t>num diodos</t>
  </si>
  <si>
    <t>ESCALÓN TENSION ENTRADA</t>
  </si>
  <si>
    <t>GANANCIA INA126</t>
  </si>
  <si>
    <t>Vref TL431</t>
  </si>
  <si>
    <t>Vref tl431</t>
  </si>
  <si>
    <t>Vref ideal</t>
  </si>
  <si>
    <t>dif</t>
  </si>
  <si>
    <t>VkA</t>
  </si>
  <si>
    <t>VkA ideal</t>
  </si>
  <si>
    <t>k</t>
  </si>
  <si>
    <t>51k + 8k2</t>
  </si>
  <si>
    <t>12k + 100R</t>
  </si>
  <si>
    <t>Vo</t>
  </si>
  <si>
    <t>n</t>
  </si>
  <si>
    <t>d</t>
  </si>
  <si>
    <t>Vi</t>
  </si>
  <si>
    <t>R80</t>
  </si>
  <si>
    <t>R83</t>
  </si>
  <si>
    <t>R82</t>
  </si>
  <si>
    <t>25W</t>
  </si>
  <si>
    <t>Pot max</t>
  </si>
  <si>
    <t>step (1/0)</t>
  </si>
  <si>
    <t>pot tot [W]</t>
  </si>
  <si>
    <t>corriente [A]</t>
  </si>
  <si>
    <t>Pot R</t>
  </si>
  <si>
    <t>Vo = Vi x n x (d/1-d)</t>
  </si>
  <si>
    <t>FLYBACK</t>
  </si>
  <si>
    <t>Si = 1/No = 0</t>
  </si>
  <si>
    <t>Para Vi = 15, d max = 0,65</t>
  </si>
  <si>
    <t>Para Vi = 18, d max = 0,585</t>
  </si>
  <si>
    <t>Para Vi = 18, d min = 0,32</t>
  </si>
  <si>
    <t>Para Vi = 15, d in = 0,362</t>
  </si>
  <si>
    <t>39k+3k3+1k+1k</t>
  </si>
  <si>
    <t>15k + 220R</t>
  </si>
  <si>
    <t>56k</t>
  </si>
  <si>
    <t>56k + 1k8 + 100R</t>
  </si>
  <si>
    <t>ESCALÓN TENSION ENTRADA ESPERADO</t>
  </si>
  <si>
    <t>Vin max</t>
  </si>
  <si>
    <t>Vin min</t>
  </si>
  <si>
    <t>Vsen max</t>
  </si>
  <si>
    <t>Vsen min</t>
  </si>
  <si>
    <t>V ADC max</t>
  </si>
  <si>
    <t>V ADC min</t>
  </si>
  <si>
    <t>Escalon [V]</t>
  </si>
  <si>
    <t>% uso</t>
  </si>
  <si>
    <t>Suponiendo que la Vin baja un 10% más de lo esperado</t>
  </si>
  <si>
    <t>Span ADC</t>
  </si>
  <si>
    <t>CORRIENTE ESPERADA</t>
  </si>
  <si>
    <t>I max</t>
  </si>
  <si>
    <t>I min</t>
  </si>
  <si>
    <t>Isen max</t>
  </si>
  <si>
    <t>Isen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</si>
</sst>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7499</xdr:colOff>
      <xdr:row>0</xdr:row>
      <xdr:rowOff>190499</xdr:rowOff>
    </xdr:from>
    <xdr:to>
      <xdr:col>8</xdr:col>
      <xdr:colOff>752475</xdr:colOff>
      <xdr:row>16</xdr:row>
      <xdr:rowOff>91068</xdr:rowOff>
    </xdr:to>
    <xdr:pic>
      <xdr:nvPicPr>
        <xdr:cNvPr id="2" name="Imagen 1" descr="http://circuits.datasheetdir.com/33/INA121-circuit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674" y="190499"/>
          <a:ext cx="4002526" cy="2948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19</xdr:row>
      <xdr:rowOff>104775</xdr:rowOff>
    </xdr:from>
    <xdr:to>
      <xdr:col>5</xdr:col>
      <xdr:colOff>304644</xdr:colOff>
      <xdr:row>22</xdr:row>
      <xdr:rowOff>85656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3724275"/>
          <a:ext cx="1247619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20</xdr:row>
      <xdr:rowOff>47625</xdr:rowOff>
    </xdr:from>
    <xdr:to>
      <xdr:col>10</xdr:col>
      <xdr:colOff>523588</xdr:colOff>
      <xdr:row>28</xdr:row>
      <xdr:rowOff>9339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3775" y="3857625"/>
          <a:ext cx="2295238" cy="148571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</xdr:row>
      <xdr:rowOff>76200</xdr:rowOff>
    </xdr:from>
    <xdr:to>
      <xdr:col>12</xdr:col>
      <xdr:colOff>9525</xdr:colOff>
      <xdr:row>57</xdr:row>
      <xdr:rowOff>123825</xdr:rowOff>
    </xdr:to>
    <xdr:cxnSp macro="">
      <xdr:nvCxnSpPr>
        <xdr:cNvPr id="6" name="Conector recto 5"/>
        <xdr:cNvCxnSpPr/>
      </xdr:nvCxnSpPr>
      <xdr:spPr>
        <a:xfrm>
          <a:off x="6562725" y="8839200"/>
          <a:ext cx="3533775" cy="21431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</xdr:row>
      <xdr:rowOff>104776</xdr:rowOff>
    </xdr:from>
    <xdr:to>
      <xdr:col>12</xdr:col>
      <xdr:colOff>19050</xdr:colOff>
      <xdr:row>57</xdr:row>
      <xdr:rowOff>85725</xdr:rowOff>
    </xdr:to>
    <xdr:cxnSp macro="">
      <xdr:nvCxnSpPr>
        <xdr:cNvPr id="7" name="Conector recto 6"/>
        <xdr:cNvCxnSpPr/>
      </xdr:nvCxnSpPr>
      <xdr:spPr>
        <a:xfrm flipV="1">
          <a:off x="6562725" y="8867776"/>
          <a:ext cx="3543300" cy="207644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63</xdr:row>
      <xdr:rowOff>47625</xdr:rowOff>
    </xdr:from>
    <xdr:to>
      <xdr:col>12</xdr:col>
      <xdr:colOff>0</xdr:colOff>
      <xdr:row>74</xdr:row>
      <xdr:rowOff>95250</xdr:rowOff>
    </xdr:to>
    <xdr:cxnSp macro="">
      <xdr:nvCxnSpPr>
        <xdr:cNvPr id="11" name="Conector recto 10"/>
        <xdr:cNvCxnSpPr/>
      </xdr:nvCxnSpPr>
      <xdr:spPr>
        <a:xfrm>
          <a:off x="6553200" y="12049125"/>
          <a:ext cx="3533775" cy="21431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63</xdr:row>
      <xdr:rowOff>76202</xdr:rowOff>
    </xdr:from>
    <xdr:to>
      <xdr:col>12</xdr:col>
      <xdr:colOff>9525</xdr:colOff>
      <xdr:row>74</xdr:row>
      <xdr:rowOff>104775</xdr:rowOff>
    </xdr:to>
    <xdr:cxnSp macro="">
      <xdr:nvCxnSpPr>
        <xdr:cNvPr id="12" name="Conector recto 11"/>
        <xdr:cNvCxnSpPr/>
      </xdr:nvCxnSpPr>
      <xdr:spPr>
        <a:xfrm flipV="1">
          <a:off x="6562725" y="12077702"/>
          <a:ext cx="3533775" cy="212407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25</xdr:row>
      <xdr:rowOff>142875</xdr:rowOff>
    </xdr:from>
    <xdr:to>
      <xdr:col>15</xdr:col>
      <xdr:colOff>457200</xdr:colOff>
      <xdr:row>28</xdr:row>
      <xdr:rowOff>0</xdr:rowOff>
    </xdr:to>
    <xdr:sp macro="" textlink="">
      <xdr:nvSpPr>
        <xdr:cNvPr id="5" name="Cerrar llave 4"/>
        <xdr:cNvSpPr/>
      </xdr:nvSpPr>
      <xdr:spPr>
        <a:xfrm>
          <a:off x="12954000" y="4905375"/>
          <a:ext cx="142875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47</xdr:row>
      <xdr:rowOff>142875</xdr:rowOff>
    </xdr:from>
    <xdr:to>
      <xdr:col>15</xdr:col>
      <xdr:colOff>419100</xdr:colOff>
      <xdr:row>50</xdr:row>
      <xdr:rowOff>0</xdr:rowOff>
    </xdr:to>
    <xdr:sp macro="" textlink="">
      <xdr:nvSpPr>
        <xdr:cNvPr id="10" name="Cerrar llave 9"/>
        <xdr:cNvSpPr/>
      </xdr:nvSpPr>
      <xdr:spPr>
        <a:xfrm>
          <a:off x="12954000" y="9096375"/>
          <a:ext cx="104775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75"/>
  <sheetViews>
    <sheetView tabSelected="1" topLeftCell="A31" workbookViewId="0">
      <selection activeCell="H58" sqref="H47:M58"/>
    </sheetView>
  </sheetViews>
  <sheetFormatPr baseColWidth="10" defaultRowHeight="15" x14ac:dyDescent="0.25"/>
  <cols>
    <col min="2" max="2" width="15.28515625" bestFit="1" customWidth="1"/>
    <col min="5" max="5" width="14.5703125" bestFit="1" customWidth="1"/>
    <col min="10" max="10" width="15.42578125" bestFit="1" customWidth="1"/>
    <col min="12" max="13" width="14.5703125" bestFit="1" customWidth="1"/>
    <col min="14" max="14" width="12.28515625" bestFit="1" customWidth="1"/>
    <col min="18" max="18" width="12.85546875" customWidth="1"/>
    <col min="20" max="20" width="11.42578125" style="4"/>
  </cols>
  <sheetData>
    <row r="3" spans="2:14" x14ac:dyDescent="0.25">
      <c r="B3" t="s">
        <v>0</v>
      </c>
      <c r="C3">
        <v>75</v>
      </c>
      <c r="L3" t="s">
        <v>15</v>
      </c>
      <c r="M3">
        <v>12</v>
      </c>
      <c r="N3" s="4" t="s">
        <v>9</v>
      </c>
    </row>
    <row r="4" spans="2:14" x14ac:dyDescent="0.25">
      <c r="B4" t="s">
        <v>1</v>
      </c>
      <c r="C4">
        <f>C3</f>
        <v>75</v>
      </c>
      <c r="L4" t="s">
        <v>16</v>
      </c>
      <c r="M4">
        <v>3.3</v>
      </c>
      <c r="N4" s="4" t="s">
        <v>10</v>
      </c>
    </row>
    <row r="5" spans="2:14" x14ac:dyDescent="0.25">
      <c r="B5" t="s">
        <v>2</v>
      </c>
      <c r="C5" s="1">
        <v>1E-8</v>
      </c>
      <c r="N5" s="4"/>
    </row>
    <row r="6" spans="2:14" x14ac:dyDescent="0.25">
      <c r="B6" t="s">
        <v>3</v>
      </c>
      <c r="C6" s="1">
        <f>C5</f>
        <v>1E-8</v>
      </c>
      <c r="L6" t="s">
        <v>11</v>
      </c>
      <c r="M6">
        <v>0.02</v>
      </c>
      <c r="N6" s="4" t="s">
        <v>14</v>
      </c>
    </row>
    <row r="7" spans="2:14" x14ac:dyDescent="0.25">
      <c r="B7" t="s">
        <v>4</v>
      </c>
      <c r="C7" s="1">
        <f>C5*10</f>
        <v>9.9999999999999995E-8</v>
      </c>
      <c r="L7" t="s">
        <v>12</v>
      </c>
      <c r="M7" s="2">
        <v>1.8</v>
      </c>
      <c r="N7" s="5" t="s">
        <v>13</v>
      </c>
    </row>
    <row r="8" spans="2:14" x14ac:dyDescent="0.25">
      <c r="N8" s="4"/>
    </row>
    <row r="9" spans="2:14" x14ac:dyDescent="0.25">
      <c r="B9" s="2" t="s">
        <v>5</v>
      </c>
      <c r="C9" s="3">
        <f>(1/(4*PI()*C3*(C7+(C5/2))))/1000</f>
        <v>10.105075751866373</v>
      </c>
      <c r="D9" s="2" t="s">
        <v>20</v>
      </c>
      <c r="M9">
        <f>M7*M6</f>
        <v>3.6000000000000004E-2</v>
      </c>
      <c r="N9" s="4" t="s">
        <v>10</v>
      </c>
    </row>
    <row r="10" spans="2:14" x14ac:dyDescent="0.25">
      <c r="M10">
        <f>M4/2^M3</f>
        <v>8.0566406249999996E-4</v>
      </c>
      <c r="N10" s="4" t="s">
        <v>17</v>
      </c>
    </row>
    <row r="11" spans="2:14" x14ac:dyDescent="0.25">
      <c r="M11" s="2">
        <f>M9/M10</f>
        <v>44.683636363636374</v>
      </c>
      <c r="N11" s="5" t="s">
        <v>18</v>
      </c>
    </row>
    <row r="12" spans="2:14" x14ac:dyDescent="0.25">
      <c r="N12" s="4"/>
    </row>
    <row r="13" spans="2:14" x14ac:dyDescent="0.25">
      <c r="B13" t="s">
        <v>7</v>
      </c>
      <c r="C13">
        <v>680</v>
      </c>
      <c r="M13" t="s">
        <v>19</v>
      </c>
      <c r="N13" s="4">
        <f>(M11/2^M3)*100</f>
        <v>1.0909090909090913</v>
      </c>
    </row>
    <row r="14" spans="2:14" x14ac:dyDescent="0.25">
      <c r="B14" t="s">
        <v>8</v>
      </c>
      <c r="C14" s="1">
        <v>2.1999999999999998E-8</v>
      </c>
    </row>
    <row r="16" spans="2:14" x14ac:dyDescent="0.25">
      <c r="B16" s="2" t="s">
        <v>6</v>
      </c>
      <c r="C16" s="2">
        <f>(1/(2*PI()*C13*C14))/1000</f>
        <v>10.63869940453846</v>
      </c>
      <c r="D16" s="2" t="s">
        <v>20</v>
      </c>
    </row>
    <row r="19" spans="2:20" x14ac:dyDescent="0.25">
      <c r="B19" s="7" t="s">
        <v>58</v>
      </c>
      <c r="E19" s="7" t="s">
        <v>59</v>
      </c>
      <c r="I19" s="7" t="s">
        <v>60</v>
      </c>
      <c r="N19" s="7" t="s">
        <v>93</v>
      </c>
    </row>
    <row r="20" spans="2:20" x14ac:dyDescent="0.25">
      <c r="B20" t="s">
        <v>56</v>
      </c>
      <c r="C20">
        <v>0.875</v>
      </c>
    </row>
    <row r="21" spans="2:20" x14ac:dyDescent="0.25">
      <c r="B21" t="s">
        <v>57</v>
      </c>
      <c r="C21">
        <v>5</v>
      </c>
      <c r="N21" t="s">
        <v>94</v>
      </c>
      <c r="O21">
        <v>18</v>
      </c>
    </row>
    <row r="22" spans="2:20" x14ac:dyDescent="0.25">
      <c r="N22" t="s">
        <v>95</v>
      </c>
      <c r="O22">
        <f>(O21-C21*C20)*0.9</f>
        <v>12.262500000000001</v>
      </c>
      <c r="Q22" t="s">
        <v>102</v>
      </c>
    </row>
    <row r="23" spans="2:20" x14ac:dyDescent="0.25">
      <c r="B23" s="7" t="s">
        <v>50</v>
      </c>
    </row>
    <row r="24" spans="2:20" x14ac:dyDescent="0.25">
      <c r="N24" t="s">
        <v>96</v>
      </c>
      <c r="O24">
        <f>O21*C$27/($C$26+$C$27)</f>
        <v>0.93103448275862066</v>
      </c>
    </row>
    <row r="25" spans="2:20" x14ac:dyDescent="0.25">
      <c r="B25" s="2" t="s">
        <v>21</v>
      </c>
      <c r="C25" s="2">
        <v>1</v>
      </c>
      <c r="E25" s="2" t="s">
        <v>28</v>
      </c>
      <c r="F25" s="2">
        <v>3.3</v>
      </c>
      <c r="G25" s="2" t="s">
        <v>10</v>
      </c>
      <c r="I25" s="2"/>
      <c r="M25" s="2"/>
      <c r="N25" s="2" t="s">
        <v>97</v>
      </c>
      <c r="O25">
        <f>O22*C$27/($C$26+$C$27)</f>
        <v>0.63426724137931045</v>
      </c>
      <c r="R25" t="s">
        <v>103</v>
      </c>
      <c r="S25" t="s">
        <v>18</v>
      </c>
    </row>
    <row r="26" spans="2:20" x14ac:dyDescent="0.25">
      <c r="B26" s="11" t="s">
        <v>0</v>
      </c>
      <c r="C26" s="11">
        <v>330</v>
      </c>
      <c r="D26" t="s">
        <v>25</v>
      </c>
      <c r="E26" t="s">
        <v>22</v>
      </c>
      <c r="F26">
        <f>F25/(C30-C31)</f>
        <v>6.379999999999999</v>
      </c>
      <c r="I26" s="2"/>
      <c r="R26">
        <v>3.3</v>
      </c>
      <c r="S26">
        <f>2^12</f>
        <v>4096</v>
      </c>
    </row>
    <row r="27" spans="2:20" x14ac:dyDescent="0.25">
      <c r="B27" s="11" t="s">
        <v>1</v>
      </c>
      <c r="C27" s="11">
        <v>18</v>
      </c>
      <c r="D27" t="s">
        <v>25</v>
      </c>
      <c r="E27" t="s">
        <v>29</v>
      </c>
      <c r="F27">
        <f>-C31*F26</f>
        <v>-3.3</v>
      </c>
      <c r="G27" t="s">
        <v>10</v>
      </c>
      <c r="H27" s="8"/>
      <c r="I27" s="2"/>
      <c r="N27" t="s">
        <v>98</v>
      </c>
      <c r="O27">
        <f>F35*O24+F33</f>
        <v>2.6166021254111858</v>
      </c>
      <c r="Q27" t="s">
        <v>100</v>
      </c>
      <c r="R27">
        <f>O27-O28</f>
        <v>1.8938773003394669</v>
      </c>
      <c r="S27">
        <f>S26*R27/R26</f>
        <v>2350.7034612698353</v>
      </c>
    </row>
    <row r="28" spans="2:20" x14ac:dyDescent="0.25">
      <c r="B28" s="2" t="s">
        <v>23</v>
      </c>
      <c r="C28" s="2">
        <v>20</v>
      </c>
      <c r="D28" t="s">
        <v>10</v>
      </c>
      <c r="I28" s="2"/>
      <c r="N28" t="s">
        <v>99</v>
      </c>
      <c r="O28">
        <f>F35*O25+F33</f>
        <v>0.72272482507171887</v>
      </c>
    </row>
    <row r="29" spans="2:20" x14ac:dyDescent="0.25">
      <c r="B29" s="2" t="s">
        <v>24</v>
      </c>
      <c r="C29" s="2">
        <v>10</v>
      </c>
      <c r="D29" t="s">
        <v>10</v>
      </c>
      <c r="E29" t="s">
        <v>30</v>
      </c>
      <c r="F29">
        <f>80/(F26-5)</f>
        <v>57.971014492753667</v>
      </c>
      <c r="G29" t="s">
        <v>31</v>
      </c>
      <c r="I29" s="2"/>
      <c r="J29" s="2"/>
      <c r="R29" t="s">
        <v>101</v>
      </c>
      <c r="S29">
        <f>S27*100/S26</f>
        <v>57.390221222408087</v>
      </c>
    </row>
    <row r="30" spans="2:20" x14ac:dyDescent="0.25">
      <c r="B30" t="s">
        <v>26</v>
      </c>
      <c r="C30">
        <f>C28*C$27/($C$26+$C$27)</f>
        <v>1.0344827586206897</v>
      </c>
      <c r="D30" t="s">
        <v>10</v>
      </c>
    </row>
    <row r="31" spans="2:20" x14ac:dyDescent="0.25">
      <c r="B31" t="s">
        <v>27</v>
      </c>
      <c r="C31">
        <f>C29*C$27/($C$26+$C$27)</f>
        <v>0.51724137931034486</v>
      </c>
      <c r="D31" t="s">
        <v>10</v>
      </c>
      <c r="F31" s="10" t="s">
        <v>92</v>
      </c>
      <c r="I31" s="2" t="s">
        <v>61</v>
      </c>
      <c r="J31">
        <v>2.4950000000000001</v>
      </c>
      <c r="L31" t="s">
        <v>54</v>
      </c>
      <c r="R31" s="6"/>
      <c r="S31" s="6"/>
      <c r="T31" s="2"/>
    </row>
    <row r="32" spans="2:20" x14ac:dyDescent="0.25">
      <c r="B32" s="2" t="s">
        <v>37</v>
      </c>
      <c r="C32">
        <f>C28/(C26+C27)*1000</f>
        <v>57.47126436781609</v>
      </c>
      <c r="D32" t="s">
        <v>39</v>
      </c>
      <c r="E32" s="10" t="s">
        <v>33</v>
      </c>
      <c r="F32" s="10">
        <v>57.9</v>
      </c>
      <c r="G32" t="s">
        <v>31</v>
      </c>
      <c r="I32" s="9" t="s">
        <v>0</v>
      </c>
      <c r="J32" s="10">
        <v>56</v>
      </c>
      <c r="K32" s="10" t="s">
        <v>66</v>
      </c>
      <c r="L32" t="s">
        <v>91</v>
      </c>
      <c r="Q32" s="2"/>
    </row>
    <row r="33" spans="2:19" x14ac:dyDescent="0.25">
      <c r="E33" t="s">
        <v>34</v>
      </c>
      <c r="F33">
        <f>J37</f>
        <v>-3.3249737187910657</v>
      </c>
      <c r="I33" s="9" t="s">
        <v>1</v>
      </c>
      <c r="J33" s="10">
        <v>15.22</v>
      </c>
      <c r="K33" s="10" t="s">
        <v>66</v>
      </c>
      <c r="L33" t="s">
        <v>90</v>
      </c>
      <c r="Q33" s="2"/>
    </row>
    <row r="34" spans="2:19" x14ac:dyDescent="0.25">
      <c r="G34" t="s">
        <v>10</v>
      </c>
      <c r="I34" s="2" t="s">
        <v>65</v>
      </c>
      <c r="J34">
        <f>F27+15</f>
        <v>11.7</v>
      </c>
    </row>
    <row r="35" spans="2:19" x14ac:dyDescent="0.25">
      <c r="E35" t="s">
        <v>32</v>
      </c>
      <c r="F35">
        <f>5+(80/F32)</f>
        <v>6.3816925734024181</v>
      </c>
      <c r="I35" s="2" t="s">
        <v>64</v>
      </c>
      <c r="J35">
        <f>J31*(1+J32/J33)</f>
        <v>11.675026281208934</v>
      </c>
    </row>
    <row r="36" spans="2:19" x14ac:dyDescent="0.25">
      <c r="E36" t="s">
        <v>35</v>
      </c>
      <c r="F36">
        <f>F35*C30+F33</f>
        <v>3.2767772192114366</v>
      </c>
      <c r="I36" s="2" t="s">
        <v>62</v>
      </c>
      <c r="J36">
        <f>F27</f>
        <v>-3.3</v>
      </c>
    </row>
    <row r="37" spans="2:19" x14ac:dyDescent="0.25">
      <c r="E37" t="s">
        <v>36</v>
      </c>
      <c r="F37">
        <f>F35*C31+F33</f>
        <v>-2.4098249789814563E-2</v>
      </c>
      <c r="I37" s="2" t="s">
        <v>29</v>
      </c>
      <c r="J37">
        <f>-15+J35</f>
        <v>-3.3249737187910657</v>
      </c>
    </row>
    <row r="38" spans="2:19" x14ac:dyDescent="0.25">
      <c r="I38" s="2" t="s">
        <v>63</v>
      </c>
      <c r="J38">
        <f>J37-J36</f>
        <v>-2.4973718791065913E-2</v>
      </c>
    </row>
    <row r="39" spans="2:19" x14ac:dyDescent="0.25">
      <c r="I39" s="2"/>
    </row>
    <row r="40" spans="2:19" x14ac:dyDescent="0.25">
      <c r="B40" s="7" t="s">
        <v>51</v>
      </c>
    </row>
    <row r="41" spans="2:19" x14ac:dyDescent="0.25">
      <c r="N41" s="7" t="s">
        <v>104</v>
      </c>
    </row>
    <row r="42" spans="2:19" x14ac:dyDescent="0.25">
      <c r="B42" s="2" t="s">
        <v>42</v>
      </c>
      <c r="C42" s="2">
        <v>8</v>
      </c>
      <c r="D42" s="2" t="s">
        <v>13</v>
      </c>
      <c r="E42" s="2" t="s">
        <v>28</v>
      </c>
      <c r="F42" s="2">
        <v>3.3</v>
      </c>
      <c r="G42" s="2" t="s">
        <v>10</v>
      </c>
      <c r="K42" s="2"/>
    </row>
    <row r="43" spans="2:19" x14ac:dyDescent="0.25">
      <c r="B43" s="2" t="s">
        <v>11</v>
      </c>
      <c r="C43" s="2">
        <v>0.01</v>
      </c>
      <c r="D43" s="2" t="s">
        <v>43</v>
      </c>
      <c r="E43" t="s">
        <v>22</v>
      </c>
      <c r="F43">
        <f>F42/(C49-C50)</f>
        <v>5.0304878048780495</v>
      </c>
      <c r="K43" s="2"/>
      <c r="N43" t="s">
        <v>105</v>
      </c>
      <c r="O43">
        <v>3</v>
      </c>
    </row>
    <row r="44" spans="2:19" x14ac:dyDescent="0.25">
      <c r="B44" s="2" t="s">
        <v>40</v>
      </c>
      <c r="C44" s="2">
        <v>0</v>
      </c>
      <c r="D44" s="2" t="s">
        <v>10</v>
      </c>
      <c r="K44" s="2"/>
      <c r="N44" t="s">
        <v>106</v>
      </c>
      <c r="O44">
        <v>1</v>
      </c>
      <c r="Q44" t="s">
        <v>102</v>
      </c>
    </row>
    <row r="45" spans="2:19" x14ac:dyDescent="0.25">
      <c r="B45" t="s">
        <v>41</v>
      </c>
      <c r="C45">
        <f>C42*C43</f>
        <v>0.08</v>
      </c>
      <c r="D45" t="s">
        <v>10</v>
      </c>
      <c r="K45" s="2"/>
    </row>
    <row r="46" spans="2:19" x14ac:dyDescent="0.25">
      <c r="B46" s="2" t="s">
        <v>44</v>
      </c>
      <c r="C46" s="2">
        <v>8.1999999999999993</v>
      </c>
      <c r="N46" t="s">
        <v>107</v>
      </c>
      <c r="O46">
        <f>O43*C43*C46</f>
        <v>0.24599999999999997</v>
      </c>
    </row>
    <row r="47" spans="2:19" x14ac:dyDescent="0.25">
      <c r="B47" s="2" t="s">
        <v>45</v>
      </c>
      <c r="C47">
        <f>C46*C45</f>
        <v>0.65599999999999992</v>
      </c>
      <c r="E47" t="s">
        <v>29</v>
      </c>
      <c r="F47">
        <f>-C50*F43</f>
        <v>0</v>
      </c>
      <c r="G47" t="s">
        <v>10</v>
      </c>
      <c r="N47" s="2" t="s">
        <v>108</v>
      </c>
      <c r="O47">
        <f>O44*C43*C46</f>
        <v>8.199999999999999E-2</v>
      </c>
      <c r="R47" t="s">
        <v>103</v>
      </c>
      <c r="S47" t="s">
        <v>18</v>
      </c>
    </row>
    <row r="48" spans="2:19" x14ac:dyDescent="0.25">
      <c r="B48" s="2" t="s">
        <v>46</v>
      </c>
      <c r="C48">
        <v>0</v>
      </c>
      <c r="R48">
        <v>3.3</v>
      </c>
      <c r="S48">
        <f>2^12</f>
        <v>4096</v>
      </c>
    </row>
    <row r="49" spans="2:20" x14ac:dyDescent="0.25">
      <c r="B49" s="2" t="s">
        <v>48</v>
      </c>
      <c r="C49">
        <f>C47</f>
        <v>0.65599999999999992</v>
      </c>
      <c r="E49" t="s">
        <v>30</v>
      </c>
      <c r="F49">
        <f>80/(F43-5)</f>
        <v>2623.9999999999404</v>
      </c>
      <c r="G49" t="s">
        <v>31</v>
      </c>
      <c r="H49" t="s">
        <v>38</v>
      </c>
      <c r="I49" s="2" t="s">
        <v>61</v>
      </c>
      <c r="J49">
        <v>2.4950000000000001</v>
      </c>
      <c r="L49" t="s">
        <v>54</v>
      </c>
      <c r="N49" t="s">
        <v>98</v>
      </c>
      <c r="O49">
        <f>F55*O46+F53</f>
        <v>1.2372888888888887</v>
      </c>
      <c r="Q49" t="s">
        <v>100</v>
      </c>
      <c r="R49">
        <f>O49-O50</f>
        <v>0.96673505185185171</v>
      </c>
      <c r="S49">
        <f>S48*R49/R48</f>
        <v>1199.923264359147</v>
      </c>
    </row>
    <row r="50" spans="2:20" x14ac:dyDescent="0.25">
      <c r="B50" s="2" t="s">
        <v>47</v>
      </c>
      <c r="C50">
        <f>C48/2</f>
        <v>0</v>
      </c>
      <c r="I50" s="9" t="s">
        <v>0</v>
      </c>
      <c r="J50" s="10">
        <v>12</v>
      </c>
      <c r="K50" s="10" t="s">
        <v>66</v>
      </c>
      <c r="L50" t="s">
        <v>67</v>
      </c>
      <c r="N50" t="s">
        <v>99</v>
      </c>
      <c r="O50">
        <f>F56*O47+F54</f>
        <v>0.27055383703703695</v>
      </c>
    </row>
    <row r="51" spans="2:20" x14ac:dyDescent="0.25">
      <c r="I51" s="9" t="s">
        <v>1</v>
      </c>
      <c r="J51" s="10">
        <v>12.1</v>
      </c>
      <c r="K51" s="10" t="s">
        <v>66</v>
      </c>
      <c r="L51" t="s">
        <v>68</v>
      </c>
      <c r="R51" t="s">
        <v>101</v>
      </c>
      <c r="S51">
        <f>S49*100/S48</f>
        <v>29.295001571268237</v>
      </c>
    </row>
    <row r="52" spans="2:20" x14ac:dyDescent="0.25">
      <c r="E52" s="10" t="s">
        <v>33</v>
      </c>
      <c r="F52" s="10">
        <v>2700</v>
      </c>
      <c r="G52" s="10" t="s">
        <v>31</v>
      </c>
      <c r="I52" s="2" t="s">
        <v>65</v>
      </c>
      <c r="J52">
        <f>F47+15</f>
        <v>15</v>
      </c>
    </row>
    <row r="53" spans="2:20" x14ac:dyDescent="0.25">
      <c r="E53" t="s">
        <v>34</v>
      </c>
      <c r="F53">
        <v>0</v>
      </c>
      <c r="I53" s="2" t="s">
        <v>64</v>
      </c>
      <c r="J53">
        <f>J49*(1+J50/J51)</f>
        <v>4.9693801652892562</v>
      </c>
    </row>
    <row r="54" spans="2:20" x14ac:dyDescent="0.25">
      <c r="G54" t="s">
        <v>10</v>
      </c>
      <c r="I54" s="2" t="s">
        <v>62</v>
      </c>
      <c r="J54">
        <f>F47</f>
        <v>0</v>
      </c>
      <c r="O54" s="2"/>
    </row>
    <row r="55" spans="2:20" x14ac:dyDescent="0.25">
      <c r="E55" t="s">
        <v>32</v>
      </c>
      <c r="F55">
        <f>5+(80/F52)</f>
        <v>5.0296296296296292</v>
      </c>
      <c r="I55" s="2" t="s">
        <v>29</v>
      </c>
      <c r="J55">
        <f>-15+J53</f>
        <v>-10.030619834710745</v>
      </c>
      <c r="O55" s="2"/>
    </row>
    <row r="56" spans="2:20" x14ac:dyDescent="0.25">
      <c r="E56" t="s">
        <v>35</v>
      </c>
      <c r="F56">
        <f>F55*C49+F53</f>
        <v>3.2994370370370363</v>
      </c>
      <c r="H56" t="s">
        <v>49</v>
      </c>
      <c r="I56" s="2" t="s">
        <v>63</v>
      </c>
      <c r="J56">
        <f>J55-J54</f>
        <v>-10.030619834710745</v>
      </c>
    </row>
    <row r="57" spans="2:20" x14ac:dyDescent="0.25">
      <c r="E57" t="s">
        <v>36</v>
      </c>
      <c r="F57">
        <f>F55*C50+F53</f>
        <v>0</v>
      </c>
    </row>
    <row r="58" spans="2:20" x14ac:dyDescent="0.25">
      <c r="N58" s="7" t="s">
        <v>83</v>
      </c>
    </row>
    <row r="60" spans="2:20" x14ac:dyDescent="0.25">
      <c r="B60" s="7" t="s">
        <v>55</v>
      </c>
      <c r="N60" t="s">
        <v>82</v>
      </c>
      <c r="R60" t="s">
        <v>85</v>
      </c>
    </row>
    <row r="61" spans="2:20" x14ac:dyDescent="0.25">
      <c r="R61" t="s">
        <v>86</v>
      </c>
    </row>
    <row r="62" spans="2:20" x14ac:dyDescent="0.25">
      <c r="B62" s="2" t="s">
        <v>21</v>
      </c>
      <c r="C62" s="2">
        <v>1</v>
      </c>
      <c r="E62" s="2" t="s">
        <v>28</v>
      </c>
      <c r="F62" s="2">
        <v>3.3</v>
      </c>
      <c r="G62" s="2" t="s">
        <v>10</v>
      </c>
      <c r="J62" s="2"/>
      <c r="K62" s="2"/>
      <c r="N62" t="s">
        <v>69</v>
      </c>
      <c r="O62">
        <f>O63*(O64/(1-O64))*O65</f>
        <v>19.722857142857144</v>
      </c>
      <c r="P62" t="s">
        <v>10</v>
      </c>
      <c r="R62" t="s">
        <v>88</v>
      </c>
      <c r="T62"/>
    </row>
    <row r="63" spans="2:20" x14ac:dyDescent="0.25">
      <c r="B63" s="2" t="s">
        <v>0</v>
      </c>
      <c r="C63" s="2">
        <v>330</v>
      </c>
      <c r="D63" t="s">
        <v>25</v>
      </c>
      <c r="E63" t="s">
        <v>22</v>
      </c>
      <c r="F63">
        <f>F62/(C67-C68)</f>
        <v>6.8052439024390239</v>
      </c>
      <c r="J63" s="2"/>
      <c r="K63" s="2"/>
      <c r="N63" s="2" t="s">
        <v>70</v>
      </c>
      <c r="O63" s="2">
        <v>0.59</v>
      </c>
      <c r="R63" t="s">
        <v>87</v>
      </c>
      <c r="T63"/>
    </row>
    <row r="64" spans="2:20" x14ac:dyDescent="0.25">
      <c r="B64" s="2" t="s">
        <v>1</v>
      </c>
      <c r="C64" s="2">
        <v>8.1999999999999993</v>
      </c>
      <c r="D64" t="s">
        <v>25</v>
      </c>
      <c r="E64" t="s">
        <v>29</v>
      </c>
      <c r="F64">
        <f>-C68*F63</f>
        <v>0</v>
      </c>
      <c r="G64" t="s">
        <v>10</v>
      </c>
      <c r="J64" s="2"/>
      <c r="K64" s="2"/>
      <c r="N64" s="2" t="s">
        <v>71</v>
      </c>
      <c r="O64" s="2">
        <v>0.65</v>
      </c>
    </row>
    <row r="65" spans="2:17" x14ac:dyDescent="0.25">
      <c r="B65" s="2" t="s">
        <v>52</v>
      </c>
      <c r="C65" s="2">
        <v>20</v>
      </c>
      <c r="D65" t="s">
        <v>10</v>
      </c>
      <c r="J65" s="2"/>
      <c r="K65" s="2"/>
      <c r="N65" s="2" t="s">
        <v>72</v>
      </c>
      <c r="O65">
        <v>18</v>
      </c>
      <c r="P65" t="s">
        <v>10</v>
      </c>
    </row>
    <row r="66" spans="2:17" x14ac:dyDescent="0.25">
      <c r="B66" s="2" t="s">
        <v>53</v>
      </c>
      <c r="C66" s="2">
        <v>0</v>
      </c>
      <c r="D66" t="s">
        <v>10</v>
      </c>
      <c r="E66" t="s">
        <v>30</v>
      </c>
      <c r="F66">
        <f>80/(F63-5)</f>
        <v>44.315341484834171</v>
      </c>
      <c r="G66" t="s">
        <v>31</v>
      </c>
      <c r="I66" s="2" t="s">
        <v>61</v>
      </c>
      <c r="J66">
        <v>2.4950000000000001</v>
      </c>
      <c r="L66" t="s">
        <v>54</v>
      </c>
      <c r="N66" s="2" t="s">
        <v>78</v>
      </c>
      <c r="O66" s="2">
        <v>0</v>
      </c>
      <c r="P66" t="s">
        <v>84</v>
      </c>
    </row>
    <row r="67" spans="2:17" x14ac:dyDescent="0.25">
      <c r="B67" t="s">
        <v>26</v>
      </c>
      <c r="C67">
        <f>C65*C$64/($C$63+$C$64)</f>
        <v>0.48492016558249557</v>
      </c>
      <c r="D67" t="s">
        <v>10</v>
      </c>
      <c r="I67" s="9" t="s">
        <v>0</v>
      </c>
      <c r="J67" s="10">
        <v>45.5</v>
      </c>
      <c r="K67" s="10" t="s">
        <v>66</v>
      </c>
    </row>
    <row r="68" spans="2:17" x14ac:dyDescent="0.25">
      <c r="B68" t="s">
        <v>27</v>
      </c>
      <c r="C68">
        <f>C66*C$64/($C$63+$C$64)</f>
        <v>0</v>
      </c>
      <c r="D68" t="s">
        <v>10</v>
      </c>
      <c r="F68" s="10" t="s">
        <v>89</v>
      </c>
      <c r="G68" s="10"/>
      <c r="I68" s="9" t="s">
        <v>1</v>
      </c>
      <c r="J68" s="10">
        <v>10</v>
      </c>
      <c r="K68" s="10" t="s">
        <v>66</v>
      </c>
      <c r="N68" t="s">
        <v>79</v>
      </c>
      <c r="O68">
        <f>O72*O72/(O73+O74+O66*O75)</f>
        <v>41.38203126356926</v>
      </c>
    </row>
    <row r="69" spans="2:17" x14ac:dyDescent="0.25">
      <c r="B69" s="2" t="s">
        <v>37</v>
      </c>
      <c r="C69">
        <f>C65/(C63+C64)*1000</f>
        <v>59.136605558840927</v>
      </c>
      <c r="D69" t="s">
        <v>39</v>
      </c>
      <c r="E69" s="10" t="s">
        <v>33</v>
      </c>
      <c r="F69" s="10">
        <v>44.3</v>
      </c>
      <c r="G69" s="10" t="s">
        <v>31</v>
      </c>
      <c r="I69" s="2" t="s">
        <v>65</v>
      </c>
      <c r="J69">
        <f>F64+15</f>
        <v>15</v>
      </c>
      <c r="N69" t="s">
        <v>80</v>
      </c>
      <c r="O69">
        <f>O72/(O73+O74+O66*O75)</f>
        <v>2.0981762917933131</v>
      </c>
    </row>
    <row r="70" spans="2:17" x14ac:dyDescent="0.25">
      <c r="E70" t="s">
        <v>34</v>
      </c>
      <c r="F70">
        <v>0</v>
      </c>
      <c r="G70" t="s">
        <v>10</v>
      </c>
      <c r="I70" s="2" t="s">
        <v>64</v>
      </c>
      <c r="J70">
        <f>J66*(1+J67/J68)</f>
        <v>13.847250000000001</v>
      </c>
    </row>
    <row r="71" spans="2:17" x14ac:dyDescent="0.25">
      <c r="I71" s="2" t="s">
        <v>62</v>
      </c>
      <c r="J71">
        <f>F64</f>
        <v>0</v>
      </c>
    </row>
    <row r="72" spans="2:17" x14ac:dyDescent="0.25">
      <c r="E72" t="s">
        <v>32</v>
      </c>
      <c r="F72">
        <f>5+(80/F69)</f>
        <v>6.8058690744920991</v>
      </c>
      <c r="I72" s="2" t="s">
        <v>29</v>
      </c>
      <c r="J72">
        <f>-15+J70</f>
        <v>-1.1527499999999993</v>
      </c>
      <c r="N72" t="s">
        <v>69</v>
      </c>
      <c r="O72">
        <f>O62</f>
        <v>19.722857142857144</v>
      </c>
      <c r="P72" t="s">
        <v>81</v>
      </c>
      <c r="Q72" t="s">
        <v>77</v>
      </c>
    </row>
    <row r="73" spans="2:17" x14ac:dyDescent="0.25">
      <c r="E73" t="s">
        <v>35</v>
      </c>
      <c r="F73">
        <f>F72*C67+F70</f>
        <v>3.3003031585354945</v>
      </c>
      <c r="I73" s="2" t="s">
        <v>63</v>
      </c>
      <c r="J73">
        <f>J72-J71</f>
        <v>-1.1527499999999993</v>
      </c>
      <c r="N73" t="s">
        <v>73</v>
      </c>
      <c r="O73">
        <v>4.7</v>
      </c>
      <c r="P73">
        <f>$O$69^2*O73</f>
        <v>20.691015631784634</v>
      </c>
      <c r="Q73" t="s">
        <v>76</v>
      </c>
    </row>
    <row r="74" spans="2:17" x14ac:dyDescent="0.25">
      <c r="E74" t="s">
        <v>36</v>
      </c>
      <c r="F74">
        <f>F72*C68+F70</f>
        <v>0</v>
      </c>
      <c r="N74" s="2" t="s">
        <v>74</v>
      </c>
      <c r="O74">
        <v>4.7</v>
      </c>
      <c r="P74">
        <f>$O$69^2*O74</f>
        <v>20.691015631784634</v>
      </c>
      <c r="Q74" t="s">
        <v>76</v>
      </c>
    </row>
    <row r="75" spans="2:17" x14ac:dyDescent="0.25">
      <c r="N75" t="s">
        <v>75</v>
      </c>
      <c r="O75">
        <v>22</v>
      </c>
      <c r="P75">
        <f>$O$69^2*O75*O66</f>
        <v>0</v>
      </c>
      <c r="Q75" t="s">
        <v>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Rodríguez García</dc:creator>
  <cp:lastModifiedBy>Juan Pablo Rodríguez García</cp:lastModifiedBy>
  <dcterms:created xsi:type="dcterms:W3CDTF">2015-11-18T09:37:29Z</dcterms:created>
  <dcterms:modified xsi:type="dcterms:W3CDTF">2016-01-12T14:48:33Z</dcterms:modified>
</cp:coreProperties>
</file>