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showInkAnnotation="0" updateLinks="never" codeName="ThisWorkbook"/>
  <mc:AlternateContent xmlns:mc="http://schemas.openxmlformats.org/markup-compatibility/2006">
    <mc:Choice Requires="x15">
      <x15ac:absPath xmlns:x15ac="http://schemas.microsoft.com/office/spreadsheetml/2010/11/ac" url="C:\Users\zohaib.nayyar\Downloads\"/>
    </mc:Choice>
  </mc:AlternateContent>
  <xr:revisionPtr revIDLastSave="0" documentId="13_ncr:1_{B31AA8AC-32EF-45B8-BADF-39963429F67C}" xr6:coauthVersionLast="36" xr6:coauthVersionMax="47" xr10:uidLastSave="{00000000-0000-0000-0000-000000000000}"/>
  <bookViews>
    <workbookView xWindow="-28920" yWindow="-120" windowWidth="29040" windowHeight="17640" tabRatio="831" activeTab="10" xr2:uid="{FDD24A89-EA8F-49DA-AB2D-67E3DF1E7AF9}"/>
  </bookViews>
  <sheets>
    <sheet name="Title" sheetId="26" r:id="rId1"/>
    <sheet name="Revision History" sheetId="35" r:id="rId2"/>
    <sheet name="Definitions-Terms" sheetId="27" r:id="rId3"/>
    <sheet name="Scores " sheetId="24" r:id="rId4"/>
    <sheet name="S-O-D Definitions" sheetId="7" r:id="rId5"/>
    <sheet name="Design-Traceability" sheetId="30" r:id="rId6"/>
    <sheet name="Power Supply - Architecture" sheetId="36" r:id="rId7"/>
    <sheet name="Bypass - Architecture" sheetId="31" r:id="rId8"/>
    <sheet name="MVAr - Architecture" sheetId="32" r:id="rId9"/>
    <sheet name="Functional Block Diagram " sheetId="33" r:id="rId10"/>
    <sheet name="DFMECA" sheetId="34" r:id="rId11"/>
    <sheet name="Data Validation" sheetId="29" state="hidden" r:id="rId12"/>
  </sheets>
  <externalReferences>
    <externalReference r:id="rId13"/>
  </externalReferences>
  <definedNames>
    <definedName name="_xlnm._FilterDatabase" localSheetId="10" hidden="1">DFMECA!$A$2:$HH$1024</definedName>
    <definedName name="_polarion_4" localSheetId="7">OFFSET(_polarion_options_start,MATCH(CONCATENATE('Bypass - Architecture'!_polarion_type,":","PRD-Section"),_polarion_options_types,0),1,COUNTIF(_polarion_options_types,CONCATENATE('Bypass - Architecture'!_polarion_type,":","PRD-Section")),1)</definedName>
    <definedName name="_polarion_4" localSheetId="10">OFFSET(_polarion_options_start,MATCH(CONCATENATE(DFMECA!_polarion_type,":","PRD-Section"),_polarion_options_types,0),1,COUNTIF(_polarion_options_types,CONCATENATE(DFMECA!_polarion_type,":","PRD-Section")),1)</definedName>
    <definedName name="_polarion_4" localSheetId="9">OFFSET(_polarion_options_start,MATCH(CONCATENATE('Functional Block Diagram '!_polarion_type,":","PRD-Section"),_polarion_options_types,0),1,COUNTIF(_polarion_options_types,CONCATENATE('Functional Block Diagram '!_polarion_type,":","PRD-Section")),1)</definedName>
    <definedName name="_polarion_4" localSheetId="8">OFFSET(_polarion_options_start,MATCH(CONCATENATE('MVAr - Architecture'!_polarion_type,":","PRD-Section"),_polarion_options_types,0),1,COUNTIF(_polarion_options_types,CONCATENATE('MVAr - Architecture'!_polarion_type,":","PRD-Section")),1)</definedName>
    <definedName name="_polarion_4" localSheetId="1">OFFSET(_polarion_options_start,MATCH(CONCATENATE('Revision History'!_polarion_type,":","PRD-Section"),_polarion_options_types,0),1,COUNTIF(_polarion_options_types,CONCATENATE('Revision History'!_polarion_type,":","PRD-Section")),1)</definedName>
    <definedName name="_polarion_4" localSheetId="3">OFFSET(_polarion_options_start,MATCH(CONCATENATE('Scores '!_polarion_type,":","PRD-Section"),_polarion_options_types,0),1,COUNTIF(_polarion_options_types,CONCATENATE('Scores '!_polarion_type,":","PRD-Section")),1)</definedName>
    <definedName name="_polarion_4" localSheetId="0">OFFSET(_polarion_options_start,MATCH(CONCATENATE(Title!_polarion_type,":","PRD-Section"),_polarion_options_types,0),1,COUNTIF(_polarion_options_types,CONCATENATE(Title!_polarion_type,":","PRD-Section")),1)</definedName>
    <definedName name="_polarion_4">OFFSET(_polarion_options_start,MATCH(CONCATENATE(_polarion_type,":","PRD-Section"),_polarion_options_types,0),1,COUNTIF(_polarion_options_types,CONCATENATE(_polarion_type,":","PRD-Section")),1)</definedName>
    <definedName name="_polarion_info" localSheetId="10">#REF!</definedName>
    <definedName name="_polarion_info" localSheetId="1">#REF!</definedName>
    <definedName name="_polarion_info" localSheetId="3">#REF!</definedName>
    <definedName name="_polarion_info" localSheetId="0">#REF!</definedName>
    <definedName name="_polarion_info">#REF!</definedName>
    <definedName name="_polarion_options_start">[1]!_polarion_options[[#Headers],[Type]]</definedName>
    <definedName name="_polarion_options_types">[1]!_polarion_options[Type]</definedName>
    <definedName name="_polarion_project" localSheetId="7">IF(ISBLANK(_polarion_info),"PrimaryProtectionSystem",LEFT(_polarion_info,SEARCH("/",_polarion_info,1)-1))</definedName>
    <definedName name="_polarion_project" localSheetId="10">IF(ISBLANK(DFMECA!_polarion_info),"PrimaryProtectionSystem",LEFT(DFMECA!_polarion_info,SEARCH("/",DFMECA!_polarion_info,1)-1))</definedName>
    <definedName name="_polarion_project" localSheetId="9">IF(ISBLANK(_polarion_info),"PrimaryProtectionSystem",LEFT(_polarion_info,SEARCH("/",_polarion_info,1)-1))</definedName>
    <definedName name="_polarion_project" localSheetId="8">IF(ISBLANK(_polarion_info),"PrimaryProtectionSystem",LEFT(_polarion_info,SEARCH("/",_polarion_info,1)-1))</definedName>
    <definedName name="_polarion_project" localSheetId="1">IF(ISBLANK('Revision History'!_polarion_info),"PrimaryProtectionSystem",LEFT('Revision History'!_polarion_info,SEARCH("/",'Revision History'!_polarion_info,1)-1))</definedName>
    <definedName name="_polarion_project" localSheetId="3">IF(ISBLANK('Scores '!_polarion_info),"PrimaryProtectionSystem",LEFT('Scores '!_polarion_info,SEARCH("/",'Scores '!_polarion_info,1)-1))</definedName>
    <definedName name="_polarion_project" localSheetId="0">IF(ISBLANK(Title!_polarion_info),"PrimaryProtectionSystem",LEFT(Title!_polarion_info,SEARCH("/",Title!_polarion_info,1)-1))</definedName>
    <definedName name="_polarion_project">IF(ISBLANK(_polarion_info),"PrimaryProtectionSystem",LEFT(_polarion_info,SEARCH("/",_polarion_info,1)-1))</definedName>
    <definedName name="_polarion_type" localSheetId="7">CONCATENATE('Bypass - Architecture'!_polarion_project,"/",IF(ISBLANK(#REF!),"requirement",#REF!))</definedName>
    <definedName name="_polarion_type" localSheetId="10">CONCATENATE(DFMECA!_polarion_project,"/",IF(ISBLANK(#REF!),"requirement",#REF!))</definedName>
    <definedName name="_polarion_type" localSheetId="9">CONCATENATE('Functional Block Diagram '!_polarion_project,"/",IF(ISBLANK(#REF!),"requirement",#REF!))</definedName>
    <definedName name="_polarion_type" localSheetId="8">CONCATENATE('MVAr - Architecture'!_polarion_project,"/",IF(ISBLANK(#REF!),"requirement",#REF!))</definedName>
    <definedName name="_polarion_type" localSheetId="1">CONCATENATE('Revision History'!_polarion_project,"/",IF(ISBLANK(#REF!),"requirement",#REF!))</definedName>
    <definedName name="_polarion_type" localSheetId="3">CONCATENATE('Scores '!_polarion_project,"/",IF(ISBLANK(#REF!),"requirement",#REF!))</definedName>
    <definedName name="_polarion_type" localSheetId="0">CONCATENATE(Title!_polarion_project,"/",IF(ISBLANK(#REF!),"requirement",#REF!))</definedName>
    <definedName name="_polarion_type">CONCATENATE(_polarion_project,"/",IF(ISBLANK(#REF!),"requirement",#REF!))</definedName>
    <definedName name="abc">OFFSET(_polarion_options_start,MATCH(CONCATENATE('Revision History'!_polarion_type,":","PRD-Section"),_polarion_options_types,0),1,COUNTIF(_polarion_options_types,CONCATENATE('Revision History'!_polarion_type,":","PRD-Section")),1)</definedName>
    <definedName name="_xlnm.Criteria" localSheetId="10">DFMECA!$K$225</definedName>
    <definedName name="_xlnm.Print_Titles" localSheetId="10">DFMECA!$1:$2</definedName>
    <definedName name="ValidPPDPhase" localSheetId="10">#REF!</definedName>
    <definedName name="ValidPPDPhase" localSheetId="1">#REF!</definedName>
    <definedName name="ValidPPDPhase" localSheetId="0">#REF!</definedName>
    <definedName name="ValidPPDPhase">#REF!</definedName>
  </definedNames>
  <calcPr calcId="191028" calcOnSave="0" concurrentCalc="0"/>
</workbook>
</file>

<file path=xl/calcChain.xml><?xml version="1.0" encoding="utf-8"?>
<calcChain xmlns="http://schemas.openxmlformats.org/spreadsheetml/2006/main">
  <c r="AA7" i="34" l="1"/>
  <c r="AA6" i="34"/>
  <c r="AD4" i="34"/>
  <c r="AD5" i="34"/>
  <c r="AD6" i="34"/>
  <c r="AD7" i="34"/>
  <c r="AD8" i="34"/>
  <c r="AD9" i="34"/>
  <c r="AD10" i="34"/>
  <c r="AD11" i="34"/>
  <c r="AD12" i="34"/>
  <c r="AD13" i="34"/>
  <c r="AD14" i="34"/>
  <c r="AD15" i="34"/>
  <c r="AD16" i="34"/>
  <c r="AD17" i="34"/>
  <c r="AD18" i="34"/>
  <c r="AD19" i="34"/>
  <c r="AD20" i="34"/>
  <c r="AD21" i="34"/>
  <c r="AD22" i="34"/>
  <c r="AD23" i="34"/>
  <c r="AD24" i="34"/>
  <c r="AD25" i="34"/>
  <c r="AD26" i="34"/>
  <c r="AD27" i="34"/>
  <c r="AD28" i="34"/>
  <c r="AD29" i="34"/>
  <c r="AD30" i="34"/>
  <c r="AD31" i="34"/>
  <c r="AD32" i="34"/>
  <c r="AD33" i="34"/>
  <c r="AD34" i="34"/>
  <c r="AD35" i="34"/>
  <c r="AD36" i="34"/>
  <c r="AD37" i="34"/>
  <c r="AD38" i="34"/>
  <c r="AD39" i="34"/>
  <c r="AD40" i="34"/>
  <c r="AD41" i="34"/>
  <c r="AD42" i="34"/>
  <c r="AD43" i="34"/>
  <c r="AD44" i="34"/>
  <c r="AD45" i="34"/>
  <c r="AD46" i="34"/>
  <c r="AD47" i="34"/>
  <c r="AD48" i="34"/>
  <c r="AD49" i="34"/>
  <c r="AD50" i="34"/>
  <c r="AD51" i="34"/>
  <c r="AD52" i="34"/>
  <c r="AD53" i="34"/>
  <c r="AD54" i="34"/>
  <c r="AD55" i="34"/>
  <c r="AD56" i="34"/>
  <c r="AD57" i="34"/>
  <c r="AD58" i="34"/>
  <c r="AD59" i="34"/>
  <c r="AD60" i="34"/>
  <c r="AD61" i="34"/>
  <c r="AD62" i="34"/>
  <c r="AD63" i="34"/>
  <c r="AD64" i="34"/>
  <c r="AD65" i="34"/>
  <c r="AD66" i="34"/>
  <c r="AD67" i="34"/>
  <c r="AD68" i="34"/>
  <c r="AD69" i="34"/>
  <c r="AD70" i="34"/>
  <c r="AD71" i="34"/>
  <c r="AD72" i="34"/>
  <c r="AD73" i="34"/>
  <c r="AD74" i="34"/>
  <c r="AD75" i="34"/>
  <c r="AD76" i="34"/>
  <c r="AD77" i="34"/>
  <c r="AD78" i="34"/>
  <c r="AD79" i="34"/>
  <c r="AD80" i="34"/>
  <c r="AD81" i="34"/>
  <c r="AD82" i="34"/>
  <c r="AD83" i="34"/>
  <c r="AD84" i="34"/>
  <c r="AD85" i="34"/>
  <c r="AD86" i="34"/>
  <c r="AD87" i="34"/>
  <c r="AD88" i="34"/>
  <c r="AD89" i="34"/>
  <c r="AD90" i="34"/>
  <c r="AD91" i="34"/>
  <c r="AD92" i="34"/>
  <c r="AD93" i="34"/>
  <c r="AD94" i="34"/>
  <c r="AD95" i="34"/>
  <c r="AD96" i="34"/>
  <c r="AD97" i="34"/>
  <c r="AD98" i="34"/>
  <c r="AD99" i="34"/>
  <c r="AD100" i="34"/>
  <c r="AD101" i="34"/>
  <c r="AD102" i="34"/>
  <c r="AD103" i="34"/>
  <c r="AD104" i="34"/>
  <c r="AD105" i="34"/>
  <c r="AD106" i="34"/>
  <c r="AD107" i="34"/>
  <c r="AD108" i="34"/>
  <c r="AD109" i="34"/>
  <c r="AD110" i="34"/>
  <c r="AD111" i="34"/>
  <c r="AD112" i="34"/>
  <c r="AD113" i="34"/>
  <c r="AD114" i="34"/>
  <c r="AD115" i="34"/>
  <c r="AD116" i="34"/>
  <c r="AD117" i="34"/>
  <c r="AD118" i="34"/>
  <c r="AD119" i="34"/>
  <c r="AD120" i="34"/>
  <c r="AD121" i="34"/>
  <c r="AD122" i="34"/>
  <c r="AD123" i="34"/>
  <c r="AD124" i="34"/>
  <c r="AD125" i="34"/>
  <c r="AD126" i="34"/>
  <c r="AD127" i="34"/>
  <c r="AD128" i="34"/>
  <c r="AD129" i="34"/>
  <c r="AD130" i="34"/>
  <c r="AD131" i="34"/>
  <c r="AD132" i="34"/>
  <c r="AD133" i="34"/>
  <c r="AD134" i="34"/>
  <c r="AD135" i="34"/>
  <c r="AD136" i="34"/>
  <c r="AD137" i="34"/>
  <c r="AD138" i="34"/>
  <c r="AD139" i="34"/>
  <c r="AD140" i="34"/>
  <c r="AD141" i="34"/>
  <c r="AD142" i="34"/>
  <c r="AD143" i="34"/>
  <c r="AD144" i="34"/>
  <c r="AD145" i="34"/>
  <c r="AD146" i="34"/>
  <c r="AD147" i="34"/>
  <c r="AD148" i="34"/>
  <c r="AD149" i="34"/>
  <c r="AD150" i="34"/>
  <c r="AD151" i="34"/>
  <c r="AD152" i="34"/>
  <c r="AD153" i="34"/>
  <c r="AD154" i="34"/>
  <c r="AD155" i="34"/>
  <c r="AD156" i="34"/>
  <c r="AD157" i="34"/>
  <c r="AD158" i="34"/>
  <c r="AD159" i="34"/>
  <c r="AD160" i="34"/>
  <c r="AD161" i="34"/>
  <c r="AD162" i="34"/>
  <c r="AD163" i="34"/>
  <c r="AD164" i="34"/>
  <c r="AD165" i="34"/>
  <c r="AD166" i="34"/>
  <c r="AD167" i="34"/>
  <c r="AD168" i="34"/>
  <c r="AD169" i="34"/>
  <c r="AD170" i="34"/>
  <c r="AD171" i="34"/>
  <c r="AD172" i="34"/>
  <c r="AD173" i="34"/>
  <c r="AD174" i="34"/>
  <c r="AD175" i="34"/>
  <c r="AD176" i="34"/>
  <c r="AD177" i="34"/>
  <c r="AD178" i="34"/>
  <c r="AD179" i="34"/>
  <c r="AD180" i="34"/>
  <c r="AD181" i="34"/>
  <c r="AD182" i="34"/>
  <c r="AD183" i="34"/>
  <c r="AD184" i="34"/>
  <c r="AD185" i="34"/>
  <c r="AD186" i="34"/>
  <c r="AD187" i="34"/>
  <c r="AD188" i="34"/>
  <c r="AD189" i="34"/>
  <c r="AD190" i="34"/>
  <c r="AD191" i="34"/>
  <c r="AD192" i="34"/>
  <c r="AD193" i="34"/>
  <c r="AD194" i="34"/>
  <c r="AD195" i="34"/>
  <c r="AD196" i="34"/>
  <c r="AD197" i="34"/>
  <c r="AD198" i="34"/>
  <c r="AD199" i="34"/>
  <c r="AD200" i="34"/>
  <c r="AD201" i="34"/>
  <c r="AD202" i="34"/>
  <c r="AD203" i="34"/>
  <c r="AD204" i="34"/>
  <c r="AD205" i="34"/>
  <c r="AD206" i="34"/>
  <c r="AD207" i="34"/>
  <c r="AD208" i="34"/>
  <c r="AD209" i="34"/>
  <c r="AD210" i="34"/>
  <c r="AD211" i="34"/>
  <c r="AD212" i="34"/>
  <c r="AD213" i="34"/>
  <c r="AD214" i="34"/>
  <c r="AD215" i="34"/>
  <c r="AD216" i="34"/>
  <c r="AD217" i="34"/>
  <c r="AD218" i="34"/>
  <c r="AD219" i="34"/>
  <c r="AD220" i="34"/>
  <c r="AD221" i="34"/>
  <c r="AD222" i="34"/>
  <c r="AD223" i="34"/>
  <c r="AD224" i="34"/>
  <c r="AD225" i="34"/>
  <c r="AD226" i="34"/>
  <c r="AD227" i="34"/>
  <c r="AD228" i="34"/>
  <c r="AD229" i="34"/>
  <c r="AD230" i="34"/>
  <c r="AD231" i="34"/>
  <c r="AD232" i="34"/>
  <c r="AD233" i="34"/>
  <c r="AD234" i="34"/>
  <c r="AD235" i="34"/>
  <c r="AD236" i="34"/>
  <c r="AD237" i="34"/>
  <c r="AD238" i="34"/>
  <c r="AD239" i="34"/>
  <c r="AD240" i="34"/>
  <c r="AD241" i="34"/>
  <c r="AD242" i="34"/>
  <c r="AD243" i="34"/>
  <c r="AD244" i="34"/>
  <c r="AD245" i="34"/>
  <c r="AD246" i="34"/>
  <c r="AD247" i="34"/>
  <c r="AD248" i="34"/>
  <c r="AD249" i="34"/>
  <c r="AD250" i="34"/>
  <c r="AD251" i="34"/>
  <c r="AD252" i="34"/>
  <c r="AD253" i="34"/>
  <c r="AD254" i="34"/>
  <c r="AD255" i="34"/>
  <c r="AD256" i="34"/>
  <c r="AD257" i="34"/>
  <c r="AD258" i="34"/>
  <c r="AD259" i="34"/>
  <c r="AD260" i="34"/>
  <c r="AD261" i="34"/>
  <c r="AD262" i="34"/>
  <c r="AD263" i="34"/>
  <c r="AD264" i="34"/>
  <c r="AD265" i="34"/>
  <c r="AD266" i="34"/>
  <c r="AD267" i="34"/>
  <c r="AD268" i="34"/>
  <c r="AD269" i="34"/>
  <c r="AD270" i="34"/>
  <c r="AD271" i="34"/>
  <c r="AD272" i="34"/>
  <c r="AD273" i="34"/>
  <c r="AD274" i="34"/>
  <c r="AD275" i="34"/>
  <c r="AD276" i="34"/>
  <c r="AD277" i="34"/>
  <c r="AD278" i="34"/>
  <c r="AD279" i="34"/>
  <c r="AD280" i="34"/>
  <c r="AD281" i="34"/>
  <c r="AD282" i="34"/>
  <c r="AD283" i="34"/>
  <c r="AD284" i="34"/>
  <c r="AD285" i="34"/>
  <c r="AD286" i="34"/>
  <c r="AD287" i="34"/>
  <c r="AD288" i="34"/>
  <c r="AD289" i="34"/>
  <c r="AD290" i="34"/>
  <c r="AD291" i="34"/>
  <c r="AD292" i="34"/>
  <c r="AD293" i="34"/>
  <c r="AD294" i="34"/>
  <c r="AD295" i="34"/>
  <c r="AD296" i="34"/>
  <c r="AD297" i="34"/>
  <c r="AD298" i="34"/>
  <c r="AD299" i="34"/>
  <c r="AD300" i="34"/>
  <c r="AD301" i="34"/>
  <c r="AD302" i="34"/>
  <c r="AD303" i="34"/>
  <c r="AD304" i="34"/>
  <c r="AD305" i="34"/>
  <c r="AD306" i="34"/>
  <c r="AD307" i="34"/>
  <c r="AD308" i="34"/>
  <c r="AD309" i="34"/>
  <c r="AD310" i="34"/>
  <c r="AD311" i="34"/>
  <c r="AD312" i="34"/>
  <c r="AD313" i="34"/>
  <c r="AD314" i="34"/>
  <c r="AD315" i="34"/>
  <c r="AD316" i="34"/>
  <c r="AD317" i="34"/>
  <c r="AD318" i="34"/>
  <c r="AD319" i="34"/>
  <c r="AD320" i="34"/>
  <c r="AD321" i="34"/>
  <c r="AD322" i="34"/>
  <c r="AD323" i="34"/>
  <c r="AD324" i="34"/>
  <c r="AD325" i="34"/>
  <c r="AD326" i="34"/>
  <c r="AD327" i="34"/>
  <c r="AD328" i="34"/>
  <c r="AD329" i="34"/>
  <c r="AD330" i="34"/>
  <c r="AD331" i="34"/>
  <c r="AD332" i="34"/>
  <c r="AD333" i="34"/>
  <c r="AD334" i="34"/>
  <c r="AD335" i="34"/>
  <c r="AD336" i="34"/>
  <c r="AD337" i="34"/>
  <c r="AD338" i="34"/>
  <c r="AD339" i="34"/>
  <c r="AD340" i="34"/>
  <c r="AD341" i="34"/>
  <c r="AD342" i="34"/>
  <c r="AD343" i="34"/>
  <c r="AD344" i="34"/>
  <c r="AD345" i="34"/>
  <c r="AD346" i="34"/>
  <c r="AD347" i="34"/>
  <c r="AD348" i="34"/>
  <c r="AD349" i="34"/>
  <c r="AD350" i="34"/>
  <c r="AD351" i="34"/>
  <c r="AD352" i="34"/>
  <c r="AD353" i="34"/>
  <c r="AD354" i="34"/>
  <c r="AD355" i="34"/>
  <c r="AD356" i="34"/>
  <c r="AD357" i="34"/>
  <c r="AD358" i="34"/>
  <c r="AD359" i="34"/>
  <c r="AD360" i="34"/>
  <c r="AD361" i="34"/>
  <c r="AD362" i="34"/>
  <c r="AD363" i="34"/>
  <c r="AD364" i="34"/>
  <c r="AD365" i="34"/>
  <c r="AD366" i="34"/>
  <c r="AD367" i="34"/>
  <c r="AD368" i="34"/>
  <c r="AD369" i="34"/>
  <c r="AD370" i="34"/>
  <c r="AD371" i="34"/>
  <c r="AD372" i="34"/>
  <c r="AD373" i="34"/>
  <c r="AD374" i="34"/>
  <c r="AD375" i="34"/>
  <c r="AD376" i="34"/>
  <c r="AD377" i="34"/>
  <c r="AD378" i="34"/>
  <c r="AD379" i="34"/>
  <c r="AD380" i="34"/>
  <c r="AD381" i="34"/>
  <c r="AD382" i="34"/>
  <c r="AD383" i="34"/>
  <c r="AD384" i="34"/>
  <c r="AD385" i="34"/>
  <c r="AD386" i="34"/>
  <c r="AD387" i="34"/>
  <c r="AD388" i="34"/>
  <c r="AD389" i="34"/>
  <c r="AD390" i="34"/>
  <c r="AD391" i="34"/>
  <c r="AD392" i="34"/>
  <c r="AD393" i="34"/>
  <c r="AD394" i="34"/>
  <c r="AD395" i="34"/>
  <c r="AD396" i="34"/>
  <c r="AD397" i="34"/>
  <c r="AD398" i="34"/>
  <c r="AD399" i="34"/>
  <c r="AD400" i="34"/>
  <c r="AD401" i="34"/>
  <c r="AD402" i="34"/>
  <c r="AD403" i="34"/>
  <c r="AD404" i="34"/>
  <c r="AD405" i="34"/>
  <c r="AD406" i="34"/>
  <c r="AD407" i="34"/>
  <c r="AD408" i="34"/>
  <c r="AD409" i="34"/>
  <c r="AD410" i="34"/>
  <c r="AD411" i="34"/>
  <c r="AD412" i="34"/>
  <c r="AD413" i="34"/>
  <c r="AD414" i="34"/>
  <c r="AD415" i="34"/>
  <c r="AD416" i="34"/>
  <c r="AD417" i="34"/>
  <c r="AD418" i="34"/>
  <c r="AD419" i="34"/>
  <c r="AD420" i="34"/>
  <c r="AD421" i="34"/>
  <c r="AD422" i="34"/>
  <c r="AD423" i="34"/>
  <c r="AD424" i="34"/>
  <c r="AD425" i="34"/>
  <c r="AD426" i="34"/>
  <c r="AD427" i="34"/>
  <c r="AD428" i="34"/>
  <c r="AD429" i="34"/>
  <c r="AD430" i="34"/>
  <c r="AD431" i="34"/>
  <c r="AD432" i="34"/>
  <c r="AD433" i="34"/>
  <c r="AD434" i="34"/>
  <c r="AD435" i="34"/>
  <c r="AD436" i="34"/>
  <c r="AD437" i="34"/>
  <c r="AD438" i="34"/>
  <c r="AD439" i="34"/>
  <c r="AD440" i="34"/>
  <c r="AD441" i="34"/>
  <c r="AD442" i="34"/>
  <c r="AD443" i="34"/>
  <c r="AD444" i="34"/>
  <c r="AD445" i="34"/>
  <c r="AD446" i="34"/>
  <c r="AD447" i="34"/>
  <c r="AD448" i="34"/>
  <c r="AD449" i="34"/>
  <c r="AD450" i="34"/>
  <c r="AD451" i="34"/>
  <c r="AD452" i="34"/>
  <c r="AD453" i="34"/>
  <c r="AD454" i="34"/>
  <c r="AD455" i="34"/>
  <c r="AD456" i="34"/>
  <c r="AD457" i="34"/>
  <c r="AD458" i="34"/>
  <c r="AD459" i="34"/>
  <c r="AD460" i="34"/>
  <c r="AD461" i="34"/>
  <c r="AD462" i="34"/>
  <c r="AD463" i="34"/>
  <c r="AD464" i="34"/>
  <c r="AD465" i="34"/>
  <c r="AD466" i="34"/>
  <c r="AD467" i="34"/>
  <c r="AD468" i="34"/>
  <c r="AD469" i="34"/>
  <c r="AD470" i="34"/>
  <c r="AD471" i="34"/>
  <c r="AD472" i="34"/>
  <c r="AD473" i="34"/>
  <c r="AD474" i="34"/>
  <c r="AD475" i="34"/>
  <c r="AD476" i="34"/>
  <c r="AD477" i="34"/>
  <c r="AD478" i="34"/>
  <c r="AD479" i="34"/>
  <c r="AD480" i="34"/>
  <c r="AD481" i="34"/>
  <c r="AD482" i="34"/>
  <c r="AD483" i="34"/>
  <c r="AD484" i="34"/>
  <c r="AD485" i="34"/>
  <c r="AD486" i="34"/>
  <c r="AD487" i="34"/>
  <c r="AD488" i="34"/>
  <c r="AD489" i="34"/>
  <c r="AD490" i="34"/>
  <c r="AD491" i="34"/>
  <c r="AD492" i="34"/>
  <c r="AD493" i="34"/>
  <c r="AD494" i="34"/>
  <c r="AD495" i="34"/>
  <c r="AD496" i="34"/>
  <c r="AD497" i="34"/>
  <c r="AD498" i="34"/>
  <c r="AD499" i="34"/>
  <c r="AD500" i="34"/>
  <c r="AD501" i="34"/>
  <c r="AD502" i="34"/>
  <c r="AD503" i="34"/>
  <c r="AD504" i="34"/>
  <c r="AD505" i="34"/>
  <c r="AD506" i="34"/>
  <c r="AD507" i="34"/>
  <c r="AD508" i="34"/>
  <c r="AD509" i="34"/>
  <c r="AD510" i="34"/>
  <c r="AD511" i="34"/>
  <c r="AD512" i="34"/>
  <c r="AD513" i="34"/>
  <c r="AD514" i="34"/>
  <c r="AD515" i="34"/>
  <c r="AD516" i="34"/>
  <c r="AD517" i="34"/>
  <c r="AD518" i="34"/>
  <c r="AD519" i="34"/>
  <c r="AD520" i="34"/>
  <c r="AD521" i="34"/>
  <c r="AD522" i="34"/>
  <c r="AD523" i="34"/>
  <c r="AD524" i="34"/>
  <c r="AD525" i="34"/>
  <c r="AD526" i="34"/>
  <c r="AD527" i="34"/>
  <c r="AD528" i="34"/>
  <c r="AD529" i="34"/>
  <c r="AD530" i="34"/>
  <c r="AD531" i="34"/>
  <c r="AD532" i="34"/>
  <c r="AD533" i="34"/>
  <c r="AD534" i="34"/>
  <c r="AD535" i="34"/>
  <c r="AD536" i="34"/>
  <c r="AD537" i="34"/>
  <c r="AD538" i="34"/>
  <c r="AD539" i="34"/>
  <c r="AD540" i="34"/>
  <c r="AD541" i="34"/>
  <c r="AD542" i="34"/>
  <c r="AD543" i="34"/>
  <c r="AD544" i="34"/>
  <c r="AD545" i="34"/>
  <c r="AD546" i="34"/>
  <c r="AD547" i="34"/>
  <c r="AD548" i="34"/>
  <c r="AD549" i="34"/>
  <c r="AD550" i="34"/>
  <c r="AD551" i="34"/>
  <c r="AD552" i="34"/>
  <c r="AD553" i="34"/>
  <c r="AD554" i="34"/>
  <c r="AD555" i="34"/>
  <c r="AD556" i="34"/>
  <c r="AD557" i="34"/>
  <c r="AD558" i="34"/>
  <c r="AD559" i="34"/>
  <c r="AD560" i="34"/>
  <c r="AD561" i="34"/>
  <c r="AD562" i="34"/>
  <c r="AD563" i="34"/>
  <c r="AD564" i="34"/>
  <c r="AD565" i="34"/>
  <c r="AD566" i="34"/>
  <c r="AD567" i="34"/>
  <c r="AD568" i="34"/>
  <c r="AD569" i="34"/>
  <c r="AD570" i="34"/>
  <c r="AD571" i="34"/>
  <c r="AD572" i="34"/>
  <c r="AD573" i="34"/>
  <c r="AD574" i="34"/>
  <c r="AD575" i="34"/>
  <c r="AD576" i="34"/>
  <c r="AD577" i="34"/>
  <c r="AD578" i="34"/>
  <c r="AD579" i="34"/>
  <c r="AD580" i="34"/>
  <c r="AD581" i="34"/>
  <c r="AD582" i="34"/>
  <c r="AD583" i="34"/>
  <c r="AD584" i="34"/>
  <c r="AD585" i="34"/>
  <c r="AD586" i="34"/>
  <c r="AD587" i="34"/>
  <c r="AD588" i="34"/>
  <c r="AD589" i="34"/>
  <c r="AD590" i="34"/>
  <c r="AD591" i="34"/>
  <c r="AD592" i="34"/>
  <c r="AD593" i="34"/>
  <c r="AD594" i="34"/>
  <c r="AD595" i="34"/>
  <c r="AD596" i="34"/>
  <c r="AD597" i="34"/>
  <c r="AD598" i="34"/>
  <c r="AD599" i="34"/>
  <c r="AD600" i="34"/>
  <c r="AD601" i="34"/>
  <c r="AD602" i="34"/>
  <c r="AD603" i="34"/>
  <c r="AD604" i="34"/>
  <c r="AD605" i="34"/>
  <c r="AD606" i="34"/>
  <c r="AD607" i="34"/>
  <c r="AD608" i="34"/>
  <c r="AD609" i="34"/>
  <c r="AD610" i="34"/>
  <c r="AD611" i="34"/>
  <c r="AD612" i="34"/>
  <c r="AD613" i="34"/>
  <c r="AD614" i="34"/>
  <c r="AD615" i="34"/>
  <c r="AD616" i="34"/>
  <c r="AD617" i="34"/>
  <c r="AD618" i="34"/>
  <c r="AD619" i="34"/>
  <c r="AD620" i="34"/>
  <c r="AD621" i="34"/>
  <c r="AD622" i="34"/>
  <c r="AD623" i="34"/>
  <c r="AD624" i="34"/>
  <c r="AD625" i="34"/>
  <c r="AD626" i="34"/>
  <c r="AD627" i="34"/>
  <c r="AD628" i="34"/>
  <c r="AD629" i="34"/>
  <c r="AD630" i="34"/>
  <c r="AD631" i="34"/>
  <c r="AD632" i="34"/>
  <c r="AD633" i="34"/>
  <c r="AD634" i="34"/>
  <c r="AD635" i="34"/>
  <c r="AD636" i="34"/>
  <c r="AD637" i="34"/>
  <c r="AD638" i="34"/>
  <c r="AD639" i="34"/>
  <c r="AD640" i="34"/>
  <c r="AD641" i="34"/>
  <c r="AD642" i="34"/>
  <c r="AD643" i="34"/>
  <c r="AD644" i="34"/>
  <c r="AD645" i="34"/>
  <c r="AD646" i="34"/>
  <c r="AD647" i="34"/>
  <c r="AD648" i="34"/>
  <c r="AD649" i="34"/>
  <c r="AD650" i="34"/>
  <c r="AD651" i="34"/>
  <c r="AD652" i="34"/>
  <c r="AD653" i="34"/>
  <c r="AD654" i="34"/>
  <c r="AD655" i="34"/>
  <c r="AD656" i="34"/>
  <c r="AD657" i="34"/>
  <c r="AD658" i="34"/>
  <c r="AD659" i="34"/>
  <c r="AD660" i="34"/>
  <c r="AD661" i="34"/>
  <c r="AD662" i="34"/>
  <c r="AD663" i="34"/>
  <c r="AD664" i="34"/>
  <c r="AD665" i="34"/>
  <c r="AD666" i="34"/>
  <c r="AD667" i="34"/>
  <c r="AD668" i="34"/>
  <c r="AD669" i="34"/>
  <c r="AD670" i="34"/>
  <c r="AD671" i="34"/>
  <c r="AD672" i="34"/>
  <c r="AD673" i="34"/>
  <c r="AD674" i="34"/>
  <c r="AD675" i="34"/>
  <c r="AD676" i="34"/>
  <c r="AD677" i="34"/>
  <c r="AD678" i="34"/>
  <c r="AD679" i="34"/>
  <c r="AD680" i="34"/>
  <c r="AD681" i="34"/>
  <c r="AD682" i="34"/>
  <c r="AD683" i="34"/>
  <c r="AD684" i="34"/>
  <c r="AD685" i="34"/>
  <c r="AD686" i="34"/>
  <c r="AD687" i="34"/>
  <c r="AD688" i="34"/>
  <c r="AD689" i="34"/>
  <c r="AD690" i="34"/>
  <c r="AD691" i="34"/>
  <c r="AD692" i="34"/>
  <c r="AD693" i="34"/>
  <c r="AD694" i="34"/>
  <c r="AD695" i="34"/>
  <c r="AD696" i="34"/>
  <c r="AD697" i="34"/>
  <c r="AD698" i="34"/>
  <c r="AD699" i="34"/>
  <c r="AD700" i="34"/>
  <c r="AD701" i="34"/>
  <c r="AD702" i="34"/>
  <c r="AD703" i="34"/>
  <c r="AD704" i="34"/>
  <c r="AD705" i="34"/>
  <c r="AD706" i="34"/>
  <c r="AD707" i="34"/>
  <c r="AD708" i="34"/>
  <c r="AD709" i="34"/>
  <c r="AD710" i="34"/>
  <c r="AD711" i="34"/>
  <c r="AD712" i="34"/>
  <c r="AD713" i="34"/>
  <c r="AD714" i="34"/>
  <c r="AD715" i="34"/>
  <c r="AD716" i="34"/>
  <c r="AD717" i="34"/>
  <c r="AD718" i="34"/>
  <c r="AD719" i="34"/>
  <c r="AD720" i="34"/>
  <c r="AD721" i="34"/>
  <c r="AD722" i="34"/>
  <c r="AD723" i="34"/>
  <c r="AD724" i="34"/>
  <c r="AD725" i="34"/>
  <c r="AD726" i="34"/>
  <c r="AD727" i="34"/>
  <c r="AD728" i="34"/>
  <c r="AD729" i="34"/>
  <c r="AD730" i="34"/>
  <c r="AD731" i="34"/>
  <c r="AD732" i="34"/>
  <c r="AD733" i="34"/>
  <c r="AD734" i="34"/>
  <c r="AD735" i="34"/>
  <c r="AD736" i="34"/>
  <c r="AD737" i="34"/>
  <c r="AD738" i="34"/>
  <c r="AD739" i="34"/>
  <c r="AD740" i="34"/>
  <c r="AD741" i="34"/>
  <c r="AD742" i="34"/>
  <c r="AD743" i="34"/>
  <c r="AD744" i="34"/>
  <c r="AD745" i="34"/>
  <c r="AD746" i="34"/>
  <c r="AD747" i="34"/>
  <c r="AD748" i="34"/>
  <c r="AD749" i="34"/>
  <c r="AD750" i="34"/>
  <c r="AD751" i="34"/>
  <c r="AD752" i="34"/>
  <c r="AD753" i="34"/>
  <c r="AD754" i="34"/>
  <c r="AD755" i="34"/>
  <c r="AD756" i="34"/>
  <c r="AD757" i="34"/>
  <c r="AD758" i="34"/>
  <c r="AD759" i="34"/>
  <c r="AD760" i="34"/>
  <c r="AD761" i="34"/>
  <c r="AD762" i="34"/>
  <c r="AD763" i="34"/>
  <c r="AD764" i="34"/>
  <c r="AD765" i="34"/>
  <c r="AD766" i="34"/>
  <c r="AD767" i="34"/>
  <c r="AD768" i="34"/>
  <c r="AD769" i="34"/>
  <c r="AD770" i="34"/>
  <c r="AD771" i="34"/>
  <c r="AD772" i="34"/>
  <c r="AD773" i="34"/>
  <c r="AD774" i="34"/>
  <c r="AD775" i="34"/>
  <c r="AD776" i="34"/>
  <c r="AD777" i="34"/>
  <c r="AD778" i="34"/>
  <c r="AD779" i="34"/>
  <c r="AD780" i="34"/>
  <c r="AD781" i="34"/>
  <c r="AD782" i="34"/>
  <c r="AD783" i="34"/>
  <c r="AD784" i="34"/>
  <c r="AD785" i="34"/>
  <c r="AD786" i="34"/>
  <c r="AD787" i="34"/>
  <c r="AD788" i="34"/>
  <c r="AD789" i="34"/>
  <c r="AD790" i="34"/>
  <c r="AD791" i="34"/>
  <c r="AD792" i="34"/>
  <c r="AD793" i="34"/>
  <c r="AD794" i="34"/>
  <c r="AD795" i="34"/>
  <c r="AD796" i="34"/>
  <c r="AD797" i="34"/>
  <c r="AD798" i="34"/>
  <c r="AD799" i="34"/>
  <c r="AD800" i="34"/>
  <c r="AD801" i="34"/>
  <c r="AD802" i="34"/>
  <c r="AD803" i="34"/>
  <c r="AD804" i="34"/>
  <c r="AD805" i="34"/>
  <c r="AD806" i="34"/>
  <c r="AD807" i="34"/>
  <c r="AD808" i="34"/>
  <c r="AD809" i="34"/>
  <c r="AD810" i="34"/>
  <c r="AD811" i="34"/>
  <c r="AD812" i="34"/>
  <c r="AD813" i="34"/>
  <c r="AD814" i="34"/>
  <c r="AD815" i="34"/>
  <c r="AD816" i="34"/>
  <c r="AD817" i="34"/>
  <c r="AD818" i="34"/>
  <c r="AD819" i="34"/>
  <c r="AD820" i="34"/>
  <c r="AD821" i="34"/>
  <c r="AD822" i="34"/>
  <c r="AD823" i="34"/>
  <c r="AD824" i="34"/>
  <c r="AD825" i="34"/>
  <c r="AD826" i="34"/>
  <c r="AD827" i="34"/>
  <c r="AD828" i="34"/>
  <c r="AD829" i="34"/>
  <c r="AD830" i="34"/>
  <c r="AD831" i="34"/>
  <c r="AD832" i="34"/>
  <c r="AD833" i="34"/>
  <c r="AD834" i="34"/>
  <c r="AD835" i="34"/>
  <c r="AD836" i="34"/>
  <c r="AD837" i="34"/>
  <c r="AD838" i="34"/>
  <c r="AD839" i="34"/>
  <c r="AD840" i="34"/>
  <c r="AD841" i="34"/>
  <c r="AD842" i="34"/>
  <c r="AD843" i="34"/>
  <c r="AD844" i="34"/>
  <c r="AD845" i="34"/>
  <c r="AD846" i="34"/>
  <c r="AD847" i="34"/>
  <c r="AD848" i="34"/>
  <c r="AD849" i="34"/>
  <c r="AD850" i="34"/>
  <c r="AD851" i="34"/>
  <c r="AD852" i="34"/>
  <c r="AD853" i="34"/>
  <c r="AD854" i="34"/>
  <c r="AD855" i="34"/>
  <c r="AD856" i="34"/>
  <c r="AD857" i="34"/>
  <c r="AD858" i="34"/>
  <c r="AD859" i="34"/>
  <c r="AD860" i="34"/>
  <c r="AD861" i="34"/>
  <c r="AD862" i="34"/>
  <c r="AD863" i="34"/>
  <c r="AD864" i="34"/>
  <c r="AD865" i="34"/>
  <c r="AD866" i="34"/>
  <c r="AD867" i="34"/>
  <c r="AD868" i="34"/>
  <c r="AD869" i="34"/>
  <c r="AD870" i="34"/>
  <c r="AD871" i="34"/>
  <c r="AD872" i="34"/>
  <c r="AD873" i="34"/>
  <c r="AD874" i="34"/>
  <c r="AD875" i="34"/>
  <c r="AD876" i="34"/>
  <c r="AD877" i="34"/>
  <c r="AD878" i="34"/>
  <c r="AD879" i="34"/>
  <c r="AD880" i="34"/>
  <c r="AD881" i="34"/>
  <c r="AD882" i="34"/>
  <c r="AD883" i="34"/>
  <c r="AD884" i="34"/>
  <c r="AD885" i="34"/>
  <c r="AD886" i="34"/>
  <c r="AD887" i="34"/>
  <c r="AD888" i="34"/>
  <c r="AD889" i="34"/>
  <c r="AD890" i="34"/>
  <c r="AD891" i="34"/>
  <c r="AD892" i="34"/>
  <c r="AD893" i="34"/>
  <c r="AD894" i="34"/>
  <c r="AD895" i="34"/>
  <c r="AD896" i="34"/>
  <c r="AD897" i="34"/>
  <c r="AD898" i="34"/>
  <c r="AD899" i="34"/>
  <c r="AD900" i="34"/>
  <c r="AD901" i="34"/>
  <c r="AD902" i="34"/>
  <c r="AD903" i="34"/>
  <c r="AD904" i="34"/>
  <c r="AD905" i="34"/>
  <c r="AD906" i="34"/>
  <c r="AD907" i="34"/>
  <c r="AD908" i="34"/>
  <c r="AD909" i="34"/>
  <c r="AD910" i="34"/>
  <c r="AD911" i="34"/>
  <c r="AD912" i="34"/>
  <c r="AD913" i="34"/>
  <c r="AD914" i="34"/>
  <c r="AD915" i="34"/>
  <c r="AD916" i="34"/>
  <c r="AD917" i="34"/>
  <c r="AD918" i="34"/>
  <c r="AD919" i="34"/>
  <c r="AD920" i="34"/>
  <c r="AD921" i="34"/>
  <c r="AD922" i="34"/>
  <c r="AD923" i="34"/>
  <c r="AD924" i="34"/>
  <c r="AD925" i="34"/>
  <c r="AD926" i="34"/>
  <c r="AD927" i="34"/>
  <c r="AD928" i="34"/>
  <c r="AD929" i="34"/>
  <c r="AD930" i="34"/>
  <c r="AD931" i="34"/>
  <c r="AD932" i="34"/>
  <c r="AD933" i="34"/>
  <c r="AD934" i="34"/>
  <c r="AD935" i="34"/>
  <c r="AD936" i="34"/>
  <c r="AD937" i="34"/>
  <c r="AD938" i="34"/>
  <c r="AD939" i="34"/>
  <c r="AD940" i="34"/>
  <c r="AD941" i="34"/>
  <c r="AD942" i="34"/>
  <c r="AD943" i="34"/>
  <c r="AD944" i="34"/>
  <c r="AD945" i="34"/>
  <c r="AD946" i="34"/>
  <c r="AD947" i="34"/>
  <c r="AD948" i="34"/>
  <c r="AD949" i="34"/>
  <c r="AD950" i="34"/>
  <c r="AD951" i="34"/>
  <c r="AD952" i="34"/>
  <c r="AD953" i="34"/>
  <c r="AD954" i="34"/>
  <c r="AD955" i="34"/>
  <c r="AD956" i="34"/>
  <c r="AD957" i="34"/>
  <c r="AD958" i="34"/>
  <c r="AD959" i="34"/>
  <c r="AD960" i="34"/>
  <c r="AD961" i="34"/>
  <c r="AD962" i="34"/>
  <c r="AD963" i="34"/>
  <c r="AD964" i="34"/>
  <c r="AD965" i="34"/>
  <c r="AD966" i="34"/>
  <c r="AD967" i="34"/>
  <c r="AD968" i="34"/>
  <c r="AD969" i="34"/>
  <c r="AD970" i="34"/>
  <c r="AD971" i="34"/>
  <c r="AD972" i="34"/>
  <c r="AD973" i="34"/>
  <c r="AD974" i="34"/>
  <c r="AD975" i="34"/>
  <c r="AD976" i="34"/>
  <c r="AD977" i="34"/>
  <c r="AD978" i="34"/>
  <c r="AD979" i="34"/>
  <c r="AD980" i="34"/>
  <c r="AD981" i="34"/>
  <c r="AD982" i="34"/>
  <c r="AD983" i="34"/>
  <c r="AD984" i="34"/>
  <c r="AD985" i="34"/>
  <c r="AD986" i="34"/>
  <c r="AD987" i="34"/>
  <c r="AD988" i="34"/>
  <c r="AD989" i="34"/>
  <c r="AD990" i="34"/>
  <c r="AD991" i="34"/>
  <c r="AD992" i="34"/>
  <c r="AD993" i="34"/>
  <c r="AD994" i="34"/>
  <c r="AD995" i="34"/>
  <c r="AD996" i="34"/>
  <c r="AD997" i="34"/>
  <c r="AD998" i="34"/>
  <c r="AD999" i="34"/>
  <c r="AD1000" i="34"/>
  <c r="AD1001" i="34"/>
  <c r="AD1002" i="34"/>
  <c r="AD1003" i="34"/>
  <c r="AD1004" i="34"/>
  <c r="AD1005" i="34"/>
  <c r="AD1006" i="34"/>
  <c r="AD1007" i="34"/>
  <c r="AD1008" i="34"/>
  <c r="AD1009" i="34"/>
  <c r="AD1010" i="34"/>
  <c r="AD1011" i="34"/>
  <c r="AD1012" i="34"/>
  <c r="AD1013" i="34"/>
  <c r="AD1014" i="34"/>
  <c r="AD1015" i="34"/>
  <c r="AD1016" i="34"/>
  <c r="AD1017" i="34"/>
  <c r="AD1018" i="34"/>
  <c r="AD1019" i="34"/>
  <c r="AD1020" i="34"/>
  <c r="AD1021" i="34"/>
  <c r="AD1022" i="34"/>
  <c r="AD1023" i="34"/>
  <c r="AD1024" i="34"/>
  <c r="AD1025" i="34"/>
  <c r="Q671" i="34"/>
  <c r="Q670" i="34"/>
  <c r="M671" i="34"/>
  <c r="M670" i="34"/>
  <c r="Q898" i="34"/>
  <c r="M898" i="34"/>
  <c r="Q303" i="34"/>
  <c r="M303" i="34"/>
  <c r="Q161" i="34"/>
  <c r="M161" i="34"/>
  <c r="M159" i="34"/>
  <c r="Q159" i="34"/>
  <c r="AA159" i="34"/>
  <c r="Q21" i="34"/>
  <c r="M21" i="34"/>
  <c r="Q444" i="34"/>
  <c r="M444" i="34"/>
  <c r="Q777" i="34"/>
  <c r="M777" i="34"/>
  <c r="Q774" i="34"/>
  <c r="M774" i="34"/>
  <c r="Q681" i="34"/>
  <c r="M681" i="34"/>
  <c r="Q960" i="34"/>
  <c r="M960" i="34"/>
  <c r="Q959" i="34"/>
  <c r="M959" i="34"/>
  <c r="Q773" i="34"/>
  <c r="M773" i="34"/>
  <c r="Q772" i="34"/>
  <c r="M772" i="34"/>
  <c r="Q506" i="34"/>
  <c r="M506" i="34"/>
  <c r="Q505" i="34"/>
  <c r="M505" i="34"/>
  <c r="Q365" i="34"/>
  <c r="M365" i="34"/>
  <c r="Q364" i="34"/>
  <c r="M364" i="34"/>
  <c r="Q223" i="34"/>
  <c r="M223" i="34"/>
  <c r="Q222" i="34"/>
  <c r="M222" i="34"/>
  <c r="M224" i="34"/>
  <c r="Q224" i="34"/>
  <c r="M225" i="34"/>
  <c r="Q225" i="34"/>
  <c r="Q904" i="34"/>
  <c r="M904" i="34"/>
  <c r="AA894" i="34"/>
  <c r="Q903" i="34"/>
  <c r="M903" i="34"/>
  <c r="Q680" i="34"/>
  <c r="M680" i="34"/>
  <c r="AA673" i="34"/>
  <c r="Q679" i="34"/>
  <c r="M679" i="34"/>
  <c r="Q450" i="34"/>
  <c r="M450" i="34"/>
  <c r="AA445" i="34"/>
  <c r="Q449" i="34"/>
  <c r="M449" i="34"/>
  <c r="Q309" i="34"/>
  <c r="M309" i="34"/>
  <c r="AA306" i="34"/>
  <c r="Q308" i="34"/>
  <c r="M308" i="34"/>
  <c r="Q167" i="34"/>
  <c r="M167" i="34"/>
  <c r="Q166" i="34"/>
  <c r="M166" i="34"/>
  <c r="M168" i="34"/>
  <c r="Q168" i="34"/>
  <c r="M169" i="34"/>
  <c r="Q169" i="34"/>
  <c r="Q83" i="34"/>
  <c r="M83" i="34"/>
  <c r="Q82" i="34"/>
  <c r="M82" i="34"/>
  <c r="Q27" i="34"/>
  <c r="M27" i="34"/>
  <c r="Q26" i="34"/>
  <c r="M26" i="34"/>
  <c r="Q665" i="34"/>
  <c r="Q667" i="34"/>
  <c r="Q668" i="34"/>
  <c r="Q672" i="34"/>
  <c r="Q673" i="34"/>
  <c r="Q674" i="34"/>
  <c r="Q675" i="34"/>
  <c r="Q677" i="34"/>
  <c r="Q678" i="34"/>
  <c r="Q683" i="34"/>
  <c r="Q685" i="34"/>
  <c r="Q686" i="34"/>
  <c r="Q687" i="34"/>
  <c r="Q688" i="34"/>
  <c r="Q689" i="34"/>
  <c r="Q690" i="34"/>
  <c r="Q692" i="34"/>
  <c r="Q693" i="34"/>
  <c r="Q694" i="34"/>
  <c r="Q695" i="34"/>
  <c r="Q696" i="34"/>
  <c r="Q697" i="34"/>
  <c r="Q698" i="34"/>
  <c r="Q699" i="34"/>
  <c r="Q700" i="34"/>
  <c r="Q701" i="34"/>
  <c r="Q702" i="34"/>
  <c r="Q703" i="34"/>
  <c r="Q704" i="34"/>
  <c r="Q705" i="34"/>
  <c r="Q706" i="34"/>
  <c r="Q708" i="34"/>
  <c r="Q709" i="34"/>
  <c r="Q710" i="34"/>
  <c r="Q711" i="34"/>
  <c r="Q712" i="34"/>
  <c r="Q713" i="34"/>
  <c r="Q714" i="34"/>
  <c r="Q715" i="34"/>
  <c r="Q716" i="34"/>
  <c r="Q717" i="34"/>
  <c r="Q719" i="34"/>
  <c r="Q720" i="34"/>
  <c r="Q721" i="34"/>
  <c r="Q722" i="34"/>
  <c r="Q723" i="34"/>
  <c r="Q724" i="34"/>
  <c r="Q725" i="34"/>
  <c r="Q726" i="34"/>
  <c r="Q727" i="34"/>
  <c r="Q728" i="34"/>
  <c r="Q730" i="34"/>
  <c r="Q731" i="34"/>
  <c r="Q732" i="34"/>
  <c r="Q733" i="34"/>
  <c r="Q734" i="34"/>
  <c r="Q735" i="34"/>
  <c r="Q737" i="34"/>
  <c r="Q738" i="34"/>
  <c r="Q740" i="34"/>
  <c r="Q741" i="34"/>
  <c r="Q742" i="34"/>
  <c r="Q743" i="34"/>
  <c r="Q745" i="34"/>
  <c r="Q746" i="34"/>
  <c r="Q747" i="34"/>
  <c r="Q748" i="34"/>
  <c r="Q749" i="34"/>
  <c r="Q750" i="34"/>
  <c r="Q751" i="34"/>
  <c r="Q752" i="34"/>
  <c r="Q753" i="34"/>
  <c r="Q754" i="34"/>
  <c r="Q755" i="34"/>
  <c r="Q756" i="34"/>
  <c r="Q757" i="34"/>
  <c r="Q758" i="34"/>
  <c r="Q759" i="34"/>
  <c r="Q760" i="34"/>
  <c r="Q764" i="34"/>
  <c r="Q765" i="34"/>
  <c r="Q779" i="34"/>
  <c r="Q781" i="34"/>
  <c r="Q782" i="34"/>
  <c r="Q783" i="34"/>
  <c r="Q784" i="34"/>
  <c r="Q785" i="34"/>
  <c r="Q787" i="34"/>
  <c r="Q788" i="34"/>
  <c r="Q789" i="34"/>
  <c r="Q790" i="34"/>
  <c r="Q791" i="34"/>
  <c r="Q792" i="34"/>
  <c r="Q793" i="34"/>
  <c r="Q794" i="34"/>
  <c r="Q795" i="34"/>
  <c r="Q796" i="34"/>
  <c r="Q797" i="34"/>
  <c r="Q798" i="34"/>
  <c r="Q799" i="34"/>
  <c r="Q800" i="34"/>
  <c r="Q801" i="34"/>
  <c r="Q802" i="34"/>
  <c r="Q810" i="34"/>
  <c r="Q812" i="34"/>
  <c r="Q815" i="34"/>
  <c r="Q817" i="34"/>
  <c r="Q819" i="34"/>
  <c r="Q820" i="34"/>
  <c r="Q823" i="34"/>
  <c r="Q825" i="34"/>
  <c r="Q826" i="34"/>
  <c r="Q827" i="34"/>
  <c r="Q828" i="34"/>
  <c r="Q831" i="34"/>
  <c r="Q832" i="34"/>
  <c r="Q833" i="34"/>
  <c r="Q834" i="34"/>
  <c r="Q835" i="34"/>
  <c r="Q836" i="34"/>
  <c r="Q837" i="34"/>
  <c r="Q838" i="34"/>
  <c r="Q839" i="34"/>
  <c r="Q840" i="34"/>
  <c r="Q841" i="34"/>
  <c r="Q842" i="34"/>
  <c r="Q844" i="34"/>
  <c r="Q845" i="34"/>
  <c r="Q846" i="34"/>
  <c r="Q847" i="34"/>
  <c r="Q848" i="34"/>
  <c r="Q849" i="34"/>
  <c r="Q851" i="34"/>
  <c r="Q852" i="34"/>
  <c r="Q859" i="34"/>
  <c r="Q860" i="34"/>
  <c r="Q861" i="34"/>
  <c r="Q862" i="34"/>
  <c r="Q863" i="34"/>
  <c r="Q864" i="34"/>
  <c r="Q865" i="34"/>
  <c r="Q866" i="34"/>
  <c r="Q867" i="34"/>
  <c r="Q868" i="34"/>
  <c r="Q869" i="34"/>
  <c r="Q870" i="34"/>
  <c r="Q871" i="34"/>
  <c r="Q872" i="34"/>
  <c r="Q873" i="34"/>
  <c r="Q874" i="34"/>
  <c r="Q875" i="34"/>
  <c r="Q876" i="34"/>
  <c r="Q877" i="34"/>
  <c r="Q878" i="34"/>
  <c r="Q879" i="34"/>
  <c r="Q880" i="34"/>
  <c r="Q881" i="34"/>
  <c r="Q882" i="34"/>
  <c r="M692" i="34"/>
  <c r="AA141" i="34"/>
  <c r="AA142" i="34"/>
  <c r="AA131" i="34"/>
  <c r="AA132" i="34"/>
  <c r="AA133" i="34"/>
  <c r="AA134" i="34"/>
  <c r="AA135" i="34"/>
  <c r="AA136" i="34"/>
  <c r="AA137" i="34"/>
  <c r="AA138" i="34"/>
  <c r="AA139" i="34"/>
  <c r="AA140" i="34"/>
  <c r="AA122" i="34"/>
  <c r="AA123" i="34"/>
  <c r="AA124" i="34"/>
  <c r="AA125" i="34"/>
  <c r="AA126" i="34"/>
  <c r="AA127" i="34"/>
  <c r="AA128" i="34"/>
  <c r="AA129" i="34"/>
  <c r="AA130" i="34"/>
  <c r="AD3" i="34"/>
  <c r="M858" i="34"/>
  <c r="Q858" i="34"/>
  <c r="AA866" i="34"/>
  <c r="M878" i="34"/>
  <c r="AA862" i="34"/>
  <c r="M874" i="34"/>
  <c r="AA858" i="34"/>
  <c r="M870" i="34"/>
  <c r="AA864" i="34"/>
  <c r="M876" i="34"/>
  <c r="AA860" i="34"/>
  <c r="M872" i="34"/>
  <c r="AA856" i="34"/>
  <c r="M868" i="34"/>
  <c r="AA854" i="34"/>
  <c r="M866" i="34"/>
  <c r="AA852" i="34"/>
  <c r="M864" i="34"/>
  <c r="M877" i="34"/>
  <c r="M875" i="34"/>
  <c r="M873" i="34"/>
  <c r="M871" i="34"/>
  <c r="M869" i="34"/>
  <c r="M867" i="34"/>
  <c r="M865" i="34"/>
  <c r="M863" i="34"/>
  <c r="Q1022" i="34"/>
  <c r="M1022" i="34"/>
  <c r="Q1021" i="34"/>
  <c r="M1021" i="34"/>
  <c r="Q1020" i="34"/>
  <c r="M1020" i="34"/>
  <c r="Q1019" i="34"/>
  <c r="M1019" i="34"/>
  <c r="Q1018" i="34"/>
  <c r="M1018" i="34"/>
  <c r="Q1017" i="34"/>
  <c r="M1017" i="34"/>
  <c r="Q1016" i="34"/>
  <c r="M1016" i="34"/>
  <c r="Q1015" i="34"/>
  <c r="M1015" i="34"/>
  <c r="Q567" i="34"/>
  <c r="M567" i="34"/>
  <c r="Q566" i="34"/>
  <c r="M566" i="34"/>
  <c r="Q565" i="34"/>
  <c r="M565" i="34"/>
  <c r="Q564" i="34"/>
  <c r="M564" i="34"/>
  <c r="Q563" i="34"/>
  <c r="M563" i="34"/>
  <c r="Q562" i="34"/>
  <c r="M562" i="34"/>
  <c r="Q561" i="34"/>
  <c r="M561" i="34"/>
  <c r="Q560" i="34"/>
  <c r="M560" i="34"/>
  <c r="Q427" i="34"/>
  <c r="M427" i="34"/>
  <c r="Q426" i="34"/>
  <c r="M426" i="34"/>
  <c r="Q425" i="34"/>
  <c r="M425" i="34"/>
  <c r="Q424" i="34"/>
  <c r="M424" i="34"/>
  <c r="Q423" i="34"/>
  <c r="M423" i="34"/>
  <c r="Q422" i="34"/>
  <c r="M422" i="34"/>
  <c r="Q421" i="34"/>
  <c r="M421" i="34"/>
  <c r="Q420" i="34"/>
  <c r="M420" i="34"/>
  <c r="Q285" i="34"/>
  <c r="M285" i="34"/>
  <c r="Q284" i="34"/>
  <c r="M284" i="34"/>
  <c r="Q283" i="34"/>
  <c r="M283" i="34"/>
  <c r="Q282" i="34"/>
  <c r="M282" i="34"/>
  <c r="Q281" i="34"/>
  <c r="M281" i="34"/>
  <c r="Q280" i="34"/>
  <c r="M280" i="34"/>
  <c r="Q279" i="34"/>
  <c r="M279" i="34"/>
  <c r="Q278" i="34"/>
  <c r="M278" i="34"/>
  <c r="Q144" i="34"/>
  <c r="M144" i="34"/>
  <c r="Q143" i="34"/>
  <c r="M143" i="34"/>
  <c r="Q142" i="34"/>
  <c r="M142" i="34"/>
  <c r="Q141" i="34"/>
  <c r="M141" i="34"/>
  <c r="Q140" i="34"/>
  <c r="M140" i="34"/>
  <c r="Q139" i="34"/>
  <c r="M139" i="34"/>
  <c r="Q138" i="34"/>
  <c r="M138" i="34"/>
  <c r="Q137" i="34"/>
  <c r="M137" i="34"/>
  <c r="Q964" i="34"/>
  <c r="Q963" i="34"/>
  <c r="Q780" i="34"/>
  <c r="Q778" i="34"/>
  <c r="Q510" i="34"/>
  <c r="Q509" i="34"/>
  <c r="Q369" i="34"/>
  <c r="Q368" i="34"/>
  <c r="Q227" i="34"/>
  <c r="Q226" i="34"/>
  <c r="Q87" i="34"/>
  <c r="Q86" i="34"/>
  <c r="M55" i="34"/>
  <c r="M54" i="34"/>
  <c r="M574" i="34"/>
  <c r="M573" i="34"/>
  <c r="Q574" i="34"/>
  <c r="Q573" i="34"/>
  <c r="Q662" i="34"/>
  <c r="Q657" i="34"/>
  <c r="Q655" i="34"/>
  <c r="M688" i="34"/>
  <c r="M677" i="34"/>
  <c r="M675" i="34"/>
  <c r="M673" i="34"/>
  <c r="M668" i="34"/>
  <c r="M657" i="34"/>
  <c r="M655" i="34"/>
  <c r="M654" i="34"/>
  <c r="M860" i="34"/>
  <c r="M859" i="34"/>
  <c r="AA845" i="34"/>
  <c r="Q857" i="34"/>
  <c r="M857" i="34"/>
  <c r="AA844" i="34"/>
  <c r="Q856" i="34"/>
  <c r="M856" i="34"/>
  <c r="Q855" i="34"/>
  <c r="M855" i="34"/>
  <c r="Q854" i="34"/>
  <c r="M854" i="34"/>
  <c r="Q853" i="34"/>
  <c r="M853" i="34"/>
  <c r="Q1013" i="34"/>
  <c r="M1013" i="34"/>
  <c r="AA998" i="34"/>
  <c r="Q1012" i="34"/>
  <c r="M1012" i="34"/>
  <c r="AA997" i="34"/>
  <c r="Q1011" i="34"/>
  <c r="M1011" i="34"/>
  <c r="Q1010" i="34"/>
  <c r="M1010" i="34"/>
  <c r="Q1009" i="34"/>
  <c r="M1009" i="34"/>
  <c r="Q1008" i="34"/>
  <c r="M1008" i="34"/>
  <c r="Q559" i="34"/>
  <c r="M559" i="34"/>
  <c r="AA548" i="34"/>
  <c r="Q558" i="34"/>
  <c r="M558" i="34"/>
  <c r="AA547" i="34"/>
  <c r="Q557" i="34"/>
  <c r="M557" i="34"/>
  <c r="Q556" i="34"/>
  <c r="M556" i="34"/>
  <c r="Q555" i="34"/>
  <c r="M555" i="34"/>
  <c r="Q554" i="34"/>
  <c r="M554" i="34"/>
  <c r="Q418" i="34"/>
  <c r="M418" i="34"/>
  <c r="AA409" i="34"/>
  <c r="Q417" i="34"/>
  <c r="M417" i="34"/>
  <c r="AA408" i="34"/>
  <c r="Q416" i="34"/>
  <c r="M416" i="34"/>
  <c r="Q415" i="34"/>
  <c r="M415" i="34"/>
  <c r="Q414" i="34"/>
  <c r="M414" i="34"/>
  <c r="Q413" i="34"/>
  <c r="M413" i="34"/>
  <c r="Q276" i="34"/>
  <c r="M276" i="34"/>
  <c r="AA269" i="34"/>
  <c r="Q275" i="34"/>
  <c r="M275" i="34"/>
  <c r="AA268" i="34"/>
  <c r="Q274" i="34"/>
  <c r="M274" i="34"/>
  <c r="Q273" i="34"/>
  <c r="M273" i="34"/>
  <c r="Q272" i="34"/>
  <c r="M272" i="34"/>
  <c r="Q271" i="34"/>
  <c r="M271" i="34"/>
  <c r="M845" i="34"/>
  <c r="AA832" i="34"/>
  <c r="M844" i="34"/>
  <c r="Q843" i="34"/>
  <c r="M843" i="34"/>
  <c r="AA539" i="34"/>
  <c r="Q549" i="34"/>
  <c r="M549" i="34"/>
  <c r="Q548" i="34"/>
  <c r="M548" i="34"/>
  <c r="AA989" i="34"/>
  <c r="Q1003" i="34"/>
  <c r="M1003" i="34"/>
  <c r="Q1002" i="34"/>
  <c r="M1002" i="34"/>
  <c r="AA400" i="34"/>
  <c r="Q408" i="34"/>
  <c r="M408" i="34"/>
  <c r="Q407" i="34"/>
  <c r="M407" i="34"/>
  <c r="M823" i="34"/>
  <c r="Q396" i="34"/>
  <c r="M396" i="34"/>
  <c r="Q395" i="34"/>
  <c r="M395" i="34"/>
  <c r="AA386" i="34"/>
  <c r="Q394" i="34"/>
  <c r="M394" i="34"/>
  <c r="Q537" i="34"/>
  <c r="M537" i="34"/>
  <c r="Q536" i="34"/>
  <c r="M536" i="34"/>
  <c r="AA525" i="34"/>
  <c r="Q535" i="34"/>
  <c r="M535" i="34"/>
  <c r="Q824" i="34"/>
  <c r="M824" i="34"/>
  <c r="Q822" i="34"/>
  <c r="M822" i="34"/>
  <c r="AA809" i="34"/>
  <c r="Q821" i="34"/>
  <c r="M821" i="34"/>
  <c r="Q991" i="34"/>
  <c r="M991" i="34"/>
  <c r="Q990" i="34"/>
  <c r="M990" i="34"/>
  <c r="AA975" i="34"/>
  <c r="Q989" i="34"/>
  <c r="M989" i="34"/>
  <c r="Q254" i="34"/>
  <c r="M254" i="34"/>
  <c r="Q253" i="34"/>
  <c r="M253" i="34"/>
  <c r="AA246" i="34"/>
  <c r="Q252" i="34"/>
  <c r="M252" i="34"/>
  <c r="M817" i="34"/>
  <c r="M815" i="34"/>
  <c r="M812" i="34"/>
  <c r="M810" i="34"/>
  <c r="Q816" i="34"/>
  <c r="M816" i="34"/>
  <c r="Q814" i="34"/>
  <c r="M814" i="34"/>
  <c r="AA801" i="34"/>
  <c r="Q813" i="34"/>
  <c r="M813" i="34"/>
  <c r="Q811" i="34"/>
  <c r="M811" i="34"/>
  <c r="Q809" i="34"/>
  <c r="M809" i="34"/>
  <c r="Q808" i="34"/>
  <c r="M808" i="34"/>
  <c r="Q807" i="34"/>
  <c r="M807" i="34"/>
  <c r="Q249" i="34"/>
  <c r="M249" i="34"/>
  <c r="Q248" i="34"/>
  <c r="M248" i="34"/>
  <c r="AA241" i="34"/>
  <c r="Q247" i="34"/>
  <c r="M247" i="34"/>
  <c r="Q246" i="34"/>
  <c r="M246" i="34"/>
  <c r="AA239" i="34"/>
  <c r="Q245" i="34"/>
  <c r="M245" i="34"/>
  <c r="Q244" i="34"/>
  <c r="M244" i="34"/>
  <c r="AA237" i="34"/>
  <c r="Q243" i="34"/>
  <c r="M243" i="34"/>
  <c r="Q391" i="34"/>
  <c r="M391" i="34"/>
  <c r="Q390" i="34"/>
  <c r="M390" i="34"/>
  <c r="AA381" i="34"/>
  <c r="Q389" i="34"/>
  <c r="M389" i="34"/>
  <c r="Q388" i="34"/>
  <c r="M388" i="34"/>
  <c r="AA379" i="34"/>
  <c r="Q387" i="34"/>
  <c r="M387" i="34"/>
  <c r="Q386" i="34"/>
  <c r="M386" i="34"/>
  <c r="AA377" i="34"/>
  <c r="Q385" i="34"/>
  <c r="M385" i="34"/>
  <c r="Q532" i="34"/>
  <c r="M532" i="34"/>
  <c r="Q531" i="34"/>
  <c r="M531" i="34"/>
  <c r="AA520" i="34"/>
  <c r="Q530" i="34"/>
  <c r="M530" i="34"/>
  <c r="Q529" i="34"/>
  <c r="M529" i="34"/>
  <c r="AA518" i="34"/>
  <c r="Q528" i="34"/>
  <c r="M528" i="34"/>
  <c r="Q527" i="34"/>
  <c r="M527" i="34"/>
  <c r="AA516" i="34"/>
  <c r="Q526" i="34"/>
  <c r="M526" i="34"/>
  <c r="Q986" i="34"/>
  <c r="M986" i="34"/>
  <c r="Q985" i="34"/>
  <c r="M985" i="34"/>
  <c r="Q984" i="34"/>
  <c r="M984" i="34"/>
  <c r="Q983" i="34"/>
  <c r="M983" i="34"/>
  <c r="Q982" i="34"/>
  <c r="M982" i="34"/>
  <c r="Q981" i="34"/>
  <c r="M981" i="34"/>
  <c r="Q980" i="34"/>
  <c r="M980" i="34"/>
  <c r="M781" i="34"/>
  <c r="M779" i="34"/>
  <c r="M780" i="34"/>
  <c r="M778" i="34"/>
  <c r="Q776" i="34"/>
  <c r="M776" i="34"/>
  <c r="Q775" i="34"/>
  <c r="M775" i="34"/>
  <c r="M964" i="34"/>
  <c r="M963" i="34"/>
  <c r="Q962" i="34"/>
  <c r="M962" i="34"/>
  <c r="Q961" i="34"/>
  <c r="M961" i="34"/>
  <c r="M510" i="34"/>
  <c r="M509" i="34"/>
  <c r="Q508" i="34"/>
  <c r="M508" i="34"/>
  <c r="Q507" i="34"/>
  <c r="M507" i="34"/>
  <c r="M369" i="34"/>
  <c r="M368" i="34"/>
  <c r="Q367" i="34"/>
  <c r="M367" i="34"/>
  <c r="Q366" i="34"/>
  <c r="M366" i="34"/>
  <c r="M227" i="34"/>
  <c r="M226" i="34"/>
  <c r="M683" i="34"/>
  <c r="Q682" i="34"/>
  <c r="AA668" i="34"/>
  <c r="Q684" i="34"/>
  <c r="M684" i="34"/>
  <c r="AA667" i="34"/>
  <c r="M682" i="34"/>
  <c r="Q906" i="34"/>
  <c r="M906" i="34"/>
  <c r="AA890" i="34"/>
  <c r="Q905" i="34"/>
  <c r="M905" i="34"/>
  <c r="Q452" i="34"/>
  <c r="M452" i="34"/>
  <c r="AA440" i="34"/>
  <c r="Q451" i="34"/>
  <c r="M451" i="34"/>
  <c r="Q311" i="34"/>
  <c r="M311" i="34"/>
  <c r="AA301" i="34"/>
  <c r="Q310" i="34"/>
  <c r="M310" i="34"/>
  <c r="M665" i="34"/>
  <c r="Q666" i="34"/>
  <c r="M666" i="34"/>
  <c r="Q664" i="34"/>
  <c r="M664" i="34"/>
  <c r="Q895" i="34"/>
  <c r="M895" i="34"/>
  <c r="Q894" i="34"/>
  <c r="M894" i="34"/>
  <c r="Q441" i="34"/>
  <c r="M441" i="34"/>
  <c r="Q440" i="34"/>
  <c r="M440" i="34"/>
  <c r="Q300" i="34"/>
  <c r="M300" i="34"/>
  <c r="Q299" i="34"/>
  <c r="M299" i="34"/>
  <c r="Q158" i="34"/>
  <c r="M158" i="34"/>
  <c r="Q157" i="34"/>
  <c r="M157" i="34"/>
  <c r="Q136" i="34"/>
  <c r="M136" i="34"/>
  <c r="Q135" i="34"/>
  <c r="M135" i="34"/>
  <c r="Q134" i="34"/>
  <c r="M134" i="34"/>
  <c r="Q133" i="34"/>
  <c r="M133" i="34"/>
  <c r="Q132" i="34"/>
  <c r="M132" i="34"/>
  <c r="Q131" i="34"/>
  <c r="M131" i="34"/>
  <c r="Q126" i="34"/>
  <c r="M126" i="34"/>
  <c r="Q125" i="34"/>
  <c r="M125" i="34"/>
  <c r="Q266" i="34"/>
  <c r="M266" i="34"/>
  <c r="Q265" i="34"/>
  <c r="M265" i="34"/>
  <c r="Q113" i="34"/>
  <c r="M113" i="34"/>
  <c r="Q114" i="34"/>
  <c r="M114" i="34"/>
  <c r="Q112" i="34"/>
  <c r="M112" i="34"/>
  <c r="Q106" i="34"/>
  <c r="M106" i="34"/>
  <c r="Q105" i="34"/>
  <c r="M105" i="34"/>
  <c r="M108" i="34"/>
  <c r="Q108" i="34"/>
  <c r="Q109" i="34"/>
  <c r="M109" i="34"/>
  <c r="Q107" i="34"/>
  <c r="M107" i="34"/>
  <c r="Q104" i="34"/>
  <c r="M104" i="34"/>
  <c r="Q103" i="34"/>
  <c r="M103" i="34"/>
  <c r="M87" i="34"/>
  <c r="M86" i="34"/>
  <c r="Q85" i="34"/>
  <c r="M85" i="34"/>
  <c r="Q84" i="34"/>
  <c r="M84" i="34"/>
  <c r="M28" i="34"/>
  <c r="Q29" i="34"/>
  <c r="M29" i="34"/>
  <c r="Q28" i="34"/>
  <c r="Q6" i="34"/>
  <c r="Q7" i="34"/>
  <c r="M6" i="34"/>
  <c r="M7" i="34"/>
  <c r="Q18" i="34"/>
  <c r="M18" i="34"/>
  <c r="Q17" i="34"/>
  <c r="M17" i="34"/>
  <c r="M14" i="34"/>
  <c r="M882" i="34"/>
  <c r="M880" i="34"/>
  <c r="M862" i="34"/>
  <c r="M852" i="34"/>
  <c r="M849" i="34"/>
  <c r="M847" i="34"/>
  <c r="M842" i="34"/>
  <c r="M840" i="34"/>
  <c r="M838" i="34"/>
  <c r="M836" i="34"/>
  <c r="M834" i="34"/>
  <c r="M832" i="34"/>
  <c r="M828" i="34"/>
  <c r="M826" i="34"/>
  <c r="M820" i="34"/>
  <c r="M802" i="34"/>
  <c r="M800" i="34"/>
  <c r="M798" i="34"/>
  <c r="M796" i="34"/>
  <c r="M794" i="34"/>
  <c r="M792" i="34"/>
  <c r="M790" i="34"/>
  <c r="M788" i="34"/>
  <c r="M785" i="34"/>
  <c r="M783" i="34"/>
  <c r="M765" i="34"/>
  <c r="M760" i="34"/>
  <c r="M758" i="34"/>
  <c r="M756" i="34"/>
  <c r="M754" i="34"/>
  <c r="M752" i="34"/>
  <c r="M753" i="34"/>
  <c r="AA731" i="34"/>
  <c r="M750" i="34"/>
  <c r="M748" i="34"/>
  <c r="M749" i="34"/>
  <c r="AA727" i="34"/>
  <c r="M746" i="34"/>
  <c r="M743" i="34"/>
  <c r="M741" i="34"/>
  <c r="M738" i="34"/>
  <c r="M737" i="34"/>
  <c r="M735" i="34"/>
  <c r="M733" i="34"/>
  <c r="M731" i="34"/>
  <c r="M728" i="34"/>
  <c r="M726" i="34"/>
  <c r="M724" i="34"/>
  <c r="M722" i="34"/>
  <c r="M720" i="34"/>
  <c r="M717" i="34"/>
  <c r="M715" i="34"/>
  <c r="M713" i="34"/>
  <c r="M711" i="34"/>
  <c r="M709" i="34"/>
  <c r="M704" i="34"/>
  <c r="M700" i="34"/>
  <c r="M698" i="34"/>
  <c r="M697" i="34"/>
  <c r="M696" i="34"/>
  <c r="M694" i="34"/>
  <c r="M690" i="34"/>
  <c r="M686" i="34"/>
  <c r="M702" i="34"/>
  <c r="M659" i="34"/>
  <c r="Q659" i="34"/>
  <c r="M689" i="34"/>
  <c r="M64" i="34"/>
  <c r="N6" i="24"/>
  <c r="M8" i="34"/>
  <c r="M9" i="34"/>
  <c r="M10" i="34"/>
  <c r="M11" i="34"/>
  <c r="M12" i="34"/>
  <c r="M13" i="34"/>
  <c r="M15" i="34"/>
  <c r="M16" i="34"/>
  <c r="M19" i="34"/>
  <c r="M20" i="34"/>
  <c r="M22" i="34"/>
  <c r="M23" i="34"/>
  <c r="M24" i="34"/>
  <c r="M25" i="34"/>
  <c r="M30" i="34"/>
  <c r="M31" i="34"/>
  <c r="M32" i="34"/>
  <c r="M33" i="34"/>
  <c r="M34" i="34"/>
  <c r="M35" i="34"/>
  <c r="M36" i="34"/>
  <c r="M37" i="34"/>
  <c r="M38" i="34"/>
  <c r="M39" i="34"/>
  <c r="M40" i="34"/>
  <c r="M41" i="34"/>
  <c r="M42" i="34"/>
  <c r="M43" i="34"/>
  <c r="M44" i="34"/>
  <c r="M45" i="34"/>
  <c r="M46" i="34"/>
  <c r="M47" i="34"/>
  <c r="M48" i="34"/>
  <c r="M49" i="34"/>
  <c r="M50" i="34"/>
  <c r="M51" i="34"/>
  <c r="M52" i="34"/>
  <c r="M53" i="34"/>
  <c r="M56" i="34"/>
  <c r="M57" i="34"/>
  <c r="M58" i="34"/>
  <c r="M59" i="34"/>
  <c r="M61" i="34"/>
  <c r="M62" i="34"/>
  <c r="M63" i="34"/>
  <c r="M65" i="34"/>
  <c r="M66" i="34"/>
  <c r="M67" i="34"/>
  <c r="M68" i="34"/>
  <c r="M69" i="34"/>
  <c r="M70" i="34"/>
  <c r="M71" i="34"/>
  <c r="M72" i="34"/>
  <c r="M73" i="34"/>
  <c r="M74" i="34"/>
  <c r="M75" i="34"/>
  <c r="M76" i="34"/>
  <c r="M77" i="34"/>
  <c r="M78" i="34"/>
  <c r="M79" i="34"/>
  <c r="M80" i="34"/>
  <c r="M81" i="34"/>
  <c r="M88" i="34"/>
  <c r="M89" i="34"/>
  <c r="M91" i="34"/>
  <c r="M92" i="34"/>
  <c r="M93" i="34"/>
  <c r="M94" i="34"/>
  <c r="M95" i="34"/>
  <c r="M96" i="34"/>
  <c r="M97" i="34"/>
  <c r="M98" i="34"/>
  <c r="M99" i="34"/>
  <c r="M100" i="34"/>
  <c r="M101" i="34"/>
  <c r="M102" i="34"/>
  <c r="M110" i="34"/>
  <c r="M111" i="34"/>
  <c r="M115" i="34"/>
  <c r="M116" i="34"/>
  <c r="M117" i="34"/>
  <c r="M118" i="34"/>
  <c r="M119" i="34"/>
  <c r="M120" i="34"/>
  <c r="M121" i="34"/>
  <c r="M122" i="34"/>
  <c r="M123" i="34"/>
  <c r="M124" i="34"/>
  <c r="M127" i="34"/>
  <c r="M128" i="34"/>
  <c r="M129" i="34"/>
  <c r="M130" i="34"/>
  <c r="M145" i="34"/>
  <c r="M148" i="34"/>
  <c r="M149" i="34"/>
  <c r="M150" i="34"/>
  <c r="M151" i="34"/>
  <c r="M152" i="34"/>
  <c r="M153" i="34"/>
  <c r="M154" i="34"/>
  <c r="M155" i="34"/>
  <c r="M156" i="34"/>
  <c r="M160" i="34"/>
  <c r="M162" i="34"/>
  <c r="M163" i="34"/>
  <c r="M164" i="34"/>
  <c r="M165" i="34"/>
  <c r="M170" i="34"/>
  <c r="M171" i="34"/>
  <c r="M172" i="34"/>
  <c r="M173" i="34"/>
  <c r="M174" i="34"/>
  <c r="M175" i="34"/>
  <c r="M176" i="34"/>
  <c r="M177" i="34"/>
  <c r="M178" i="34"/>
  <c r="M179" i="34"/>
  <c r="M180" i="34"/>
  <c r="M181" i="34"/>
  <c r="M182" i="34"/>
  <c r="M183" i="34"/>
  <c r="M184" i="34"/>
  <c r="M185" i="34"/>
  <c r="M186" i="34"/>
  <c r="M187" i="34"/>
  <c r="M188" i="34"/>
  <c r="M189" i="34"/>
  <c r="M190" i="34"/>
  <c r="M191" i="34"/>
  <c r="M192" i="34"/>
  <c r="M193" i="34"/>
  <c r="M194" i="34"/>
  <c r="M195" i="34"/>
  <c r="M196" i="34"/>
  <c r="M197" i="34"/>
  <c r="M198" i="34"/>
  <c r="M199" i="34"/>
  <c r="M201" i="34"/>
  <c r="M202" i="34"/>
  <c r="M203" i="34"/>
  <c r="M204" i="34"/>
  <c r="M205" i="34"/>
  <c r="M206" i="34"/>
  <c r="M207" i="34"/>
  <c r="M208" i="34"/>
  <c r="M209" i="34"/>
  <c r="M210" i="34"/>
  <c r="M211" i="34"/>
  <c r="M212" i="34"/>
  <c r="M213" i="34"/>
  <c r="M214" i="34"/>
  <c r="M215" i="34"/>
  <c r="M216" i="34"/>
  <c r="M217" i="34"/>
  <c r="M218" i="34"/>
  <c r="M219" i="34"/>
  <c r="M220" i="34"/>
  <c r="M221" i="34"/>
  <c r="M228" i="34"/>
  <c r="M229" i="34"/>
  <c r="M231" i="34"/>
  <c r="M232" i="34"/>
  <c r="M233" i="34"/>
  <c r="M234" i="34"/>
  <c r="M235" i="34"/>
  <c r="M236" i="34"/>
  <c r="M237" i="34"/>
  <c r="M238" i="34"/>
  <c r="M239" i="34"/>
  <c r="M240" i="34"/>
  <c r="M241" i="34"/>
  <c r="M242" i="34"/>
  <c r="M250" i="34"/>
  <c r="M251" i="34"/>
  <c r="M255" i="34"/>
  <c r="M256" i="34"/>
  <c r="M257" i="34"/>
  <c r="M258" i="34"/>
  <c r="M259" i="34"/>
  <c r="M260" i="34"/>
  <c r="M261" i="34"/>
  <c r="M262" i="34"/>
  <c r="M263" i="34"/>
  <c r="M264" i="34"/>
  <c r="M267" i="34"/>
  <c r="M268" i="34"/>
  <c r="M269" i="34"/>
  <c r="M270" i="34"/>
  <c r="M277" i="34"/>
  <c r="M286" i="34"/>
  <c r="M287" i="34"/>
  <c r="M290" i="34"/>
  <c r="M291" i="34"/>
  <c r="M292" i="34"/>
  <c r="M293" i="34"/>
  <c r="M294" i="34"/>
  <c r="M295" i="34"/>
  <c r="M296" i="34"/>
  <c r="M297" i="34"/>
  <c r="M298" i="34"/>
  <c r="M301" i="34"/>
  <c r="M302" i="34"/>
  <c r="M304" i="34"/>
  <c r="M305" i="34"/>
  <c r="M306" i="34"/>
  <c r="M307" i="34"/>
  <c r="M312" i="34"/>
  <c r="M313" i="34"/>
  <c r="M314" i="34"/>
  <c r="M315" i="34"/>
  <c r="M316" i="34"/>
  <c r="M317" i="34"/>
  <c r="M318" i="34"/>
  <c r="M319" i="34"/>
  <c r="M320" i="34"/>
  <c r="M321" i="34"/>
  <c r="M322" i="34"/>
  <c r="M323" i="34"/>
  <c r="M324" i="34"/>
  <c r="M325" i="34"/>
  <c r="M326" i="34"/>
  <c r="M327" i="34"/>
  <c r="M328" i="34"/>
  <c r="M329" i="34"/>
  <c r="M330" i="34"/>
  <c r="M331" i="34"/>
  <c r="M332" i="34"/>
  <c r="M333" i="34"/>
  <c r="M334" i="34"/>
  <c r="M335" i="34"/>
  <c r="M336" i="34"/>
  <c r="M337" i="34"/>
  <c r="M338" i="34"/>
  <c r="M339" i="34"/>
  <c r="M340" i="34"/>
  <c r="M341" i="34"/>
  <c r="M343" i="34"/>
  <c r="M344" i="34"/>
  <c r="M345" i="34"/>
  <c r="M346" i="34"/>
  <c r="M347" i="34"/>
  <c r="M348" i="34"/>
  <c r="M349" i="34"/>
  <c r="M350" i="34"/>
  <c r="M351" i="34"/>
  <c r="M352" i="34"/>
  <c r="M353" i="34"/>
  <c r="M354" i="34"/>
  <c r="M355" i="34"/>
  <c r="M356" i="34"/>
  <c r="M357" i="34"/>
  <c r="M358" i="34"/>
  <c r="M359" i="34"/>
  <c r="M360" i="34"/>
  <c r="M361" i="34"/>
  <c r="M362" i="34"/>
  <c r="M363" i="34"/>
  <c r="M370" i="34"/>
  <c r="M371" i="34"/>
  <c r="M373" i="34"/>
  <c r="M374" i="34"/>
  <c r="M375" i="34"/>
  <c r="M376" i="34"/>
  <c r="M377" i="34"/>
  <c r="M378" i="34"/>
  <c r="M379" i="34"/>
  <c r="M380" i="34"/>
  <c r="M381" i="34"/>
  <c r="M382" i="34"/>
  <c r="M383" i="34"/>
  <c r="M384" i="34"/>
  <c r="M392" i="34"/>
  <c r="M393" i="34"/>
  <c r="M397" i="34"/>
  <c r="M398" i="34"/>
  <c r="M399" i="34"/>
  <c r="M400" i="34"/>
  <c r="M401" i="34"/>
  <c r="M402" i="34"/>
  <c r="M403" i="34"/>
  <c r="M404" i="34"/>
  <c r="M405" i="34"/>
  <c r="M406" i="34"/>
  <c r="M409" i="34"/>
  <c r="M410" i="34"/>
  <c r="M411" i="34"/>
  <c r="M412" i="34"/>
  <c r="M419" i="34"/>
  <c r="M428" i="34"/>
  <c r="M431" i="34"/>
  <c r="M432" i="34"/>
  <c r="M433" i="34"/>
  <c r="M434" i="34"/>
  <c r="M435" i="34"/>
  <c r="M436" i="34"/>
  <c r="M437" i="34"/>
  <c r="M438" i="34"/>
  <c r="M439" i="34"/>
  <c r="M442" i="34"/>
  <c r="M443" i="34"/>
  <c r="M445" i="34"/>
  <c r="M446" i="34"/>
  <c r="M447" i="34"/>
  <c r="M448" i="34"/>
  <c r="M453" i="34"/>
  <c r="M454" i="34"/>
  <c r="M455" i="34"/>
  <c r="M456" i="34"/>
  <c r="M457" i="34"/>
  <c r="M458" i="34"/>
  <c r="M459" i="34"/>
  <c r="M460" i="34"/>
  <c r="M461" i="34"/>
  <c r="M462" i="34"/>
  <c r="M463" i="34"/>
  <c r="M464" i="34"/>
  <c r="M465" i="34"/>
  <c r="M466" i="34"/>
  <c r="M467" i="34"/>
  <c r="M468" i="34"/>
  <c r="M469" i="34"/>
  <c r="M470" i="34"/>
  <c r="M471" i="34"/>
  <c r="M472" i="34"/>
  <c r="M473" i="34"/>
  <c r="M474" i="34"/>
  <c r="M475" i="34"/>
  <c r="M476" i="34"/>
  <c r="M477" i="34"/>
  <c r="M478" i="34"/>
  <c r="M479" i="34"/>
  <c r="M480" i="34"/>
  <c r="M481" i="34"/>
  <c r="M482" i="34"/>
  <c r="M484" i="34"/>
  <c r="M485" i="34"/>
  <c r="M486" i="34"/>
  <c r="M487" i="34"/>
  <c r="M488" i="34"/>
  <c r="M489" i="34"/>
  <c r="M490" i="34"/>
  <c r="M491" i="34"/>
  <c r="M492" i="34"/>
  <c r="M493" i="34"/>
  <c r="M494" i="34"/>
  <c r="M495" i="34"/>
  <c r="M496" i="34"/>
  <c r="M497" i="34"/>
  <c r="M498" i="34"/>
  <c r="M499" i="34"/>
  <c r="M500" i="34"/>
  <c r="M501" i="34"/>
  <c r="M502" i="34"/>
  <c r="M503" i="34"/>
  <c r="M504" i="34"/>
  <c r="M511" i="34"/>
  <c r="M512" i="34"/>
  <c r="M514" i="34"/>
  <c r="M515" i="34"/>
  <c r="M516" i="34"/>
  <c r="M517" i="34"/>
  <c r="M518" i="34"/>
  <c r="M519" i="34"/>
  <c r="M520" i="34"/>
  <c r="M521" i="34"/>
  <c r="M522" i="34"/>
  <c r="M523" i="34"/>
  <c r="M524" i="34"/>
  <c r="M525" i="34"/>
  <c r="M533" i="34"/>
  <c r="M534" i="34"/>
  <c r="M538" i="34"/>
  <c r="M539" i="34"/>
  <c r="M540" i="34"/>
  <c r="M541" i="34"/>
  <c r="M542" i="34"/>
  <c r="M543" i="34"/>
  <c r="M544" i="34"/>
  <c r="M545" i="34"/>
  <c r="M546" i="34"/>
  <c r="M547" i="34"/>
  <c r="M550" i="34"/>
  <c r="M551" i="34"/>
  <c r="M552" i="34"/>
  <c r="M553" i="34"/>
  <c r="M568" i="34"/>
  <c r="M571" i="34"/>
  <c r="M572" i="34"/>
  <c r="M575" i="34"/>
  <c r="M576" i="34"/>
  <c r="M577" i="34"/>
  <c r="M578" i="34"/>
  <c r="M579" i="34"/>
  <c r="M580" i="34"/>
  <c r="M581" i="34"/>
  <c r="M582" i="34"/>
  <c r="M583" i="34"/>
  <c r="M584" i="34"/>
  <c r="M585" i="34"/>
  <c r="M586" i="34"/>
  <c r="M587" i="34"/>
  <c r="M588" i="34"/>
  <c r="M589" i="34"/>
  <c r="M590" i="34"/>
  <c r="M591" i="34"/>
  <c r="M592" i="34"/>
  <c r="M593" i="34"/>
  <c r="M594" i="34"/>
  <c r="M595" i="34"/>
  <c r="M596" i="34"/>
  <c r="M597" i="34"/>
  <c r="M598" i="34"/>
  <c r="M599" i="34"/>
  <c r="M600" i="34"/>
  <c r="M601" i="34"/>
  <c r="M603" i="34"/>
  <c r="M604" i="34"/>
  <c r="M605" i="34"/>
  <c r="M606" i="34"/>
  <c r="M607" i="34"/>
  <c r="M608" i="34"/>
  <c r="M609" i="34"/>
  <c r="M610" i="34"/>
  <c r="M611" i="34"/>
  <c r="M612" i="34"/>
  <c r="M613" i="34"/>
  <c r="M614" i="34"/>
  <c r="M615" i="34"/>
  <c r="M616" i="34"/>
  <c r="M617" i="34"/>
  <c r="M618" i="34"/>
  <c r="M619" i="34"/>
  <c r="M620" i="34"/>
  <c r="M621" i="34"/>
  <c r="M622" i="34"/>
  <c r="M623" i="34"/>
  <c r="M624" i="34"/>
  <c r="M625" i="34"/>
  <c r="M627" i="34"/>
  <c r="M628" i="34"/>
  <c r="M629" i="34"/>
  <c r="M630" i="34"/>
  <c r="M631" i="34"/>
  <c r="M632" i="34"/>
  <c r="M633" i="34"/>
  <c r="M634" i="34"/>
  <c r="M635" i="34"/>
  <c r="M636" i="34"/>
  <c r="M637" i="34"/>
  <c r="M638" i="34"/>
  <c r="M639" i="34"/>
  <c r="M640" i="34"/>
  <c r="M641" i="34"/>
  <c r="M642" i="34"/>
  <c r="M643" i="34"/>
  <c r="M644" i="34"/>
  <c r="M645" i="34"/>
  <c r="M646" i="34"/>
  <c r="M647" i="34"/>
  <c r="M648" i="34"/>
  <c r="M651" i="34"/>
  <c r="M652" i="34"/>
  <c r="M653" i="34"/>
  <c r="M656" i="34"/>
  <c r="M658" i="34"/>
  <c r="M660" i="34"/>
  <c r="M661" i="34"/>
  <c r="M663" i="34"/>
  <c r="M667" i="34"/>
  <c r="M669" i="34"/>
  <c r="M672" i="34"/>
  <c r="M674" i="34"/>
  <c r="M676" i="34"/>
  <c r="M678" i="34"/>
  <c r="M685" i="34"/>
  <c r="M687" i="34"/>
  <c r="M691" i="34"/>
  <c r="M693" i="34"/>
  <c r="M695" i="34"/>
  <c r="M699" i="34"/>
  <c r="M701" i="34"/>
  <c r="M703" i="34"/>
  <c r="M705" i="34"/>
  <c r="M706" i="34"/>
  <c r="M707" i="34"/>
  <c r="M708" i="34"/>
  <c r="M710" i="34"/>
  <c r="M712" i="34"/>
  <c r="M714" i="34"/>
  <c r="M716" i="34"/>
  <c r="M718" i="34"/>
  <c r="M719" i="34"/>
  <c r="M721" i="34"/>
  <c r="M723" i="34"/>
  <c r="M725" i="34"/>
  <c r="M727" i="34"/>
  <c r="M729" i="34"/>
  <c r="M730" i="34"/>
  <c r="M732" i="34"/>
  <c r="M734" i="34"/>
  <c r="M736" i="34"/>
  <c r="M740" i="34"/>
  <c r="M742" i="34"/>
  <c r="M744" i="34"/>
  <c r="M745" i="34"/>
  <c r="M747" i="34"/>
  <c r="M751" i="34"/>
  <c r="M755" i="34"/>
  <c r="M757" i="34"/>
  <c r="M759" i="34"/>
  <c r="M761" i="34"/>
  <c r="M762" i="34"/>
  <c r="M763" i="34"/>
  <c r="M764" i="34"/>
  <c r="M766" i="34"/>
  <c r="M767" i="34"/>
  <c r="M768" i="34"/>
  <c r="M769" i="34"/>
  <c r="M770" i="34"/>
  <c r="M771" i="34"/>
  <c r="M782" i="34"/>
  <c r="M784" i="34"/>
  <c r="M787" i="34"/>
  <c r="M789" i="34"/>
  <c r="M791" i="34"/>
  <c r="M793" i="34"/>
  <c r="M795" i="34"/>
  <c r="M797" i="34"/>
  <c r="M799" i="34"/>
  <c r="M801" i="34"/>
  <c r="M803" i="34"/>
  <c r="M804" i="34"/>
  <c r="M805" i="34"/>
  <c r="M806" i="34"/>
  <c r="M818" i="34"/>
  <c r="M819" i="34"/>
  <c r="M825" i="34"/>
  <c r="M827" i="34"/>
  <c r="M829" i="34"/>
  <c r="M830" i="34"/>
  <c r="M831" i="34"/>
  <c r="M833" i="34"/>
  <c r="M835" i="34"/>
  <c r="M837" i="34"/>
  <c r="M839" i="34"/>
  <c r="M841" i="34"/>
  <c r="M846" i="34"/>
  <c r="M848" i="34"/>
  <c r="M850" i="34"/>
  <c r="M851" i="34"/>
  <c r="M861" i="34"/>
  <c r="M879" i="34"/>
  <c r="M881" i="34"/>
  <c r="M885" i="34"/>
  <c r="M886" i="34"/>
  <c r="M887" i="34"/>
  <c r="M888" i="34"/>
  <c r="M889" i="34"/>
  <c r="M890" i="34"/>
  <c r="M891" i="34"/>
  <c r="M892" i="34"/>
  <c r="M893" i="34"/>
  <c r="M896" i="34"/>
  <c r="M897" i="34"/>
  <c r="M899" i="34"/>
  <c r="M900" i="34"/>
  <c r="M901" i="34"/>
  <c r="M902" i="34"/>
  <c r="M907" i="34"/>
  <c r="M908" i="34"/>
  <c r="M909" i="34"/>
  <c r="M910" i="34"/>
  <c r="M911" i="34"/>
  <c r="M912" i="34"/>
  <c r="M913" i="34"/>
  <c r="M914" i="34"/>
  <c r="M915" i="34"/>
  <c r="M916" i="34"/>
  <c r="M917" i="34"/>
  <c r="M918" i="34"/>
  <c r="M919" i="34"/>
  <c r="M920" i="34"/>
  <c r="M921" i="34"/>
  <c r="M922" i="34"/>
  <c r="M923" i="34"/>
  <c r="M924" i="34"/>
  <c r="M925" i="34"/>
  <c r="M926" i="34"/>
  <c r="M927" i="34"/>
  <c r="M928" i="34"/>
  <c r="M929" i="34"/>
  <c r="M930" i="34"/>
  <c r="M931" i="34"/>
  <c r="M932" i="34"/>
  <c r="M933" i="34"/>
  <c r="M934" i="34"/>
  <c r="M935" i="34"/>
  <c r="M936" i="34"/>
  <c r="M938" i="34"/>
  <c r="M939" i="34"/>
  <c r="M940" i="34"/>
  <c r="M941" i="34"/>
  <c r="M942" i="34"/>
  <c r="M943" i="34"/>
  <c r="M944" i="34"/>
  <c r="M945" i="34"/>
  <c r="M946" i="34"/>
  <c r="M947" i="34"/>
  <c r="M948" i="34"/>
  <c r="M949" i="34"/>
  <c r="M950" i="34"/>
  <c r="M951" i="34"/>
  <c r="M952" i="34"/>
  <c r="M953" i="34"/>
  <c r="M954" i="34"/>
  <c r="M955" i="34"/>
  <c r="M956" i="34"/>
  <c r="M957" i="34"/>
  <c r="M958" i="34"/>
  <c r="M965" i="34"/>
  <c r="M966" i="34"/>
  <c r="M968" i="34"/>
  <c r="M969" i="34"/>
  <c r="M970" i="34"/>
  <c r="M971" i="34"/>
  <c r="M972" i="34"/>
  <c r="M973" i="34"/>
  <c r="M974" i="34"/>
  <c r="M975" i="34"/>
  <c r="M976" i="34"/>
  <c r="M977" i="34"/>
  <c r="M978" i="34"/>
  <c r="M979" i="34"/>
  <c r="M987" i="34"/>
  <c r="M988" i="34"/>
  <c r="M992" i="34"/>
  <c r="M993" i="34"/>
  <c r="M994" i="34"/>
  <c r="M995" i="34"/>
  <c r="M996" i="34"/>
  <c r="M997" i="34"/>
  <c r="M998" i="34"/>
  <c r="M999" i="34"/>
  <c r="M1000" i="34"/>
  <c r="M1001" i="34"/>
  <c r="M1004" i="34"/>
  <c r="M1005" i="34"/>
  <c r="M1006" i="34"/>
  <c r="M1007" i="34"/>
  <c r="M1014" i="34"/>
  <c r="M1023" i="34"/>
  <c r="M1024" i="34"/>
  <c r="Q955" i="34"/>
  <c r="Q768" i="34"/>
  <c r="Q620" i="34"/>
  <c r="Q501" i="34"/>
  <c r="Q434" i="34"/>
  <c r="Q360" i="34"/>
  <c r="Q218" i="34"/>
  <c r="Q156" i="34"/>
  <c r="Q151" i="34"/>
  <c r="Q150" i="34"/>
  <c r="Q78" i="34"/>
  <c r="Q33" i="34"/>
  <c r="Q32" i="34"/>
  <c r="Q16" i="34"/>
  <c r="Q654" i="34"/>
  <c r="Q653" i="34"/>
  <c r="Q888" i="34"/>
  <c r="Q887" i="34"/>
  <c r="Q996" i="34"/>
  <c r="Q542" i="34"/>
  <c r="Q401" i="34"/>
  <c r="Q259" i="34"/>
  <c r="Q119" i="34"/>
  <c r="Q8" i="24" a="1"/>
  <c r="Q8" i="24"/>
  <c r="Q7" i="24" a="1"/>
  <c r="Q7" i="24"/>
  <c r="Q6" i="24" a="1"/>
  <c r="Q6" i="24"/>
  <c r="Q5" i="24" a="1"/>
  <c r="Q5" i="24"/>
  <c r="P8" i="24" a="1"/>
  <c r="P8" i="24"/>
  <c r="P7" i="24" a="1"/>
  <c r="P7" i="24"/>
  <c r="P6" i="24" a="1"/>
  <c r="P6" i="24"/>
  <c r="P5" i="24" a="1"/>
  <c r="P5" i="24"/>
  <c r="O8" i="24" a="1"/>
  <c r="O8" i="24"/>
  <c r="O7" i="24" a="1"/>
  <c r="O7" i="24"/>
  <c r="O6" i="24" a="1"/>
  <c r="O6" i="24"/>
  <c r="O5" i="24" a="1"/>
  <c r="O5" i="24"/>
  <c r="N8" i="24" a="1"/>
  <c r="N8" i="24"/>
  <c r="N7" i="24" a="1"/>
  <c r="N7" i="24"/>
  <c r="N5" i="24" a="1"/>
  <c r="N5" i="24"/>
  <c r="N4" i="24" a="1"/>
  <c r="N4" i="24"/>
  <c r="M8" i="24" a="1"/>
  <c r="M8" i="24"/>
  <c r="M7" i="24" a="1"/>
  <c r="M7" i="24"/>
  <c r="M6" i="24" a="1"/>
  <c r="M6" i="24"/>
  <c r="M5" i="24" a="1"/>
  <c r="M5" i="24"/>
  <c r="M4" i="24" a="1"/>
  <c r="M4" i="24"/>
  <c r="Q4" i="24" a="1"/>
  <c r="Q4" i="24"/>
  <c r="P4" i="24" a="1"/>
  <c r="P4" i="24"/>
  <c r="O4" i="24" a="1"/>
  <c r="O4" i="24"/>
  <c r="Q1024" i="34"/>
  <c r="Q1023" i="34"/>
  <c r="AA970" i="34"/>
  <c r="Q1014" i="34"/>
  <c r="Q1007" i="34"/>
  <c r="AA968" i="34"/>
  <c r="Q1006" i="34"/>
  <c r="Q1005" i="34"/>
  <c r="AA966" i="34"/>
  <c r="Q1004" i="34"/>
  <c r="Q1001" i="34"/>
  <c r="AA964" i="34"/>
  <c r="Q1000" i="34"/>
  <c r="Q999" i="34"/>
  <c r="Q998" i="34"/>
  <c r="Q997" i="34"/>
  <c r="Q995" i="34"/>
  <c r="AA958" i="34"/>
  <c r="Q994" i="34"/>
  <c r="Q993" i="34"/>
  <c r="AA956" i="34"/>
  <c r="Q992" i="34"/>
  <c r="Q988" i="34"/>
  <c r="AA954" i="34"/>
  <c r="Q987" i="34"/>
  <c r="Q979" i="34"/>
  <c r="AA952" i="34"/>
  <c r="Q978" i="34"/>
  <c r="Q977" i="34"/>
  <c r="AA946" i="34"/>
  <c r="Q976" i="34"/>
  <c r="Q975" i="34"/>
  <c r="AA944" i="34"/>
  <c r="Q974" i="34"/>
  <c r="Q973" i="34"/>
  <c r="Q972" i="34"/>
  <c r="Q971" i="34"/>
  <c r="Q970" i="34"/>
  <c r="Q969" i="34"/>
  <c r="AA938" i="34"/>
  <c r="Q968" i="34"/>
  <c r="Q966" i="34"/>
  <c r="AA935" i="34"/>
  <c r="Q965" i="34"/>
  <c r="Q958" i="34"/>
  <c r="AA933" i="34"/>
  <c r="Q957" i="34"/>
  <c r="Q956" i="34"/>
  <c r="Q954" i="34"/>
  <c r="AA929" i="34"/>
  <c r="Q953" i="34"/>
  <c r="Q952" i="34"/>
  <c r="AA927" i="34"/>
  <c r="Q951" i="34"/>
  <c r="Q950" i="34"/>
  <c r="Q949" i="34"/>
  <c r="Q948" i="34"/>
  <c r="AA923" i="34"/>
  <c r="Q947" i="34"/>
  <c r="Q946" i="34"/>
  <c r="AA921" i="34"/>
  <c r="Q945" i="34"/>
  <c r="Q944" i="34"/>
  <c r="AA919" i="34"/>
  <c r="Q943" i="34"/>
  <c r="Q942" i="34"/>
  <c r="AA917" i="34"/>
  <c r="Q941" i="34"/>
  <c r="AA916" i="34"/>
  <c r="Q940" i="34"/>
  <c r="AA915" i="34"/>
  <c r="Q939" i="34"/>
  <c r="AA914" i="34"/>
  <c r="Q938" i="34"/>
  <c r="Q936" i="34"/>
  <c r="Q935" i="34"/>
  <c r="Q934" i="34"/>
  <c r="AA909" i="34"/>
  <c r="Q933" i="34"/>
  <c r="Q932" i="34"/>
  <c r="Q931" i="34"/>
  <c r="Q930" i="34"/>
  <c r="Q929" i="34"/>
  <c r="Q928" i="34"/>
  <c r="Q927" i="34"/>
  <c r="Q926" i="34"/>
  <c r="Q925" i="34"/>
  <c r="Q924" i="34"/>
  <c r="Q923" i="34"/>
  <c r="Q922" i="34"/>
  <c r="AA896" i="34"/>
  <c r="Q921" i="34"/>
  <c r="Q920" i="34"/>
  <c r="AA892" i="34"/>
  <c r="Q919" i="34"/>
  <c r="Q918" i="34"/>
  <c r="AA888" i="34"/>
  <c r="Q917" i="34"/>
  <c r="Q916" i="34"/>
  <c r="AA886" i="34"/>
  <c r="Q915" i="34"/>
  <c r="Q914" i="34"/>
  <c r="Q913" i="34"/>
  <c r="Q912" i="34"/>
  <c r="Q911" i="34"/>
  <c r="Q910" i="34"/>
  <c r="Q909" i="34"/>
  <c r="Q908" i="34"/>
  <c r="Q907" i="34"/>
  <c r="Q902" i="34"/>
  <c r="AA874" i="34"/>
  <c r="Q901" i="34"/>
  <c r="Q900" i="34"/>
  <c r="Q899" i="34"/>
  <c r="Q897" i="34"/>
  <c r="AA870" i="34"/>
  <c r="Q896" i="34"/>
  <c r="Q893" i="34"/>
  <c r="AA868" i="34"/>
  <c r="Q892" i="34"/>
  <c r="Q891" i="34"/>
  <c r="AA850" i="34"/>
  <c r="Q890" i="34"/>
  <c r="AA849" i="34"/>
  <c r="Q889" i="34"/>
  <c r="Q886" i="34"/>
  <c r="AA837" i="34"/>
  <c r="Q885" i="34"/>
  <c r="AA826" i="34"/>
  <c r="AA823" i="34"/>
  <c r="Q850" i="34"/>
  <c r="AA819" i="34"/>
  <c r="AA815" i="34"/>
  <c r="Q830" i="34"/>
  <c r="AA790" i="34"/>
  <c r="Q829" i="34"/>
  <c r="AA783" i="34"/>
  <c r="Q818" i="34"/>
  <c r="Q806" i="34"/>
  <c r="AA781" i="34"/>
  <c r="Q805" i="34"/>
  <c r="Q804" i="34"/>
  <c r="AA779" i="34"/>
  <c r="Q803" i="34"/>
  <c r="AA773" i="34"/>
  <c r="AA755" i="34"/>
  <c r="AA750" i="34"/>
  <c r="Q771" i="34"/>
  <c r="AA748" i="34"/>
  <c r="Q770" i="34"/>
  <c r="Q769" i="34"/>
  <c r="Q767" i="34"/>
  <c r="AA744" i="34"/>
  <c r="Q766" i="34"/>
  <c r="AA741" i="34"/>
  <c r="Q763" i="34"/>
  <c r="Q762" i="34"/>
  <c r="Q761" i="34"/>
  <c r="AA735" i="34"/>
  <c r="AA723" i="34"/>
  <c r="AA722" i="34"/>
  <c r="Q744" i="34"/>
  <c r="AA720" i="34"/>
  <c r="AA718" i="34"/>
  <c r="Q736" i="34"/>
  <c r="AA710" i="34"/>
  <c r="Q729" i="34"/>
  <c r="Q718" i="34"/>
  <c r="AA688" i="34"/>
  <c r="AA685" i="34"/>
  <c r="Q707" i="34"/>
  <c r="AA683" i="34"/>
  <c r="AA677" i="34"/>
  <c r="AA666" i="34"/>
  <c r="Q691" i="34"/>
  <c r="Q676" i="34"/>
  <c r="AA645" i="34"/>
  <c r="Q669" i="34"/>
  <c r="AA642" i="34"/>
  <c r="Q663" i="34"/>
  <c r="Q661" i="34"/>
  <c r="Q660" i="34"/>
  <c r="AA636" i="34"/>
  <c r="Q658" i="34"/>
  <c r="AA634" i="34"/>
  <c r="Q656" i="34"/>
  <c r="Q652" i="34"/>
  <c r="AA629" i="34"/>
  <c r="Q651" i="34"/>
  <c r="Q648" i="34"/>
  <c r="Q647" i="34"/>
  <c r="AA624" i="34"/>
  <c r="Q646" i="34"/>
  <c r="Q645" i="34"/>
  <c r="AA622" i="34"/>
  <c r="Q644" i="34"/>
  <c r="Q643" i="34"/>
  <c r="AA620" i="34"/>
  <c r="Q642" i="34"/>
  <c r="Q641" i="34"/>
  <c r="AA618" i="34"/>
  <c r="Q640" i="34"/>
  <c r="Q639" i="34"/>
  <c r="Q638" i="34"/>
  <c r="Q637" i="34"/>
  <c r="AA614" i="34"/>
  <c r="Q636" i="34"/>
  <c r="Q635" i="34"/>
  <c r="AA612" i="34"/>
  <c r="Q634" i="34"/>
  <c r="Q633" i="34"/>
  <c r="AA610" i="34"/>
  <c r="Q632" i="34"/>
  <c r="Q631" i="34"/>
  <c r="AA608" i="34"/>
  <c r="Q630" i="34"/>
  <c r="Q629" i="34"/>
  <c r="Q628" i="34"/>
  <c r="AA605" i="34"/>
  <c r="Q627" i="34"/>
  <c r="Q625" i="34"/>
  <c r="Q624" i="34"/>
  <c r="Q623" i="34"/>
  <c r="AA600" i="34"/>
  <c r="Q622" i="34"/>
  <c r="Q621" i="34"/>
  <c r="Q619" i="34"/>
  <c r="AA596" i="34"/>
  <c r="Q618" i="34"/>
  <c r="Q617" i="34"/>
  <c r="AA594" i="34"/>
  <c r="Q616" i="34"/>
  <c r="Q615" i="34"/>
  <c r="Q614" i="34"/>
  <c r="Q613" i="34"/>
  <c r="AA590" i="34"/>
  <c r="Q612" i="34"/>
  <c r="Q611" i="34"/>
  <c r="AA588" i="34"/>
  <c r="Q610" i="34"/>
  <c r="Q609" i="34"/>
  <c r="AA586" i="34"/>
  <c r="Q608" i="34"/>
  <c r="Q607" i="34"/>
  <c r="AA584" i="34"/>
  <c r="Q606" i="34"/>
  <c r="AA583" i="34"/>
  <c r="Q605" i="34"/>
  <c r="AA582" i="34"/>
  <c r="Q604" i="34"/>
  <c r="AA581" i="34"/>
  <c r="Q603" i="34"/>
  <c r="Q601" i="34"/>
  <c r="Q600" i="34"/>
  <c r="Q599" i="34"/>
  <c r="AA576" i="34"/>
  <c r="Q598" i="34"/>
  <c r="Q597" i="34"/>
  <c r="Q596" i="34"/>
  <c r="Q595" i="34"/>
  <c r="AA572" i="34"/>
  <c r="Q594" i="34"/>
  <c r="Q593" i="34"/>
  <c r="Q592" i="34"/>
  <c r="Q591" i="34"/>
  <c r="AA568" i="34"/>
  <c r="Q590" i="34"/>
  <c r="Q589" i="34"/>
  <c r="AA566" i="34"/>
  <c r="Q588" i="34"/>
  <c r="Q587" i="34"/>
  <c r="AA564" i="34"/>
  <c r="Q586" i="34"/>
  <c r="Q585" i="34"/>
  <c r="AA562" i="34"/>
  <c r="Q584" i="34"/>
  <c r="Q583" i="34"/>
  <c r="Q582" i="34"/>
  <c r="Q581" i="34"/>
  <c r="AA558" i="34"/>
  <c r="Q580" i="34"/>
  <c r="Q579" i="34"/>
  <c r="AA542" i="34"/>
  <c r="Q578" i="34"/>
  <c r="Q577" i="34"/>
  <c r="AA540" i="34"/>
  <c r="Q576" i="34"/>
  <c r="AA537" i="34"/>
  <c r="Q575" i="34"/>
  <c r="Q572" i="34"/>
  <c r="AA533" i="34"/>
  <c r="Q571" i="34"/>
  <c r="AA530" i="34"/>
  <c r="Q568" i="34"/>
  <c r="Q553" i="34"/>
  <c r="AA528" i="34"/>
  <c r="Q552" i="34"/>
  <c r="Q551" i="34"/>
  <c r="AA523" i="34"/>
  <c r="Q550" i="34"/>
  <c r="Q547" i="34"/>
  <c r="AA514" i="34"/>
  <c r="Q546" i="34"/>
  <c r="Q545" i="34"/>
  <c r="Q544" i="34"/>
  <c r="Q543" i="34"/>
  <c r="Q541" i="34"/>
  <c r="AA508" i="34"/>
  <c r="Q540" i="34"/>
  <c r="Q539" i="34"/>
  <c r="AA506" i="34"/>
  <c r="Q538" i="34"/>
  <c r="Q534" i="34"/>
  <c r="AA504" i="34"/>
  <c r="Q533" i="34"/>
  <c r="Q525" i="34"/>
  <c r="AA502" i="34"/>
  <c r="Q524" i="34"/>
  <c r="Q523" i="34"/>
  <c r="AA496" i="34"/>
  <c r="Q522" i="34"/>
  <c r="Q521" i="34"/>
  <c r="AA494" i="34"/>
  <c r="Q520" i="34"/>
  <c r="Q519" i="34"/>
  <c r="Q518" i="34"/>
  <c r="Q517" i="34"/>
  <c r="Q516" i="34"/>
  <c r="Q515" i="34"/>
  <c r="AA488" i="34"/>
  <c r="Q514" i="34"/>
  <c r="Q512" i="34"/>
  <c r="AA485" i="34"/>
  <c r="Q511" i="34"/>
  <c r="Q504" i="34"/>
  <c r="Q503" i="34"/>
  <c r="Q502" i="34"/>
  <c r="Q500" i="34"/>
  <c r="AA479" i="34"/>
  <c r="Q499" i="34"/>
  <c r="Q498" i="34"/>
  <c r="AA477" i="34"/>
  <c r="Q497" i="34"/>
  <c r="Q496" i="34"/>
  <c r="Q495" i="34"/>
  <c r="Q494" i="34"/>
  <c r="AA473" i="34"/>
  <c r="Q493" i="34"/>
  <c r="Q492" i="34"/>
  <c r="AA471" i="34"/>
  <c r="Q491" i="34"/>
  <c r="Q490" i="34"/>
  <c r="AA469" i="34"/>
  <c r="Q489" i="34"/>
  <c r="Q488" i="34"/>
  <c r="AA467" i="34"/>
  <c r="Q487" i="34"/>
  <c r="AA466" i="34"/>
  <c r="Q486" i="34"/>
  <c r="AA465" i="34"/>
  <c r="Q485" i="34"/>
  <c r="AA464" i="34"/>
  <c r="Q484" i="34"/>
  <c r="Q482" i="34"/>
  <c r="Q481" i="34"/>
  <c r="Q480" i="34"/>
  <c r="AA459" i="34"/>
  <c r="Q479" i="34"/>
  <c r="Q478" i="34"/>
  <c r="Q477" i="34"/>
  <c r="Q476" i="34"/>
  <c r="Q475" i="34"/>
  <c r="Q474" i="34"/>
  <c r="Q473" i="34"/>
  <c r="Q472" i="34"/>
  <c r="Q471" i="34"/>
  <c r="Q470" i="34"/>
  <c r="Q469" i="34"/>
  <c r="Q468" i="34"/>
  <c r="AA447" i="34"/>
  <c r="Q467" i="34"/>
  <c r="Q466" i="34"/>
  <c r="AA442" i="34"/>
  <c r="Q465" i="34"/>
  <c r="Q464" i="34"/>
  <c r="AA438" i="34"/>
  <c r="Q463" i="34"/>
  <c r="Q462" i="34"/>
  <c r="AA436" i="34"/>
  <c r="Q461" i="34"/>
  <c r="Q460" i="34"/>
  <c r="AA434" i="34"/>
  <c r="Q459" i="34"/>
  <c r="Q458" i="34"/>
  <c r="Q457" i="34"/>
  <c r="Q456" i="34"/>
  <c r="Q455" i="34"/>
  <c r="Q454" i="34"/>
  <c r="Q453" i="34"/>
  <c r="Q448" i="34"/>
  <c r="AA424" i="34"/>
  <c r="Q447" i="34"/>
  <c r="Q446" i="34"/>
  <c r="Q445" i="34"/>
  <c r="Q443" i="34"/>
  <c r="AA420" i="34"/>
  <c r="Q442" i="34"/>
  <c r="Q439" i="34"/>
  <c r="AA404" i="34"/>
  <c r="Q438" i="34"/>
  <c r="Q437" i="34"/>
  <c r="AA402" i="34"/>
  <c r="Q436" i="34"/>
  <c r="AA401" i="34"/>
  <c r="Q435" i="34"/>
  <c r="Q433" i="34"/>
  <c r="Q432" i="34"/>
  <c r="AA395" i="34"/>
  <c r="Q431" i="34"/>
  <c r="Q428" i="34"/>
  <c r="AA391" i="34"/>
  <c r="Q419" i="34"/>
  <c r="Q412" i="34"/>
  <c r="AA389" i="34"/>
  <c r="Q411" i="34"/>
  <c r="Q410" i="34"/>
  <c r="AA384" i="34"/>
  <c r="Q409" i="34"/>
  <c r="Q406" i="34"/>
  <c r="AA375" i="34"/>
  <c r="Q405" i="34"/>
  <c r="Q404" i="34"/>
  <c r="Q403" i="34"/>
  <c r="Q402" i="34"/>
  <c r="Q400" i="34"/>
  <c r="AA369" i="34"/>
  <c r="Q399" i="34"/>
  <c r="Q398" i="34"/>
  <c r="AA367" i="34"/>
  <c r="Q397" i="34"/>
  <c r="Q393" i="34"/>
  <c r="AA365" i="34"/>
  <c r="Q392" i="34"/>
  <c r="Q384" i="34"/>
  <c r="AA363" i="34"/>
  <c r="Q383" i="34"/>
  <c r="Q382" i="34"/>
  <c r="AA357" i="34"/>
  <c r="Q381" i="34"/>
  <c r="Q380" i="34"/>
  <c r="AA355" i="34"/>
  <c r="Q379" i="34"/>
  <c r="Q378" i="34"/>
  <c r="Q377" i="34"/>
  <c r="Q376" i="34"/>
  <c r="Q375" i="34"/>
  <c r="Q374" i="34"/>
  <c r="AA349" i="34"/>
  <c r="Q373" i="34"/>
  <c r="Q371" i="34"/>
  <c r="AA346" i="34"/>
  <c r="Q370" i="34"/>
  <c r="Q363" i="34"/>
  <c r="AA344" i="34"/>
  <c r="Q362" i="34"/>
  <c r="Q361" i="34"/>
  <c r="Q359" i="34"/>
  <c r="AA340" i="34"/>
  <c r="Q358" i="34"/>
  <c r="Q357" i="34"/>
  <c r="AA338" i="34"/>
  <c r="Q356" i="34"/>
  <c r="Q355" i="34"/>
  <c r="Q354" i="34"/>
  <c r="Q353" i="34"/>
  <c r="AA334" i="34"/>
  <c r="Q352" i="34"/>
  <c r="Q351" i="34"/>
  <c r="AA332" i="34"/>
  <c r="Q350" i="34"/>
  <c r="Q349" i="34"/>
  <c r="AA330" i="34"/>
  <c r="Q348" i="34"/>
  <c r="Q347" i="34"/>
  <c r="AA328" i="34"/>
  <c r="Q346" i="34"/>
  <c r="AA327" i="34"/>
  <c r="Q345" i="34"/>
  <c r="AA326" i="34"/>
  <c r="Q344" i="34"/>
  <c r="AA325" i="34"/>
  <c r="Q343" i="34"/>
  <c r="Q341" i="34"/>
  <c r="Q340" i="34"/>
  <c r="Q339" i="34"/>
  <c r="AA320" i="34"/>
  <c r="Q338" i="34"/>
  <c r="Q337" i="34"/>
  <c r="Q336" i="34"/>
  <c r="Q335" i="34"/>
  <c r="Q334" i="34"/>
  <c r="Q333" i="34"/>
  <c r="Q332" i="34"/>
  <c r="Q331" i="34"/>
  <c r="Q330" i="34"/>
  <c r="Q329" i="34"/>
  <c r="Q328" i="34"/>
  <c r="Q327" i="34"/>
  <c r="AA308" i="34"/>
  <c r="Q326" i="34"/>
  <c r="Q325" i="34"/>
  <c r="AA304" i="34"/>
  <c r="Q324" i="34"/>
  <c r="Q323" i="34"/>
  <c r="AA299" i="34"/>
  <c r="Q322" i="34"/>
  <c r="Q321" i="34"/>
  <c r="AA297" i="34"/>
  <c r="Q320" i="34"/>
  <c r="Q319" i="34"/>
  <c r="AA295" i="34"/>
  <c r="Q318" i="34"/>
  <c r="Q317" i="34"/>
  <c r="Q316" i="34"/>
  <c r="Q315" i="34"/>
  <c r="Q314" i="34"/>
  <c r="Q313" i="34"/>
  <c r="Q312" i="34"/>
  <c r="Q307" i="34"/>
  <c r="AA285" i="34"/>
  <c r="Q306" i="34"/>
  <c r="Q305" i="34"/>
  <c r="Q304" i="34"/>
  <c r="Q302" i="34"/>
  <c r="AA281" i="34"/>
  <c r="Q301" i="34"/>
  <c r="Q298" i="34"/>
  <c r="AA271" i="34"/>
  <c r="Q297" i="34"/>
  <c r="Q296" i="34"/>
  <c r="AA263" i="34"/>
  <c r="Q295" i="34"/>
  <c r="AA262" i="34"/>
  <c r="Q294" i="34"/>
  <c r="Q293" i="34"/>
  <c r="Q292" i="34"/>
  <c r="Q291" i="34"/>
  <c r="AA258" i="34"/>
  <c r="Q290" i="34"/>
  <c r="Q287" i="34"/>
  <c r="Q286" i="34"/>
  <c r="AA253" i="34"/>
  <c r="Q277" i="34"/>
  <c r="Q270" i="34"/>
  <c r="AA249" i="34"/>
  <c r="Q269" i="34"/>
  <c r="Q268" i="34"/>
  <c r="AA244" i="34"/>
  <c r="Q267" i="34"/>
  <c r="Q264" i="34"/>
  <c r="AA235" i="34"/>
  <c r="Q263" i="34"/>
  <c r="Q262" i="34"/>
  <c r="Q261" i="34"/>
  <c r="Q260" i="34"/>
  <c r="Q258" i="34"/>
  <c r="AA229" i="34"/>
  <c r="Q257" i="34"/>
  <c r="Q256" i="34"/>
  <c r="AA227" i="34"/>
  <c r="Q255" i="34"/>
  <c r="Q251" i="34"/>
  <c r="AA225" i="34"/>
  <c r="Q250" i="34"/>
  <c r="Q242" i="34"/>
  <c r="AA223" i="34"/>
  <c r="Q241" i="34"/>
  <c r="Q240" i="34"/>
  <c r="AA217" i="34"/>
  <c r="Q239" i="34"/>
  <c r="Q238" i="34"/>
  <c r="AA215" i="34"/>
  <c r="Q237" i="34"/>
  <c r="Q236" i="34"/>
  <c r="Q235" i="34"/>
  <c r="Q234" i="34"/>
  <c r="Q233" i="34"/>
  <c r="Q232" i="34"/>
  <c r="AA209" i="34"/>
  <c r="Q231" i="34"/>
  <c r="Q229" i="34"/>
  <c r="AA206" i="34"/>
  <c r="Q228" i="34"/>
  <c r="Q221" i="34"/>
  <c r="AA204" i="34"/>
  <c r="Q220" i="34"/>
  <c r="Q219" i="34"/>
  <c r="Q217" i="34"/>
  <c r="Q216" i="34"/>
  <c r="Q215" i="34"/>
  <c r="AA198" i="34"/>
  <c r="Q214" i="34"/>
  <c r="Q213" i="34"/>
  <c r="Q212" i="34"/>
  <c r="Q211" i="34"/>
  <c r="AA194" i="34"/>
  <c r="Q210" i="34"/>
  <c r="Q209" i="34"/>
  <c r="AA192" i="34"/>
  <c r="Q208" i="34"/>
  <c r="Q207" i="34"/>
  <c r="AA190" i="34"/>
  <c r="Q206" i="34"/>
  <c r="Q205" i="34"/>
  <c r="AA188" i="34"/>
  <c r="Q204" i="34"/>
  <c r="AA187" i="34"/>
  <c r="Q203" i="34"/>
  <c r="AA186" i="34"/>
  <c r="Q202" i="34"/>
  <c r="AA185" i="34"/>
  <c r="Q201" i="34"/>
  <c r="Q199" i="34"/>
  <c r="Q198" i="34"/>
  <c r="Q197" i="34"/>
  <c r="AA180" i="34"/>
  <c r="Q196" i="34"/>
  <c r="Q195" i="34"/>
  <c r="Q194" i="34"/>
  <c r="Q193" i="34"/>
  <c r="Q192" i="34"/>
  <c r="Q191" i="34"/>
  <c r="Q190" i="34"/>
  <c r="Q189" i="34"/>
  <c r="Q188" i="34"/>
  <c r="Q187" i="34"/>
  <c r="Q186" i="34"/>
  <c r="Q185" i="34"/>
  <c r="AA168" i="34"/>
  <c r="Q184" i="34"/>
  <c r="Q183" i="34"/>
  <c r="AA166" i="34"/>
  <c r="Q182" i="34"/>
  <c r="Q181" i="34"/>
  <c r="Q180" i="34"/>
  <c r="Q179" i="34"/>
  <c r="AA162" i="34"/>
  <c r="Q178" i="34"/>
  <c r="Q177" i="34"/>
  <c r="Q176" i="34"/>
  <c r="Q175" i="34"/>
  <c r="Q174" i="34"/>
  <c r="Q173" i="34"/>
  <c r="Q172" i="34"/>
  <c r="Q171" i="34"/>
  <c r="Q170" i="34"/>
  <c r="Q165" i="34"/>
  <c r="AA149" i="34"/>
  <c r="Q164" i="34"/>
  <c r="Q163" i="34"/>
  <c r="Q162" i="34"/>
  <c r="Q160" i="34"/>
  <c r="AA143" i="34"/>
  <c r="Q155" i="34"/>
  <c r="Q154" i="34"/>
  <c r="Q153" i="34"/>
  <c r="Q152" i="34"/>
  <c r="Q149" i="34"/>
  <c r="Q148" i="34"/>
  <c r="Q145" i="34"/>
  <c r="Q130" i="34"/>
  <c r="AA121" i="34"/>
  <c r="Q129" i="34"/>
  <c r="Q128" i="34"/>
  <c r="AA119" i="34"/>
  <c r="Q127" i="34"/>
  <c r="Q124" i="34"/>
  <c r="AA117" i="34"/>
  <c r="Q123" i="34"/>
  <c r="Q122" i="34"/>
  <c r="Q121" i="34"/>
  <c r="Q120" i="34"/>
  <c r="Q118" i="34"/>
  <c r="Q117" i="34"/>
  <c r="Q116" i="34"/>
  <c r="Q115" i="34"/>
  <c r="Q111" i="34"/>
  <c r="Q110" i="34"/>
  <c r="Q102" i="34"/>
  <c r="Q101" i="34"/>
  <c r="Q100" i="34"/>
  <c r="Q99" i="34"/>
  <c r="Q98" i="34"/>
  <c r="Q97" i="34"/>
  <c r="Q96" i="34"/>
  <c r="Q95" i="34"/>
  <c r="Q94" i="34"/>
  <c r="Q93" i="34"/>
  <c r="Q92" i="34"/>
  <c r="AA89" i="34"/>
  <c r="Q91" i="34"/>
  <c r="Q89" i="34"/>
  <c r="AA86" i="34"/>
  <c r="Q88" i="34"/>
  <c r="Q81" i="34"/>
  <c r="AA80" i="34"/>
  <c r="Q80" i="34"/>
  <c r="Q79" i="34"/>
  <c r="Q77" i="34"/>
  <c r="AA76" i="34"/>
  <c r="Q76" i="34"/>
  <c r="Q75" i="34"/>
  <c r="AA74" i="34"/>
  <c r="Q74" i="34"/>
  <c r="Q73" i="34"/>
  <c r="AA72" i="34"/>
  <c r="Q72" i="34"/>
  <c r="Q71" i="34"/>
  <c r="AA70" i="34"/>
  <c r="Q70" i="34"/>
  <c r="Q69" i="34"/>
  <c r="AA68" i="34"/>
  <c r="Q68" i="34"/>
  <c r="Q67" i="34"/>
  <c r="AA66" i="34"/>
  <c r="Q66" i="34"/>
  <c r="Q65" i="34"/>
  <c r="AA64" i="34"/>
  <c r="Q64" i="34"/>
  <c r="AA63" i="34"/>
  <c r="Q63" i="34"/>
  <c r="AA62" i="34"/>
  <c r="Q62" i="34"/>
  <c r="AA61" i="34"/>
  <c r="Q61" i="34"/>
  <c r="Q59" i="34"/>
  <c r="Q58" i="34"/>
  <c r="Q57" i="34"/>
  <c r="AA56" i="34"/>
  <c r="Q56" i="34"/>
  <c r="Q55" i="34"/>
  <c r="Q54" i="34"/>
  <c r="Q53" i="34"/>
  <c r="Q52" i="34"/>
  <c r="Q51" i="34"/>
  <c r="Q50" i="34"/>
  <c r="Q49" i="34"/>
  <c r="Q48" i="34"/>
  <c r="Q47" i="34"/>
  <c r="Q46" i="34"/>
  <c r="Q45" i="34"/>
  <c r="AA44" i="34"/>
  <c r="Q44" i="34"/>
  <c r="Q43" i="34"/>
  <c r="AA42" i="34"/>
  <c r="Q42" i="34"/>
  <c r="Q41" i="34"/>
  <c r="Q40" i="34"/>
  <c r="Q39" i="34"/>
  <c r="AA38" i="34"/>
  <c r="Q38" i="34"/>
  <c r="Q37" i="34"/>
  <c r="AA36" i="34"/>
  <c r="Q36" i="34"/>
  <c r="Q35" i="34"/>
  <c r="Q34" i="34"/>
  <c r="Q31" i="34"/>
  <c r="Q30" i="34"/>
  <c r="Q25" i="34"/>
  <c r="AA24" i="34"/>
  <c r="Q24" i="34"/>
  <c r="Q23" i="34"/>
  <c r="AA22" i="34"/>
  <c r="Q22" i="34"/>
  <c r="Q20" i="34"/>
  <c r="Q19" i="34"/>
  <c r="AA15" i="34"/>
  <c r="Q15" i="34"/>
  <c r="Q14" i="34"/>
  <c r="AA13" i="34"/>
  <c r="Q13" i="34"/>
  <c r="AA12" i="34"/>
  <c r="Q12" i="34"/>
  <c r="Q11" i="34"/>
  <c r="Q10" i="34"/>
  <c r="Q9" i="34"/>
  <c r="AA8" i="34"/>
  <c r="Q8" i="34"/>
  <c r="H43" i="24"/>
  <c r="G43" i="24"/>
  <c r="F43" i="24"/>
  <c r="E43" i="24"/>
  <c r="D43" i="24"/>
  <c r="H42" i="24"/>
  <c r="G42" i="24"/>
  <c r="F42" i="24"/>
  <c r="E42" i="24"/>
  <c r="D42" i="24"/>
  <c r="H41" i="24"/>
  <c r="G41" i="24"/>
  <c r="F41" i="24"/>
  <c r="E41" i="24"/>
  <c r="D41" i="24"/>
  <c r="H40" i="24"/>
  <c r="G40" i="24"/>
  <c r="F40" i="24"/>
  <c r="E40" i="24"/>
  <c r="D40" i="24"/>
  <c r="H39" i="24"/>
  <c r="G39" i="24"/>
  <c r="F39" i="24"/>
  <c r="E39" i="24"/>
  <c r="D39" i="24"/>
  <c r="H38" i="24"/>
  <c r="G38" i="24"/>
  <c r="F38" i="24"/>
  <c r="E38" i="24"/>
  <c r="D38" i="24"/>
  <c r="H37" i="24"/>
  <c r="G37" i="24"/>
  <c r="F37" i="24"/>
  <c r="E37" i="24"/>
  <c r="D37" i="24"/>
  <c r="H36" i="24"/>
  <c r="G36" i="24"/>
  <c r="F36" i="24"/>
  <c r="E36" i="24"/>
  <c r="D36" i="24"/>
  <c r="H35" i="24"/>
  <c r="G35" i="24"/>
  <c r="F35" i="24"/>
  <c r="E35" i="24"/>
  <c r="D35" i="24"/>
  <c r="H34" i="24"/>
  <c r="G34" i="24"/>
  <c r="F34" i="24"/>
  <c r="E34" i="24"/>
  <c r="D34" i="24"/>
  <c r="H33" i="24"/>
  <c r="G33" i="24"/>
  <c r="F33" i="24"/>
  <c r="E33" i="24"/>
  <c r="D33" i="24"/>
  <c r="H32" i="24"/>
  <c r="G32" i="24"/>
  <c r="F32" i="24"/>
  <c r="E32" i="24"/>
  <c r="D32" i="24"/>
  <c r="H31" i="24"/>
  <c r="G31" i="24"/>
  <c r="F31" i="24"/>
  <c r="E31" i="24"/>
  <c r="D31" i="24"/>
  <c r="H30" i="24"/>
  <c r="G30" i="24"/>
  <c r="F30" i="24"/>
  <c r="E30" i="24"/>
  <c r="D30" i="24"/>
  <c r="H29" i="24"/>
  <c r="G29" i="24"/>
  <c r="F29" i="24"/>
  <c r="E29" i="24"/>
  <c r="D29" i="24"/>
  <c r="H28" i="24"/>
  <c r="G28" i="24"/>
  <c r="F28" i="24"/>
  <c r="E28" i="24"/>
  <c r="D28" i="24"/>
  <c r="H27" i="24"/>
  <c r="G27" i="24"/>
  <c r="F27" i="24"/>
  <c r="E27" i="24"/>
  <c r="D27" i="24"/>
  <c r="H26" i="24"/>
  <c r="G26" i="24"/>
  <c r="F26" i="24"/>
  <c r="E26" i="24"/>
  <c r="D26" i="24"/>
  <c r="H25" i="24"/>
  <c r="G25" i="24"/>
  <c r="F25" i="24"/>
  <c r="E25" i="24"/>
  <c r="D25" i="24"/>
  <c r="H24" i="24"/>
  <c r="G24" i="24"/>
  <c r="F24" i="24"/>
  <c r="E24" i="24"/>
  <c r="D24" i="24"/>
  <c r="H23" i="24"/>
  <c r="G23" i="24"/>
  <c r="F23" i="24"/>
  <c r="E23" i="24"/>
  <c r="D23" i="24"/>
  <c r="H22" i="24"/>
  <c r="G22" i="24"/>
  <c r="F22" i="24"/>
  <c r="E22" i="24"/>
  <c r="D22" i="24"/>
  <c r="H21" i="24"/>
  <c r="G21" i="24"/>
  <c r="F21" i="24"/>
  <c r="E21" i="24"/>
  <c r="D21" i="24"/>
  <c r="H20" i="24"/>
  <c r="G20" i="24"/>
  <c r="F20" i="24"/>
  <c r="E20" i="24"/>
  <c r="D20" i="24"/>
  <c r="H19" i="24"/>
  <c r="G19" i="24"/>
  <c r="F19" i="24"/>
  <c r="E19" i="24"/>
  <c r="D19" i="24"/>
  <c r="H8" i="24"/>
  <c r="G8" i="24"/>
  <c r="F8" i="24"/>
  <c r="E8" i="24"/>
  <c r="D8" i="24"/>
  <c r="H7" i="24"/>
  <c r="G7" i="24"/>
  <c r="F7" i="24"/>
  <c r="E7" i="24"/>
  <c r="D7" i="24"/>
  <c r="H6" i="24"/>
  <c r="G6" i="24"/>
  <c r="F6" i="24"/>
  <c r="E6" i="24"/>
  <c r="D6" i="24"/>
  <c r="H5" i="24"/>
  <c r="G5" i="24"/>
  <c r="F5" i="24"/>
  <c r="E5" i="24"/>
  <c r="D5" i="24"/>
  <c r="H4" i="24"/>
  <c r="G4" i="24"/>
  <c r="F4" i="24"/>
  <c r="E4" i="24"/>
  <c r="D4" i="24"/>
  <c r="M25" i="24" a="1"/>
  <c r="M27" i="24" a="1"/>
  <c r="N38" i="24" a="1"/>
  <c r="O36" i="24" a="1"/>
  <c r="O42" i="24" a="1"/>
  <c r="Q26" i="24" a="1"/>
  <c r="O30" i="24" a="1"/>
  <c r="N25" i="24" a="1"/>
  <c r="N25" i="24"/>
  <c r="M42" i="24" a="1"/>
  <c r="Q40" i="24" a="1"/>
  <c r="Q40" i="24"/>
  <c r="O19" i="24" a="1"/>
  <c r="O21" i="24" a="1"/>
  <c r="O40" i="24" a="1"/>
  <c r="O33" i="24" a="1"/>
  <c r="Q19" i="24" a="1"/>
  <c r="Q20" i="24" a="1"/>
  <c r="Q41" i="24" a="1"/>
  <c r="P22" i="24" a="1"/>
  <c r="P22" i="24"/>
  <c r="Q22" i="24" a="1"/>
  <c r="P43" i="24" a="1"/>
  <c r="O39" i="24" a="1"/>
  <c r="P37" i="24" a="1"/>
  <c r="M37" i="24" a="1"/>
  <c r="N27" i="24" a="1"/>
  <c r="N27" i="24"/>
  <c r="O26" i="24" a="1"/>
  <c r="P39" i="24" a="1"/>
  <c r="P39" i="24"/>
  <c r="M40" i="24" a="1"/>
  <c r="P27" i="24" a="1"/>
  <c r="N28" i="24" a="1"/>
  <c r="N29" i="24" a="1"/>
  <c r="O25" i="24" a="1"/>
  <c r="P25" i="24" a="1"/>
  <c r="P25" i="24"/>
  <c r="P30" i="24" a="1"/>
  <c r="N34" i="24" a="1"/>
  <c r="N34" i="24"/>
  <c r="P33" i="24" a="1"/>
  <c r="O43" i="24" a="1"/>
  <c r="N23" i="24" a="1"/>
  <c r="N35" i="24" a="1"/>
  <c r="N35" i="24"/>
  <c r="Q43" i="24" a="1"/>
  <c r="P19" i="24" a="1"/>
  <c r="P19" i="24"/>
  <c r="P42" i="24" a="1"/>
  <c r="M41" i="24" a="1"/>
  <c r="M41" i="24"/>
  <c r="Q28" i="24" a="1"/>
  <c r="M32" i="24" a="1"/>
  <c r="M39" i="24" a="1"/>
  <c r="P26" i="24" a="1"/>
  <c r="P26" i="24"/>
  <c r="M33" i="24" a="1"/>
  <c r="P21" i="24" a="1"/>
  <c r="P21" i="24"/>
  <c r="O37" i="24" a="1"/>
  <c r="N42" i="24" a="1"/>
  <c r="N42" i="24"/>
  <c r="P40" i="24" a="1"/>
  <c r="Q29" i="24" a="1"/>
  <c r="O23" i="24" a="1"/>
  <c r="M34" i="24" a="1"/>
  <c r="M34" i="24"/>
  <c r="M36" i="24" a="1"/>
  <c r="N30" i="24" a="1"/>
  <c r="N30" i="24"/>
  <c r="P31" i="24" a="1"/>
  <c r="P41" i="24" a="1"/>
  <c r="P41" i="24"/>
  <c r="M26" i="24" a="1"/>
  <c r="N32" i="24" a="1"/>
  <c r="Q25" i="24" a="1"/>
  <c r="Q35" i="24" a="1"/>
  <c r="Q35" i="24"/>
  <c r="N20" i="24" a="1"/>
  <c r="O41" i="24" a="1"/>
  <c r="O41" i="24"/>
  <c r="O24" i="24" a="1"/>
  <c r="M30" i="24" a="1"/>
  <c r="M30" i="24"/>
  <c r="O29" i="24" a="1"/>
  <c r="P20" i="24" a="1"/>
  <c r="O34" i="24" a="1"/>
  <c r="N24" i="24" a="1"/>
  <c r="N24" i="24"/>
  <c r="P36" i="24" a="1"/>
  <c r="O31" i="24" a="1"/>
  <c r="O31" i="24"/>
  <c r="O20" i="24" a="1"/>
  <c r="N26" i="24" a="1"/>
  <c r="N40" i="24" a="1"/>
  <c r="N39" i="24" a="1"/>
  <c r="O22" i="24" a="1"/>
  <c r="Q42" i="24" a="1"/>
  <c r="Q42" i="24"/>
  <c r="N41" i="24" a="1"/>
  <c r="Q37" i="24" a="1"/>
  <c r="Q37" i="24"/>
  <c r="P24" i="24" a="1"/>
  <c r="P34" i="24" a="1"/>
  <c r="P34" i="24"/>
  <c r="N31" i="24" a="1"/>
  <c r="Q21" i="24" a="1"/>
  <c r="O27" i="24" a="1"/>
  <c r="M43" i="24" a="1"/>
  <c r="M43" i="24"/>
  <c r="O35" i="24" a="1"/>
  <c r="P23" i="24" a="1"/>
  <c r="P23" i="24"/>
  <c r="O28" i="24" a="1"/>
  <c r="Q34" i="24" a="1"/>
  <c r="Q34" i="24"/>
  <c r="Q27" i="24" a="1"/>
  <c r="Q23" i="24" a="1"/>
  <c r="N43" i="24" a="1"/>
  <c r="M28" i="24" a="1"/>
  <c r="M28" i="24"/>
  <c r="M24" i="24" a="1"/>
  <c r="M24" i="24"/>
  <c r="N37" i="24" a="1"/>
  <c r="N37" i="24"/>
  <c r="P32" i="24" a="1"/>
  <c r="P28" i="24" a="1"/>
  <c r="P28" i="24"/>
  <c r="Q31" i="24" a="1"/>
  <c r="Q38" i="24" a="1"/>
  <c r="N19" i="24" a="1"/>
  <c r="M22" i="24" a="1"/>
  <c r="M22" i="24"/>
  <c r="Q30" i="24" a="1"/>
  <c r="O38" i="24" a="1"/>
  <c r="O38" i="24"/>
  <c r="M35" i="24" a="1"/>
  <c r="M35" i="24"/>
  <c r="M31" i="24" a="1"/>
  <c r="M31" i="24"/>
  <c r="O32" i="24" a="1"/>
  <c r="O32" i="24"/>
  <c r="M23" i="24" a="1"/>
  <c r="M19" i="24" a="1"/>
  <c r="M19" i="24"/>
  <c r="N22" i="24" a="1"/>
  <c r="N22" i="24"/>
  <c r="Q32" i="24" a="1"/>
  <c r="Q32" i="24"/>
  <c r="M21" i="24" a="1"/>
  <c r="M21" i="24"/>
  <c r="Q33" i="24" a="1"/>
  <c r="Q33" i="24"/>
  <c r="M27" i="24"/>
  <c r="Q43" i="24"/>
  <c r="P27" i="24"/>
  <c r="P42" i="24"/>
  <c r="P33" i="24"/>
  <c r="O26" i="24"/>
  <c r="Q23" i="24"/>
  <c r="O42" i="24"/>
  <c r="P37" i="24"/>
  <c r="Q41" i="24"/>
  <c r="M39" i="24"/>
  <c r="N21" i="24"/>
  <c r="O30" i="24"/>
  <c r="M26" i="24"/>
  <c r="Q20" i="24"/>
  <c r="N29" i="24"/>
  <c r="N19" i="24"/>
  <c r="Q27" i="24"/>
  <c r="O43" i="24"/>
  <c r="Q19" i="24"/>
  <c r="N28" i="24"/>
  <c r="Q22" i="24"/>
  <c r="M25" i="24"/>
  <c r="O33" i="24"/>
  <c r="M33" i="24"/>
  <c r="N32" i="24"/>
  <c r="M37" i="24"/>
  <c r="N41" i="24"/>
  <c r="O21" i="24"/>
  <c r="O36" i="24"/>
  <c r="P40" i="24"/>
  <c r="P43" i="24"/>
  <c r="Q26" i="24"/>
  <c r="O25" i="24"/>
  <c r="P24" i="24"/>
  <c r="M42" i="24"/>
  <c r="N38" i="24"/>
  <c r="N43" i="24"/>
  <c r="Q25" i="24"/>
  <c r="Q12" i="24"/>
  <c r="N36" i="24" a="1"/>
  <c r="N36" i="24"/>
  <c r="M38" i="24" a="1"/>
  <c r="M38" i="24"/>
  <c r="M29" i="24" a="1"/>
  <c r="M29" i="24"/>
  <c r="M20" i="24" a="1"/>
  <c r="M20" i="24"/>
  <c r="Q39" i="24" a="1"/>
  <c r="Q39" i="24"/>
  <c r="P29" i="24" a="1"/>
  <c r="P29" i="24"/>
  <c r="Q24" i="24" a="1"/>
  <c r="Q24" i="24"/>
  <c r="P35" i="24" a="1"/>
  <c r="P35" i="24"/>
  <c r="N33" i="24" a="1"/>
  <c r="N33" i="24"/>
  <c r="Q36" i="24" a="1"/>
  <c r="Q36" i="24"/>
  <c r="P38" i="24" a="1"/>
  <c r="P38" i="24"/>
  <c r="O23" i="24"/>
  <c r="M32" i="24"/>
  <c r="N20" i="24"/>
  <c r="M40" i="24"/>
  <c r="N31" i="24"/>
  <c r="Q13" i="24"/>
  <c r="Q30" i="24"/>
  <c r="P32" i="24"/>
  <c r="Q29" i="24"/>
  <c r="M23" i="24"/>
  <c r="O39" i="24"/>
  <c r="Q31" i="24"/>
  <c r="O27" i="24"/>
  <c r="O29" i="24"/>
  <c r="P31" i="24"/>
  <c r="N39" i="24"/>
  <c r="O37" i="24"/>
  <c r="N26" i="24"/>
  <c r="P20" i="24"/>
  <c r="P36" i="24"/>
  <c r="O24" i="24"/>
  <c r="Q38" i="24"/>
  <c r="N40" i="24"/>
  <c r="P30" i="24"/>
  <c r="M36" i="24"/>
  <c r="O35" i="24"/>
  <c r="O22" i="24"/>
  <c r="Q21" i="24"/>
  <c r="N23" i="24"/>
  <c r="O34" i="24"/>
  <c r="O40" i="24"/>
  <c r="O20" i="24"/>
  <c r="Q28" i="24"/>
  <c r="O19" i="24"/>
  <c r="O28" i="24"/>
  <c r="Q48" i="24"/>
  <c r="Q47" i="24"/>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<sst xmlns="http://schemas.openxmlformats.org/spreadsheetml/2006/main" count="10790" uniqueCount="1944">
  <si>
    <t>Title:</t>
  </si>
  <si>
    <t>SmartValve 10-1800 v1.04 - HV-ISO-XFMR Board Rev3 (P112469) - Failure Mode Effects and Criticality Analysis (Design FMECA)</t>
  </si>
  <si>
    <t>Project:</t>
  </si>
  <si>
    <t>SmartValve 10-1800 v1.04</t>
  </si>
  <si>
    <t>PS19 QPI</t>
  </si>
  <si>
    <t>PS19 Technical Experts</t>
  </si>
  <si>
    <t>Smart Wires Reviewer</t>
  </si>
  <si>
    <t>Azeem, Talha, Adeel, Ashad</t>
  </si>
  <si>
    <t>Abdul Qadeer, Abdul Rehman</t>
  </si>
  <si>
    <t>Susie Choi</t>
  </si>
  <si>
    <t>Revision History</t>
  </si>
  <si>
    <t>Date</t>
  </si>
  <si>
    <t>Version</t>
  </si>
  <si>
    <t>Description</t>
  </si>
  <si>
    <t>Initial draft based on HVT Board FMECA Rev0 by PS19 QPI Team</t>
  </si>
  <si>
    <t>Updated based on HVT Board FMECA Rev1 by PS19 QPI Team</t>
  </si>
  <si>
    <t>Updated based on HVT Board FMECA Rev2 by PS19 QPI Team</t>
  </si>
  <si>
    <t>Reviewed by PS19 Hardware team for the changes done based on the Rev2 schematic</t>
  </si>
  <si>
    <t>Updated by PS19 QPI team based on the feedback by PS19 Harware Team on Rev2 schematic</t>
  </si>
  <si>
    <t>Reveiwed and updated by DR. Susie based on the Rev2 schematic</t>
  </si>
  <si>
    <t>Updated based on HVT Board FMECA Rev3 by PS19 QPI Team</t>
  </si>
  <si>
    <t>Reviewed by PS19 Hardware team for the changes done based on the Rev3 schematic</t>
  </si>
  <si>
    <t>Updated by PS19 QPI team based on the feedback by PS19 Smart Wires Team on Rev3 schematic</t>
  </si>
  <si>
    <t>Updated by PS19 QPI team based  on feedback from Smart Wires and PS19 Hardware Team</t>
  </si>
  <si>
    <t>Updated by PS19 QPI team based on feedback from Smart Wires Team</t>
  </si>
  <si>
    <t>Definitions / Terms / Acronyms</t>
  </si>
  <si>
    <t>Term</t>
  </si>
  <si>
    <t>A-K</t>
  </si>
  <si>
    <t>Anode-to-Cathode</t>
  </si>
  <si>
    <t>LCB</t>
  </si>
  <si>
    <t>Liquid Cooling Block</t>
  </si>
  <si>
    <t>BF</t>
  </si>
  <si>
    <t>Bypass Filter</t>
  </si>
  <si>
    <t>PHT</t>
  </si>
  <si>
    <t>Power Harvesting Transformer</t>
  </si>
  <si>
    <t>CTP</t>
  </si>
  <si>
    <t>Current Transformer for Power</t>
  </si>
  <si>
    <t>ETP</t>
  </si>
  <si>
    <t>Electrical Test Procedure</t>
  </si>
  <si>
    <t>DCCT</t>
  </si>
  <si>
    <t>DC current transducer</t>
  </si>
  <si>
    <t>IP</t>
  </si>
  <si>
    <t>Intrusion Protection</t>
  </si>
  <si>
    <t>DCE</t>
  </si>
  <si>
    <t>Digital Computational Engine</t>
  </si>
  <si>
    <t>MES</t>
  </si>
  <si>
    <t>Manufacturing Execution System</t>
  </si>
  <si>
    <t>EFT</t>
  </si>
  <si>
    <t>Electrical Fast Transient</t>
  </si>
  <si>
    <t>CTQ</t>
  </si>
  <si>
    <t>Critical To Quality</t>
  </si>
  <si>
    <t>EMS</t>
  </si>
  <si>
    <t>Energy Management System</t>
  </si>
  <si>
    <t>EOL</t>
  </si>
  <si>
    <t>End Of Line</t>
  </si>
  <si>
    <t>FCS</t>
  </si>
  <si>
    <t>Fault Current Sensor</t>
  </si>
  <si>
    <t>FO</t>
  </si>
  <si>
    <t>Fiber Optic</t>
  </si>
  <si>
    <t>FR</t>
  </si>
  <si>
    <t>Flame Retardant</t>
  </si>
  <si>
    <t>G-K</t>
  </si>
  <si>
    <t>Gate-to-Cathode</t>
  </si>
  <si>
    <t>HALT</t>
  </si>
  <si>
    <t>Highly-Accelerated Life Testing</t>
  </si>
  <si>
    <t>HASS</t>
  </si>
  <si>
    <t>High accelerated stress screening</t>
  </si>
  <si>
    <t>HCT</t>
  </si>
  <si>
    <t>High Current Testing</t>
  </si>
  <si>
    <t>LCS</t>
  </si>
  <si>
    <t>Line Current Sensor</t>
  </si>
  <si>
    <t>OVP</t>
  </si>
  <si>
    <t>Over-Voltage Protection</t>
  </si>
  <si>
    <t>PCB</t>
  </si>
  <si>
    <t>Printed Circuit Board</t>
  </si>
  <si>
    <t>PIB</t>
  </si>
  <si>
    <t>Power Interface Board</t>
  </si>
  <si>
    <t>PLM</t>
  </si>
  <si>
    <t>PowerLine Manager</t>
  </si>
  <si>
    <t>PSB</t>
  </si>
  <si>
    <t xml:space="preserve">Power Supply Board </t>
  </si>
  <si>
    <t>RF</t>
  </si>
  <si>
    <t>Radio Frequency</t>
  </si>
  <si>
    <t>RTU</t>
  </si>
  <si>
    <t>Remote Terminal Unit</t>
  </si>
  <si>
    <t>SB</t>
  </si>
  <si>
    <t>Smart Bypass</t>
  </si>
  <si>
    <t>SCR</t>
  </si>
  <si>
    <t>Silicon Controlled Rectifier</t>
  </si>
  <si>
    <t>SI</t>
  </si>
  <si>
    <t>Smart Interface</t>
  </si>
  <si>
    <t>SMD</t>
  </si>
  <si>
    <t>Surface Mounted Device</t>
  </si>
  <si>
    <t>SV</t>
  </si>
  <si>
    <t>Smart Valve</t>
  </si>
  <si>
    <t>SVC</t>
  </si>
  <si>
    <t>SmartValve Controller</t>
  </si>
  <si>
    <t>VPI</t>
  </si>
  <si>
    <t>Vacuum Pressure Impregnation</t>
  </si>
  <si>
    <t>VSL</t>
  </si>
  <si>
    <t>Vacuum Series Link</t>
  </si>
  <si>
    <t>UPSB</t>
  </si>
  <si>
    <t>Universal Power Supply Board</t>
  </si>
  <si>
    <t>TBR</t>
  </si>
  <si>
    <t>To be Reviewed</t>
  </si>
  <si>
    <t>Risk Factor (S x O) Scores</t>
  </si>
  <si>
    <t>SmartValve v1.04 Risk Factor (S x O) Counts</t>
  </si>
  <si>
    <t>Occurrence</t>
  </si>
  <si>
    <t>Severity</t>
  </si>
  <si>
    <t>Total risks:</t>
  </si>
  <si>
    <t>Total risks require mitigation based on S x O:</t>
  </si>
  <si>
    <t>Risk Priority Number (S x O x D) Scores</t>
  </si>
  <si>
    <t>SmartValve v1.04 RPN (S x O x D) Counts</t>
  </si>
  <si>
    <t>Severity x Occurrence (S x O)</t>
  </si>
  <si>
    <t>Detection</t>
  </si>
  <si>
    <t>Total risks require mitigation based on S x O x D:</t>
  </si>
  <si>
    <t>Severity, or Consequence Evaluation Criteria: Worst Case Evaluation of Failure Mode</t>
  </si>
  <si>
    <t>Occurrence: Probability of occurrence within the product life based on the design as is exists today</t>
  </si>
  <si>
    <t>Score</t>
  </si>
  <si>
    <t>Criteria</t>
  </si>
  <si>
    <t>Notes</t>
  </si>
  <si>
    <t>Example</t>
  </si>
  <si>
    <t>Probability Description</t>
  </si>
  <si>
    <t>Probability</t>
  </si>
  <si>
    <t>5</t>
  </si>
  <si>
    <t>Failure causes death or causes transmission line open circuit, full or partial fault protection compromised.</t>
  </si>
  <si>
    <t>Extremely hazardous failure, threatening to business continuity.</t>
  </si>
  <si>
    <t>Fault detection mechanism failure .
IGBT shorting the capacitor bank.
Power to one or more SCR driver boards discontinued while unit is in injection mode.
Mechanical failure causing line to open.</t>
  </si>
  <si>
    <t>Very high probability</t>
  </si>
  <si>
    <t>1 in 10 or greater</t>
  </si>
  <si>
    <r>
      <t>0.1 ≤ P</t>
    </r>
    <r>
      <rPr>
        <vertAlign val="subscript"/>
        <sz val="12"/>
        <rFont val="Arial"/>
        <family val="2"/>
      </rPr>
      <t>o</t>
    </r>
  </si>
  <si>
    <t>4</t>
  </si>
  <si>
    <t>Failure causes severe injury to personnel requiring hospitalization, severe property damage such as damage to a structure, transmission line damage, major damage to system other than transmission line requiring immediate interruption of line service, loss of control of SmartValve v1.04 when in Injection Mode, device is forced to monitoring mode, with reduced fault protection (i.e. redundancy compromised).</t>
  </si>
  <si>
    <t>Highly hazardous failure, threatening to business reputation.</t>
  </si>
  <si>
    <t>iiDCE RF communication loss in injection mode.
iiDCE losing control of SCRs.</t>
  </si>
  <si>
    <t>High probability</t>
  </si>
  <si>
    <t>1 in 100 or greater</t>
  </si>
  <si>
    <r>
      <t xml:space="preserve">0.01 </t>
    </r>
    <r>
      <rPr>
        <sz val="12"/>
        <rFont val="Calibri"/>
        <family val="2"/>
      </rPr>
      <t>≤  P</t>
    </r>
    <r>
      <rPr>
        <vertAlign val="subscript"/>
        <sz val="12"/>
        <rFont val="Calibri"/>
        <family val="2"/>
      </rPr>
      <t>o</t>
    </r>
    <r>
      <rPr>
        <sz val="12"/>
        <rFont val="Arial"/>
        <family val="2"/>
      </rPr>
      <t xml:space="preserve"> &lt; 0.1</t>
    </r>
  </si>
  <si>
    <t>3</t>
  </si>
  <si>
    <t>Failure causes minor injury to personnel requiring out-patient treatment, moderate property damage not involving a structure, moderate system damage other than transmission line that requires future interruption of line service to repair, loss of control of SmartValve v1.04 when in Monitoring Mode, device is forced to monitoring mode with full fault protection available.</t>
  </si>
  <si>
    <t>Moderately hazardous failure, threatening to product reputation.</t>
  </si>
  <si>
    <t>iiDCE RF communication loss in monitoring mode.
Any control boards' failure, forcing device to monitoring mode.
Mechanical failure causing enclosure temperature to rise, forcing device to stay in monitoring mode.</t>
  </si>
  <si>
    <t>Moderate probability</t>
  </si>
  <si>
    <t>1 in 1,000 or greater</t>
  </si>
  <si>
    <r>
      <t xml:space="preserve">0.001 </t>
    </r>
    <r>
      <rPr>
        <sz val="12"/>
        <rFont val="Calibri"/>
        <family val="2"/>
      </rPr>
      <t>≤  P</t>
    </r>
    <r>
      <rPr>
        <vertAlign val="subscript"/>
        <sz val="12"/>
        <rFont val="Calibri"/>
        <family val="2"/>
      </rPr>
      <t>o</t>
    </r>
    <r>
      <rPr>
        <sz val="12"/>
        <rFont val="Arial"/>
        <family val="2"/>
      </rPr>
      <t xml:space="preserve"> &lt; 0.01</t>
    </r>
  </si>
  <si>
    <t>2</t>
  </si>
  <si>
    <t>Failure causes minor property damage, minor system damage other than primary conductor or loss of SmartValve v1.04 such as loss of performance, unit forced into Monitoring Mode, or significant impact on unit life</t>
  </si>
  <si>
    <t>Minor hazard, minor consequence.</t>
  </si>
  <si>
    <t>Rise in on-board power losses, impacting components' life,
Clamp board feedback not available.</t>
  </si>
  <si>
    <t>Low probability</t>
  </si>
  <si>
    <t>1 in 10,000 or greater</t>
  </si>
  <si>
    <r>
      <t xml:space="preserve">0.0001 </t>
    </r>
    <r>
      <rPr>
        <sz val="12"/>
        <rFont val="Calibri"/>
        <family val="2"/>
      </rPr>
      <t>≤   P</t>
    </r>
    <r>
      <rPr>
        <vertAlign val="subscript"/>
        <sz val="12"/>
        <rFont val="Calibri"/>
        <family val="2"/>
      </rPr>
      <t>o</t>
    </r>
    <r>
      <rPr>
        <sz val="12"/>
        <rFont val="Calibri"/>
        <family val="2"/>
      </rPr>
      <t xml:space="preserve"> </t>
    </r>
    <r>
      <rPr>
        <sz val="12"/>
        <rFont val="Arial"/>
        <family val="2"/>
      </rPr>
      <t>&lt; 0.001</t>
    </r>
  </si>
  <si>
    <t>1</t>
  </si>
  <si>
    <t xml:space="preserve">Failure causes unscheduled maintenance, no immediate loss of performance. </t>
  </si>
  <si>
    <t>No hazard.</t>
  </si>
  <si>
    <t>On-board noise filtration compromised.
One of many bolts failure.</t>
  </si>
  <si>
    <t>Remote probability</t>
  </si>
  <si>
    <t>Less than 1 in 10,000</t>
  </si>
  <si>
    <r>
      <t xml:space="preserve"> P</t>
    </r>
    <r>
      <rPr>
        <vertAlign val="subscript"/>
        <sz val="12"/>
        <rFont val="Arial"/>
        <family val="2"/>
      </rPr>
      <t>o</t>
    </r>
    <r>
      <rPr>
        <sz val="12"/>
        <rFont val="Arial"/>
        <family val="2"/>
      </rPr>
      <t xml:space="preserve"> &lt; 0.0001</t>
    </r>
  </si>
  <si>
    <t>Detection: Likelihood of failure mode detection by design</t>
  </si>
  <si>
    <t>Target product life for the purposes of this FMECA is 40 years.</t>
  </si>
  <si>
    <t>Definition</t>
  </si>
  <si>
    <t>Very remote probability to absolute uncertainty of detection</t>
  </si>
  <si>
    <t>Design will not and/or cannot detect the potential cause/mechanism or subsequent failure mode, or the likelihood of detection is very remote.</t>
  </si>
  <si>
    <r>
      <t xml:space="preserve"> P</t>
    </r>
    <r>
      <rPr>
        <vertAlign val="subscript"/>
        <sz val="12"/>
        <rFont val="Arial"/>
        <family val="2"/>
      </rPr>
      <t>D</t>
    </r>
    <r>
      <rPr>
        <sz val="12"/>
        <rFont val="Arial"/>
        <family val="2"/>
      </rPr>
      <t xml:space="preserve"> &lt; 0.1</t>
    </r>
  </si>
  <si>
    <t>RPN Conditions</t>
  </si>
  <si>
    <t>Color</t>
  </si>
  <si>
    <t>Very low to remote probability of detection</t>
  </si>
  <si>
    <t>Design has a very low to remote likelihood of detecting the potential cause/mechanism or subsequent failure mode.</t>
  </si>
  <si>
    <r>
      <t xml:space="preserve">0.1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0.5</t>
    </r>
  </si>
  <si>
    <r>
      <t xml:space="preserve">Value  </t>
    </r>
    <r>
      <rPr>
        <sz val="12"/>
        <rFont val="Calibri"/>
        <family val="2"/>
      </rPr>
      <t>≥</t>
    </r>
    <r>
      <rPr>
        <sz val="12"/>
        <rFont val="Arial"/>
        <family val="2"/>
      </rPr>
      <t xml:space="preserve"> 70</t>
    </r>
  </si>
  <si>
    <t>Moderate to low probability of detection</t>
  </si>
  <si>
    <t>Design has a moderate to low likelihood of detecting the potential cause/mechanism or subsequent failure mode.</t>
  </si>
  <si>
    <r>
      <t xml:space="preserve">0.5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0.95</t>
    </r>
  </si>
  <si>
    <r>
      <t xml:space="preserve">70 &gt; Value </t>
    </r>
    <r>
      <rPr>
        <sz val="12"/>
        <rFont val="Calibri"/>
        <family val="2"/>
      </rPr>
      <t>≥</t>
    </r>
    <r>
      <rPr>
        <sz val="12"/>
        <rFont val="Arial"/>
        <family val="2"/>
      </rPr>
      <t xml:space="preserve"> 60</t>
    </r>
  </si>
  <si>
    <t>High to moderately high probability of detection</t>
  </si>
  <si>
    <t>Design has a high to moderately high likelihood of detecting the potential cause/mechanism or subsequent failure mode.</t>
  </si>
  <si>
    <r>
      <t xml:space="preserve">0.95 </t>
    </r>
    <r>
      <rPr>
        <sz val="12"/>
        <rFont val="Calibri"/>
        <family val="2"/>
      </rPr>
      <t xml:space="preserve">≤   </t>
    </r>
    <r>
      <rPr>
        <sz val="14"/>
        <rFont val="Calibri"/>
        <family val="2"/>
      </rPr>
      <t>P</t>
    </r>
    <r>
      <rPr>
        <vertAlign val="subscript"/>
        <sz val="12"/>
        <rFont val="Calibri"/>
        <family val="2"/>
      </rPr>
      <t>D</t>
    </r>
    <r>
      <rPr>
        <sz val="12"/>
        <rFont val="Calibri"/>
        <family val="2"/>
      </rPr>
      <t xml:space="preserve"> </t>
    </r>
    <r>
      <rPr>
        <sz val="12"/>
        <rFont val="Arial"/>
        <family val="2"/>
      </rPr>
      <t>&lt; 0.995</t>
    </r>
  </si>
  <si>
    <r>
      <t xml:space="preserve">60 &gt; Value </t>
    </r>
    <r>
      <rPr>
        <sz val="12"/>
        <rFont val="Calibri"/>
        <family val="2"/>
      </rPr>
      <t>≥</t>
    </r>
    <r>
      <rPr>
        <sz val="12"/>
        <rFont val="Arial"/>
        <family val="2"/>
      </rPr>
      <t xml:space="preserve"> 50</t>
    </r>
  </si>
  <si>
    <t>Almost certain to very high probability of detection</t>
  </si>
  <si>
    <t>Design has an almost certain chance of detecting the potential cause/mechanism or subsequent failure mode or the likelihood of detection is very high.</t>
  </si>
  <si>
    <r>
      <t>0.995 ≤ P</t>
    </r>
    <r>
      <rPr>
        <vertAlign val="subscript"/>
        <sz val="12"/>
        <rFont val="Arial"/>
        <family val="2"/>
      </rPr>
      <t>D</t>
    </r>
  </si>
  <si>
    <t>Value &lt; 50</t>
  </si>
  <si>
    <t>Review Status</t>
  </si>
  <si>
    <t>Approved</t>
  </si>
  <si>
    <t>Reviewed by QA</t>
  </si>
  <si>
    <t>Review Pending</t>
  </si>
  <si>
    <t>Design Traceability</t>
  </si>
  <si>
    <t>Sr.</t>
  </si>
  <si>
    <t>Design Artifact</t>
  </si>
  <si>
    <t>Rev</t>
  </si>
  <si>
    <t>Link</t>
  </si>
  <si>
    <t>SmartValve 10-1800 v1.04 - Wiring Drawing -  Bypass Section Harnesses Diagram</t>
  </si>
  <si>
    <t>Box Link</t>
  </si>
  <si>
    <t>SmartValve 10-1800 v1.04 - Wiring Drawing -  MVAR Section Harnesses Diagram</t>
  </si>
  <si>
    <t>SmartValve 10-1800 v1.04 - Wiring Drawing -  PHT Shorting and Capacitor Voltage Measurement Blocks</t>
  </si>
  <si>
    <t>SmartValve 10-1800 v1.04 - Wiring Drawing -  Power Supply Scheme Gen2-v2-FAI</t>
  </si>
  <si>
    <t>SmartValve 10-1800 v1.04 - PCBAs - HV-ISO XFMR Board Functional Block Diagram</t>
  </si>
  <si>
    <t xml:space="preserve">SmartValve 10-1800 v1.04 - PCBAs - HV-ISO XFMR Board Schematic </t>
  </si>
  <si>
    <t>SmartValve 10-1800 v1.04 - PCBAs - HV-ISO XFMR Board Design Document</t>
  </si>
  <si>
    <t>A</t>
  </si>
  <si>
    <t>ID.</t>
  </si>
  <si>
    <t>Component</t>
  </si>
  <si>
    <t>Reference Designator</t>
  </si>
  <si>
    <t>Functional Requirement</t>
  </si>
  <si>
    <t>Potential Failure Mode</t>
  </si>
  <si>
    <t>Potential Effect(s) of Failure</t>
  </si>
  <si>
    <t>Severity Score</t>
  </si>
  <si>
    <t>Potential Causes / Triggers of Failure</t>
  </si>
  <si>
    <t>Failure Safeguards</t>
  </si>
  <si>
    <t>Occurrence Score</t>
  </si>
  <si>
    <t>S x O</t>
  </si>
  <si>
    <t>Existing Conditions</t>
  </si>
  <si>
    <t>RPN (S x O x D)</t>
  </si>
  <si>
    <t>Alert Message</t>
  </si>
  <si>
    <t>Recommended Action(s) / Remarks</t>
  </si>
  <si>
    <t>Reporting Team Member</t>
  </si>
  <si>
    <t>Target Completion Date</t>
  </si>
  <si>
    <t>Action Results</t>
  </si>
  <si>
    <t>Status</t>
  </si>
  <si>
    <t>Local - Effect at the sub assembly or component level</t>
  </si>
  <si>
    <t>Higher Level - Effect at SmartValve v1.04</t>
  </si>
  <si>
    <t>End - Effect at System Level</t>
  </si>
  <si>
    <t>Verification &amp; Validation Method</t>
  </si>
  <si>
    <t>Detection Method</t>
  </si>
  <si>
    <t>Detection Score</t>
  </si>
  <si>
    <t>Actions Taken</t>
  </si>
  <si>
    <t>New RPN</t>
  </si>
  <si>
    <t>HV Transformer Board Rev3 (P112469)</t>
  </si>
  <si>
    <t>HV Transformer Board for one iSCR Driver Board</t>
  </si>
  <si>
    <t>15 V On-Board Supply</t>
  </si>
  <si>
    <t>SV104-10917</t>
  </si>
  <si>
    <t>Input Side Connector</t>
  </si>
  <si>
    <t>J3</t>
  </si>
  <si>
    <t>Input supply from PHTDC</t>
  </si>
  <si>
    <t>Connector Disconnected by external Force.</t>
  </si>
  <si>
    <t xml:space="preserve">Input power path will be broken.
No output available at HV transformer board.
 </t>
  </si>
  <si>
    <t>iSCR driver board will still receive power from redundant HVT board.
Device can operate in both monitoring and injection mode.</t>
  </si>
  <si>
    <t>System will keep working normally.</t>
  </si>
  <si>
    <t>Open Connections due to vibrations, mis-handling or mechanical stress.
De-gradation of components.</t>
  </si>
  <si>
    <t xml:space="preserve">Using components with industrial grade scale.
Choosing components with enough FIT rate to fulfil the product life requirements.
Redundant HV Transformer board to power-up iSCR driver board. </t>
  </si>
  <si>
    <t xml:space="preserve">HALT.
Electrical Stress Testing.
Thermal Stress Testing.
Vibration Testing. </t>
  </si>
  <si>
    <t>None.</t>
  </si>
  <si>
    <t>SV104-10918</t>
  </si>
  <si>
    <t>Connection Loose or Sparking at terminals</t>
  </si>
  <si>
    <t>Due to sparking connector will heat up and eventually burnout</t>
  </si>
  <si>
    <t>SV104 - 5158</t>
  </si>
  <si>
    <t>Input Side TRIACs.</t>
  </si>
  <si>
    <t>D13,D12</t>
  </si>
  <si>
    <t xml:space="preserve">Reverse polarity protection. </t>
  </si>
  <si>
    <t xml:space="preserve">TRIAC fails-open.
</t>
  </si>
  <si>
    <t xml:space="preserve">No immediate effect.
Board will keep working, but it is going to increase some level of stress on other components which will have an impact in longer run(Years).
Board  life is going to be impacted.
Parallel TRIAC available for alternate path. </t>
  </si>
  <si>
    <t>If no other failure is observed on the board, iSCR driver board will stay powered. 
Device can operate in both monitoring and injection mode.</t>
  </si>
  <si>
    <t>Excessive forward current.
Open Connections due to vibrations, mis-handling or mechanical stress.
De-gradation of components.</t>
  </si>
  <si>
    <t>SV104 - 5159</t>
  </si>
  <si>
    <t xml:space="preserve">TRIAC fails-short. 
</t>
  </si>
  <si>
    <r>
      <t>Reverse polarity protection will be compromised during shortage.</t>
    </r>
    <r>
      <rPr>
        <sz val="10"/>
        <color rgb="FFFF0000"/>
        <rFont val="Arial"/>
        <family val="2"/>
      </rPr>
      <t xml:space="preserve">
</t>
    </r>
    <r>
      <rPr>
        <sz val="10"/>
        <rFont val="Arial"/>
        <family val="2"/>
      </rPr>
      <t xml:space="preserve">
Board will keep working normally if input is provided with correct polarity.</t>
    </r>
  </si>
  <si>
    <t>Large reverse voltage.
De-gradation of components.</t>
  </si>
  <si>
    <t xml:space="preserve">HALT.
Electrical Stress Testing.
Thermal Stress Testing.
</t>
  </si>
  <si>
    <t>SV104 - 6736</t>
  </si>
  <si>
    <t xml:space="preserve">Both TRIACs fail-short. </t>
  </si>
  <si>
    <t xml:space="preserve">Reverse polarity protection will be compromised.
Board will keep working normally if input is provided with correct polarity.
</t>
  </si>
  <si>
    <t>SV104 - 6737</t>
  </si>
  <si>
    <t xml:space="preserve">Both TRIACs fail-open </t>
  </si>
  <si>
    <t>Input path will be broken.
No output available at HV transformer board.
.</t>
  </si>
  <si>
    <t>SV104 - 5160</t>
  </si>
  <si>
    <t>Input Side Fuse.</t>
  </si>
  <si>
    <t>F2</t>
  </si>
  <si>
    <t>To cut-off supply in case of over-current.</t>
  </si>
  <si>
    <t>Fuse fails-open.</t>
  </si>
  <si>
    <t>On-board fault causing higher current flow.
De-gradation of components.
Open Connections due to vibrations, mis-handling or mechanical stress.</t>
  </si>
  <si>
    <t>SV104 - 5161</t>
  </si>
  <si>
    <t>Input Side Filter Capacitors.</t>
  </si>
  <si>
    <t>C2,C23</t>
  </si>
  <si>
    <t xml:space="preserve">To suppress ripples on input voltage.
</t>
  </si>
  <si>
    <t>Capacitor fails-open.</t>
  </si>
  <si>
    <t>Input supply ripples may cause distorted output supply.
No immediate effect on board..</t>
  </si>
  <si>
    <t>Mechanical stress.
Localized heating for long time will separate end connection of capacitor.</t>
  </si>
  <si>
    <t>SV104 - 5162</t>
  </si>
  <si>
    <t xml:space="preserve">Capacitor fails-short. </t>
  </si>
  <si>
    <t xml:space="preserve">PHT-DC Capacitor will dump full energy in HV-ISO board leaving it permanently damage (Trace damage).
No output available at HV transformer board. 
</t>
  </si>
  <si>
    <t>Wear-out due to dielectric degradation. 
High-voltage transients.
De-gradation of components.
Water ingress during humidity condition as it is film capacitor.
Overvoltage</t>
  </si>
  <si>
    <t xml:space="preserve">Using components with industrial grade scale.
Choosing components with enough FIT rate to fulfil the product life requirements.
RTV application on edges to stop water ingress.
Redundant HV Transformer board to power-up iSCR driver board. </t>
  </si>
  <si>
    <t xml:space="preserve">HALT.
Electrical Stress Testing.
Thermal Stress Testing.
Environmental Testing.
 </t>
  </si>
  <si>
    <t>SV104 - 5163</t>
  </si>
  <si>
    <t>Low Voltage Detection Zener Diode.
(D7, D11, D10)</t>
  </si>
  <si>
    <t>D7,D10,D11</t>
  </si>
  <si>
    <t>To set under-voltage lockout threshold.</t>
  </si>
  <si>
    <t>Diode fails-open.</t>
  </si>
  <si>
    <t xml:space="preserve">No voltage will be available at power controlling MOSFET gate.
On-board 15 V supply will not be available.
No output available at HV transformer board.
</t>
  </si>
  <si>
    <t>Mechanical stress or impact during assembly. 
Overcurrent.
De-gradation of components.</t>
  </si>
  <si>
    <t xml:space="preserve">HALT.
Electrical Stress Testing.
Thermal Stress Testing.
 </t>
  </si>
  <si>
    <t>SV104 - 5164</t>
  </si>
  <si>
    <t>Diode fails-short..</t>
  </si>
  <si>
    <t>The threshold for UVLO detection will decrease.                                                                                                                                                                                                                                                                                       
Board will turn on before the set threshold of 320 V.
Slight effect will be on PHT-DC bus during low line current condition as it will ramp up slowly.
Board will keep working.</t>
  </si>
  <si>
    <t>Excessive Temperature.
High reverse voltage.
De-gradation of components.</t>
  </si>
  <si>
    <t>SV104-10919</t>
  </si>
  <si>
    <t>Low Voltage Detection Voltage Divider</t>
  </si>
  <si>
    <t>R41,R36</t>
  </si>
  <si>
    <t>To set UVLO threshold</t>
  </si>
  <si>
    <t>Resistor fails-open.</t>
  </si>
  <si>
    <t xml:space="preserve">No voltage will be available at power controlling MOSFET gate.
On-board 15 V supply will not be available.
No output available at HV transformer board.
</t>
  </si>
  <si>
    <t>Over voltage. 
Over Temperature.
Over stress due to shock or vibration.
De-gradation of components.</t>
  </si>
  <si>
    <t>HALT.
Electrical Stress Testing.
Thermal Stress Testing.
  Vibration testing.</t>
  </si>
  <si>
    <t>SV104-10920</t>
  </si>
  <si>
    <t>Resistor fails-short.</t>
  </si>
  <si>
    <t>UVLO limit will decrease ,no major effect.
Board will powerup at few volts lesser  voltage.
Board will keep working.</t>
  </si>
  <si>
    <t>Wear-out due to extensive use.
Excessive humidity. 
De-gradation of components.</t>
  </si>
  <si>
    <t>SV104 - 5165</t>
  </si>
  <si>
    <t>Input Side Voltage Divider Resistor.</t>
  </si>
  <si>
    <t>R30,R31,R32,R33,R34,R35</t>
  </si>
  <si>
    <t>To step down voltage.</t>
  </si>
  <si>
    <t>Over Temperature.
Over stress due to shock or vibration.
De-gradation of components.
Overcurrent.
Counterfeit part.</t>
  </si>
  <si>
    <t>SV104 - 5166</t>
  </si>
  <si>
    <t xml:space="preserve">Any one resistor fails-short. </t>
  </si>
  <si>
    <t xml:space="preserve">No immediate effect on board.
Board will keep working normally.
</t>
  </si>
  <si>
    <t>Wear-out due to extensive use.
Excessive humidity.
Counterfeit part. 
De-gradation of components.</t>
  </si>
  <si>
    <t xml:space="preserve">Using components with industrial grade scale.
Choosing components with enough FIT rate to fulfil the product life requirements.
Conformal coating.
Redundant HV Transformer board to power-up iSCR driver board. </t>
  </si>
  <si>
    <t>SV104 - 12377</t>
  </si>
  <si>
    <t xml:space="preserve">More than one resistors fails-short. </t>
  </si>
  <si>
    <t>Soft starting current is increased significantly consequently MOSFET power dissipation will increase that could bring failure.
No output available at HV transformer board.</t>
  </si>
  <si>
    <t xml:space="preserve">Using components with industrial grade scale.
Choosing components with enough FIT rate to fulfil the product life requirements..
Conformal coating.
</t>
  </si>
  <si>
    <t>SV104 - 5167</t>
  </si>
  <si>
    <t>Input Power Control MOSFET.</t>
  </si>
  <si>
    <t>Q6</t>
  </si>
  <si>
    <t>To turn ON/OFF power flow.</t>
  </si>
  <si>
    <t>MOSFET fails-open.</t>
  </si>
  <si>
    <t xml:space="preserve">Input power path will be broken.
No output available at HV transformer board.
</t>
  </si>
  <si>
    <t>Overheating 
Mechanical stress resulting in cracked MOSFET body.</t>
  </si>
  <si>
    <t>SV104 - 5168</t>
  </si>
  <si>
    <t xml:space="preserve">MOSFET fails-short. </t>
  </si>
  <si>
    <t xml:space="preserve">
Startup circuitry will turn on permanently resulting in overheating and permanently damage to startup resistor.
No output available once HV-ISO reboot.
</t>
  </si>
  <si>
    <t>Transients
Overheating as a result of loose connection with heat sink
Overcurrent
Counterfeit part
Damage during mechanical assembly of board
Metallic debris stuck in between terminals</t>
  </si>
  <si>
    <t>SV104 - 5169</t>
  </si>
  <si>
    <t>Over-voltage Protection Zener Diode at MOSFET Gate Side.</t>
  </si>
  <si>
    <t>D31</t>
  </si>
  <si>
    <t>For gate protection of MOSFET.</t>
  </si>
  <si>
    <t>Over-voltage protection of MOSFET won't be available.
No immediate effect on board in normal operations.</t>
  </si>
  <si>
    <t>Usage of over-rated components.
Using components with industrial grade scale.
Choosing components with enough FIT rate to fulfil the product life requirements.</t>
  </si>
  <si>
    <t>SV104 - 5170</t>
  </si>
  <si>
    <t xml:space="preserve">Diode fails-short. </t>
  </si>
  <si>
    <t xml:space="preserve">MOSFET will be turned off completely.
Startup circuit will not work.
No output available at HV transformer board.
</t>
  </si>
  <si>
    <t>SV104-12378</t>
  </si>
  <si>
    <t>Filtration Capacitor</t>
  </si>
  <si>
    <t>C21</t>
  </si>
  <si>
    <t>To suppress noise and remove ripples</t>
  </si>
  <si>
    <t>SV104-12379</t>
  </si>
  <si>
    <t>HVDC and 24VAUX will be shorted top ground.
Startup circuit will not work.
Input Fuse Will be Blown
No output available at HV transformer board.</t>
  </si>
  <si>
    <t>SV104-10921</t>
  </si>
  <si>
    <t>MOSFET resistance for Miller Capacitance</t>
  </si>
  <si>
    <t>R37</t>
  </si>
  <si>
    <t>To discharge miller capacitance of MOSFET</t>
  </si>
  <si>
    <t>Resistor fails-open</t>
  </si>
  <si>
    <t>Abnormal Behavior of MOSFET
Might turn ON/OFF abnormally can damage startup circuitry if MOSFET remains on for longer duration.
No output available at HV transformer board</t>
  </si>
  <si>
    <t>SV104-10922</t>
  </si>
  <si>
    <t>Resistor fails-short</t>
  </si>
  <si>
    <t>Gate and Source of Q6 will have no voltage difference so MOSFET cannot operate
No output available at HV transformer board</t>
  </si>
  <si>
    <t>SV104 - 6738</t>
  </si>
  <si>
    <t>D21-Free wheeling diode</t>
  </si>
  <si>
    <t>D21</t>
  </si>
  <si>
    <t>To protect BJT during reverse voltage condition</t>
  </si>
  <si>
    <t xml:space="preserve">No protection for BJT will be available.
Reverse voltage development across BJT will damage it.
No output available.
</t>
  </si>
  <si>
    <t>SV104 - 6739</t>
  </si>
  <si>
    <t xml:space="preserve">Input will appear as it is on output which will damage PWM controller and gate driver ICs permanently.
No output available.
</t>
  </si>
  <si>
    <t>SV104 - 6740</t>
  </si>
  <si>
    <t xml:space="preserve">D22-To prevent reverse power flow </t>
  </si>
  <si>
    <t>D22</t>
  </si>
  <si>
    <t>To prevent reverse power flow from auxiliary to startup circuitry</t>
  </si>
  <si>
    <t>SV104 - 6741</t>
  </si>
  <si>
    <t>If the board is OFF than it can not turn ON. 
If board is ON than reverse power will start to flow. D31 will be forward biased and as gate of Q6 is grounded than 24VAUX will also be grounded.
No output available at HV transformer board.</t>
  </si>
  <si>
    <t>SV104 - 6742</t>
  </si>
  <si>
    <t>D27-Zener diode</t>
  </si>
  <si>
    <t>D27</t>
  </si>
  <si>
    <t>To set reference voltage for BJT to regulate</t>
  </si>
  <si>
    <t xml:space="preserve">Voltage at input will appear as it is on base damaging it permanently.
No output available at HV transformer board.
</t>
  </si>
  <si>
    <t>SV104 - 6743</t>
  </si>
  <si>
    <t>BJT will not turn on.
No output available at HV transformer board.</t>
  </si>
  <si>
    <t>SV104 - 5171</t>
  </si>
  <si>
    <t>Input Power Control BJT.</t>
  </si>
  <si>
    <t>Q8</t>
  </si>
  <si>
    <t>To provide regulated voltage for startup.</t>
  </si>
  <si>
    <t>BJT fails-open.</t>
  </si>
  <si>
    <t>Melted connections due to overheating. 
Manufacturing defect. 
De-gradation of components.</t>
  </si>
  <si>
    <t>SV104 - 5172</t>
  </si>
  <si>
    <t xml:space="preserve">BJT fails-short. </t>
  </si>
  <si>
    <t xml:space="preserve">Higher voltage at startup will damage the PWM controller and gate drivers of board.
Input power path will be broken.
No output available at HV transformer board.
</t>
  </si>
  <si>
    <t>Over voltage. 
Leaky junctions. 
Wear-out due to high power dissipation.
De-gradation of components.</t>
  </si>
  <si>
    <t>SV104 - 5173</t>
  </si>
  <si>
    <t>Biasing Resistor for BJT.</t>
  </si>
  <si>
    <t>R40</t>
  </si>
  <si>
    <t>To set biasing threshold for power flow controlling BJT.</t>
  </si>
  <si>
    <t xml:space="preserve">BJT will be permanently turned OFF.
Input power path will be broken.
No output available at HV transformer board.
</t>
  </si>
  <si>
    <t>SV104 - 5174</t>
  </si>
  <si>
    <t xml:space="preserve">Resistor fails-short. </t>
  </si>
  <si>
    <t xml:space="preserve">24 V will be replicated at the emitter for the shorted duration, on-board ICs may get burn due to this over-voltage. 
BJT will eventually fail-open due to over-current. 
Input power path will be broken.
No output available at HV transformer board.
</t>
  </si>
  <si>
    <t>SV104 - 5175</t>
  </si>
  <si>
    <t xml:space="preserve">Freewheeling Diode. </t>
  </si>
  <si>
    <t>To provide reverser current flow path.</t>
  </si>
  <si>
    <t xml:space="preserve">Diode fails-open.
</t>
  </si>
  <si>
    <t xml:space="preserve">No path will be available for reverse current to flow.
Potential difference creation across BJT can damage the BJT.
Input power path will be broken.
No output available at HV transformer board.
</t>
  </si>
  <si>
    <t>SV104 - 5176</t>
  </si>
  <si>
    <t xml:space="preserve">An emitter to collector short on BJT will cause the BJT to over-heat and may fail-open.
Input power path will be broken.
No output available at HV transformer board.
</t>
  </si>
  <si>
    <t>Large reverse voltage. 
De-gradation of components.</t>
  </si>
  <si>
    <t>SV104 - 5177</t>
  </si>
  <si>
    <t>15 V Rail Output Side Capacitors.</t>
  </si>
  <si>
    <t>C22,C19,C20</t>
  </si>
  <si>
    <t>To stable output voltage and to suppress ripples.</t>
  </si>
  <si>
    <t xml:space="preserve">Capacitor fails-open.
</t>
  </si>
  <si>
    <t>No immediate effect on board..</t>
  </si>
  <si>
    <t>Using enough filtration capacitors at different levels.
Usage of over-rated components.
Using components with industrial grade scale.
Choosing components with enough FIT rate to fulfil the product life requirements.</t>
  </si>
  <si>
    <t>SV104 - 5178</t>
  </si>
  <si>
    <t xml:space="preserve">15 V power supply will be shorted to ground. 
On-board electronics will not be powered up.
No output available at HV transformer board.
</t>
  </si>
  <si>
    <t>Wear-out due to dielectric degradation. 
High-voltage transients.
De-gradation of components.</t>
  </si>
  <si>
    <t>SV104 - 5179</t>
  </si>
  <si>
    <t>24 V Feedback Signal Side Resistor.</t>
  </si>
  <si>
    <t>R38</t>
  </si>
  <si>
    <t>To provide 24 V sensing feedback path.</t>
  </si>
  <si>
    <t xml:space="preserve">Resistor fails-open.
</t>
  </si>
  <si>
    <t xml:space="preserve">15 V regulator will keep on working from input side and will not turn off. Which will heat up the resistor on MOSFET Q6 drain and will burn out eventually.
No output available at HV transformer board.
</t>
  </si>
  <si>
    <t>SV104 - 5180</t>
  </si>
  <si>
    <t xml:space="preserve">Over-current will cause the resistor to eventually fail-open. 
15 V regulator will keep on working from input side and will not turn off. Which will heat up the resistor on MOSFET Q6 drain and will burn out eventually.
No output available at HV transformer board.
</t>
  </si>
  <si>
    <t>SV104 - 5181</t>
  </si>
  <si>
    <t>24 V Feedback Signal Side 9 V Zener Diode.</t>
  </si>
  <si>
    <t>D23</t>
  </si>
  <si>
    <t>To maintain a constant 9 V drop. To turn off the startup circuitry once full bridge auxiliary supply exceeds 9.1 V.</t>
  </si>
  <si>
    <t xml:space="preserve">Diode fails-open. </t>
  </si>
  <si>
    <t>SV104 - 5182</t>
  </si>
  <si>
    <t xml:space="preserve">Startup circuitry will be turned off before full bridge secondary is activated completely.
As a result startup circuitry will keep activating and then turn off due to aux voltage. This will eventually damage the startup circuitry of board.
No output available at HV transformer board.
</t>
  </si>
  <si>
    <t>Mechanical stress or impact during assembly.
Large reverse voltage.
De-gradation of components.</t>
  </si>
  <si>
    <t>SV104 - 6744</t>
  </si>
  <si>
    <t>24 V Feedback Signal Side - R39</t>
  </si>
  <si>
    <t>R39</t>
  </si>
  <si>
    <t>Voltage divider resistor-Low side</t>
  </si>
  <si>
    <t xml:space="preserve">No immediate effect on board as Zener will keep voltage regulated at MOSFET gate. 
This will increase stress on Zener and affect Zener life. Board will stop working if Zener also  gets damaged. 
Board will keep working normally.
</t>
  </si>
  <si>
    <t>SV104 - 6745</t>
  </si>
  <si>
    <t>SV104 - 6746</t>
  </si>
  <si>
    <t>24 V Feedback Signal Side - D23</t>
  </si>
  <si>
    <t>Diode fails-open</t>
  </si>
  <si>
    <t>Excessive forward current flow. 
De-gradation of components.</t>
  </si>
  <si>
    <t>SV104 - 6747</t>
  </si>
  <si>
    <t>Diode fails-short</t>
  </si>
  <si>
    <t>No immediate effect on board.</t>
  </si>
  <si>
    <t>SV104 - 6748</t>
  </si>
  <si>
    <t>24 V Feedback Signal Side - D24</t>
  </si>
  <si>
    <t>D24</t>
  </si>
  <si>
    <t>To prevent reverse power flow from startup circuitry</t>
  </si>
  <si>
    <t xml:space="preserve">As soon as auxiliary will develop board will be disabled and power-up again and this cycle will keep repeating which will damage the startup circuitry permanently.
No output available at HV transformer board.
</t>
  </si>
  <si>
    <t>SV104 - 6749</t>
  </si>
  <si>
    <t xml:space="preserve">Startup circuitry will disable itself before powering up the board.
It will happen repeatedly eventually damaging the startup circuitry.
No output available at HV transformer board.
</t>
  </si>
  <si>
    <t>SV104 - 6750</t>
  </si>
  <si>
    <t>24 V Feedback Signal Side - D26</t>
  </si>
  <si>
    <t>D26</t>
  </si>
  <si>
    <t>Overvoltage protection for MOSFET</t>
  </si>
  <si>
    <t>SV104 - 6751</t>
  </si>
  <si>
    <t>15 V regulator will keep on working from input side and will not turn off. Which will heat up the resistor on MOSFET Q6 drain and will burn out eventually.
No output available at HV transformer board.</t>
  </si>
  <si>
    <t>SV104 - 5183</t>
  </si>
  <si>
    <t>24 V Feedback Signal Side MOSFET.</t>
  </si>
  <si>
    <t>Q7</t>
  </si>
  <si>
    <t>To turn OFF power flow controlling MOSFET when auxiliary voltage develops.</t>
  </si>
  <si>
    <t xml:space="preserve">MOSFET fails-open.
</t>
  </si>
  <si>
    <t>SV104 - 5184</t>
  </si>
  <si>
    <t xml:space="preserve">Startup circuitry will remain off permanently as Q6 remains off permanently.
15 V regulator will keep on working from input side and will not turn off. Which will heat up the resistor on MOSFET Q6 drain and will burn out eventually.
No output available at HV transformer board.
</t>
  </si>
  <si>
    <t>SV104 - 5185</t>
  </si>
  <si>
    <t xml:space="preserve">24 V Feedback Signal Side MOSFET.- Zener at Gate </t>
  </si>
  <si>
    <t>D25</t>
  </si>
  <si>
    <t xml:space="preserve">To protect MOSFET (Q6) gate from over-voltage. </t>
  </si>
  <si>
    <t xml:space="preserve">Using components with industrial grade scale.
Choosing components with enough FIT rate to fulfil the product life requirements.
</t>
  </si>
  <si>
    <t>SV104 - 5186</t>
  </si>
  <si>
    <t>Board will not power up as startup circuit will remain off.
Q6 will remain permanently off.
No output available at HV transformer board.</t>
  </si>
  <si>
    <t>PWM Controller</t>
  </si>
  <si>
    <t>SV104 - 5187</t>
  </si>
  <si>
    <t>PWM Controller IC.</t>
  </si>
  <si>
    <t>U1</t>
  </si>
  <si>
    <t>To provide alternate PWM pulses for full bridge gate driver.</t>
  </si>
  <si>
    <t>IC output is permanently low.</t>
  </si>
  <si>
    <t xml:space="preserve">No PWM will be available for half bridge driver ICs,
No output available at HV transformer board.
Redundant power to iSCR driver board will be cut-off. </t>
  </si>
  <si>
    <t>Electrical Overstress. 
ESD. 
De-gradation of components.</t>
  </si>
  <si>
    <t>SV104 - 5188</t>
  </si>
  <si>
    <t>One of output is permanently high.</t>
  </si>
  <si>
    <t xml:space="preserve">Output of Full Bridge circuit will be 12 V at no load.
HV transformer board will have no output as soon as load is applied.
Redundant power to iSCR driver board will be cut-off. </t>
  </si>
  <si>
    <t>SV104 - 5189</t>
  </si>
  <si>
    <t>PWM has a different duty cycle than desired.</t>
  </si>
  <si>
    <t>Output of Full Bridge circuit will have different duty cycle.
HV transformer board will have more or less than 24 V output.</t>
  </si>
  <si>
    <t xml:space="preserve">Internal IC damage. 
</t>
  </si>
  <si>
    <t>SV104 - 5190</t>
  </si>
  <si>
    <t>Line Under-Voltage Lockout Voltage Divider High Side Resistor.</t>
  </si>
  <si>
    <t>R1</t>
  </si>
  <si>
    <t>To turn OFF gate driver PWM in case of under-voltage.</t>
  </si>
  <si>
    <t>PWM controller will remain off permanently.
No output available.</t>
  </si>
  <si>
    <t>SV104 - 5191</t>
  </si>
  <si>
    <t xml:space="preserve">UVLO pin will get damaged, No PWM will be available for half bridge driver ICs,
No output available at HV transformer board.
Redundant power to iSCR driver board will be cut-off. </t>
  </si>
  <si>
    <t>SV104 - 5192</t>
  </si>
  <si>
    <t>Line Under-Voltage Lockout Voltage Divider Low Side Resistor.</t>
  </si>
  <si>
    <t>R13</t>
  </si>
  <si>
    <t xml:space="preserve">UVLO pin will get damaged, No PWM will be available as IC will get damaged.
No output available at HV transformer board.
Redundant power to iSCR driver board will be cut-off. </t>
  </si>
  <si>
    <t>SV104 - 5193</t>
  </si>
  <si>
    <t xml:space="preserve">PWM controller will remain off permanently. No output available.
</t>
  </si>
  <si>
    <t>SV104 - 5194</t>
  </si>
  <si>
    <t>RT2 Biasing Resistor.</t>
  </si>
  <si>
    <t>R14</t>
  </si>
  <si>
    <t>To control oscillator dead time.</t>
  </si>
  <si>
    <t xml:space="preserve">Dead time between alternating PWMs will be altered (maximum).
Output of isolation transformer will be less.
No output available at HV transformer board.
Redundant power to iSCR driver board will be cut-off. </t>
  </si>
  <si>
    <t>SV104 - 5195</t>
  </si>
  <si>
    <t xml:space="preserve">Dead time between alternating PWMs will be altered (minimum).
Switching losses will increase which will affect board life.
Output of isolation transformer will be available.
</t>
  </si>
  <si>
    <t xml:space="preserve">Using components with industrial grade scale.
Choosing components with enough FIT rate to fulfil the product life requirements.
</t>
  </si>
  <si>
    <t>SV104 - 5196</t>
  </si>
  <si>
    <t>RT1 Biasing Resistor.</t>
  </si>
  <si>
    <t>R15</t>
  </si>
  <si>
    <t>To control oscillator maximum ON time.</t>
  </si>
  <si>
    <t xml:space="preserve">Oscillator frequency will be altered to minimum.
Switching frequency of converter will be changed as a result transformer can saturate.
Output of isolation transformer will not be available.
No output available at HV transformer board.
Redundant power to iSCR driver board will be cut-off. </t>
  </si>
  <si>
    <t>SV104 - 5197</t>
  </si>
  <si>
    <t xml:space="preserve">Oscillator frequency will be altered (maximum).
No immediate effect but core losses will increase and will effect board life.
</t>
  </si>
  <si>
    <t>SV104 - 5198</t>
  </si>
  <si>
    <t>Restart Timer Resistor.</t>
  </si>
  <si>
    <t>R16</t>
  </si>
  <si>
    <t>To set PWM restart signal biasing.</t>
  </si>
  <si>
    <t>No immediate effect on board in normal operations.
Hiccup mode current limiting will be activated. On detection of current limit the controller will turn off and will restart after a short time until current fault is removed.</t>
  </si>
  <si>
    <t>SV104 - 5199</t>
  </si>
  <si>
    <t>No immediate effect on board in normal operations.
Cycle by cycle current limit will keep working. On current limit detection it skips some pulses instead of completely turning off controller like in hiccup mode.</t>
  </si>
  <si>
    <t>SV104 - 5200</t>
  </si>
  <si>
    <t>Soft-Start Capacitor.</t>
  </si>
  <si>
    <t>C10</t>
  </si>
  <si>
    <t>To provide soft-start biasing value.</t>
  </si>
  <si>
    <t>Soft start will not be provided.
No immediate effect on board.</t>
  </si>
  <si>
    <t>SV104 - 5201</t>
  </si>
  <si>
    <t xml:space="preserve">PWM controller will turn off permanently. No output available for board.
</t>
  </si>
  <si>
    <t>SV104 - 5202</t>
  </si>
  <si>
    <t>Ramp Control Resistor.</t>
  </si>
  <si>
    <t>R12</t>
  </si>
  <si>
    <t>To provide ramp control of PWM.</t>
  </si>
  <si>
    <t>PWM ramp will be affected.
Output of Full Bridge circuit will be different than desired.
HV transformer board will have more or less than 24 V output.</t>
  </si>
  <si>
    <t>SV104 - 5203</t>
  </si>
  <si>
    <t>SV104 - 5204</t>
  </si>
  <si>
    <t>Current Sense Signal Filtration Capacitor.</t>
  </si>
  <si>
    <t>C12</t>
  </si>
  <si>
    <t>To filter the CS signal.</t>
  </si>
  <si>
    <t xml:space="preserve">Capacitor fails-open. </t>
  </si>
  <si>
    <t>No immediate effect on board in normal operations.</t>
  </si>
  <si>
    <t>SV104 - 5205</t>
  </si>
  <si>
    <t>Capacitor will fail-open due to over-current. 
PWM current limiting functionality will be compromised while the capacitor remains shorted. 
No immediate effect on board in normal operations.</t>
  </si>
  <si>
    <t>SV104 - 5206</t>
  </si>
  <si>
    <t>Current Sense Capacitor.</t>
  </si>
  <si>
    <t>C9</t>
  </si>
  <si>
    <t>To eliminate sub-harmonic oscillation</t>
  </si>
  <si>
    <t>SV104 - 5207</t>
  </si>
  <si>
    <t>PWM current limiting functionality will be compromised if overcurrent situation occurs at primary side.
No immediate effect on board in normal operations.</t>
  </si>
  <si>
    <t>SV104-12380</t>
  </si>
  <si>
    <t>Decoupling Capacitor</t>
  </si>
  <si>
    <t>C11</t>
  </si>
  <si>
    <t>To Filter Noise</t>
  </si>
  <si>
    <t>SV104-12381</t>
  </si>
  <si>
    <t>Internal Reference Voltage will be shorted to ground.
PWM output will be disabled.
No output available at HV transformer board.</t>
  </si>
  <si>
    <t>SV104-10923</t>
  </si>
  <si>
    <t>Input Filtration Capacitance</t>
  </si>
  <si>
    <t>C1</t>
  </si>
  <si>
    <t>To suppress ripples on input voltage.</t>
  </si>
  <si>
    <t>No immediate effect on board due to presence of multiple capacitors at different stages..</t>
  </si>
  <si>
    <t>SV104-10924</t>
  </si>
  <si>
    <t>15V rail will get shorted to ground thus
No output available at HV transformer board .</t>
  </si>
  <si>
    <t>SV104-10925</t>
  </si>
  <si>
    <t>Current Sense Resistance</t>
  </si>
  <si>
    <t>R28</t>
  </si>
  <si>
    <t>Filter to remove noise from current sense signal</t>
  </si>
  <si>
    <t>Overcurrent Protection will be compromised during overcurrent condition at primary.
No immediate Effect in normal condition.</t>
  </si>
  <si>
    <t>SV104-10926</t>
  </si>
  <si>
    <t xml:space="preserve">IC may trigger False overcurrent and disable output.
No output available at HV transformer board 
</t>
  </si>
  <si>
    <t>SV104 - 5208</t>
  </si>
  <si>
    <t>Output Driver Resistor.</t>
  </si>
  <si>
    <t>R4,R5</t>
  </si>
  <si>
    <t>To limit gate driver current.</t>
  </si>
  <si>
    <t xml:space="preserve">Gate driver PWM path will be broken.
No output available at HV transformer board.
Redundant power to iSCR driver board will be cut-off. </t>
  </si>
  <si>
    <t>SV104 - 5209</t>
  </si>
  <si>
    <t xml:space="preserve">No immediate till the shorted duration.
Resistor will fail-open due to over-current. 
Gate driver PWM path will be broken.
No output available at HV transformer board.
Redundant power to iSCR driver board will be cut-off. </t>
  </si>
  <si>
    <t>Full Bridge Circuit</t>
  </si>
  <si>
    <t>SV104 - 5210</t>
  </si>
  <si>
    <t>Half Bridge Gate Driver IC.</t>
  </si>
  <si>
    <t>U2, U3</t>
  </si>
  <si>
    <t>To provide gate driver signal for half bridge MOSFETs.</t>
  </si>
  <si>
    <t>Both outputs are permanently low.</t>
  </si>
  <si>
    <t xml:space="preserve">One half bridge section will not have output.
Output of Full Bridge circuit will be 12 V at no load.
HV transformer board will have no output as soon as load is applied.
Redundant power to iSCR driver board will be cut-off. </t>
  </si>
  <si>
    <t>Electrical Overstress (Overvoltage). 
ESD. 
Counterfeit part.
Stress or impact during assembly.
De-gradation of components.</t>
  </si>
  <si>
    <t>SV104 - 5211</t>
  </si>
  <si>
    <t>High side output is permanently low.</t>
  </si>
  <si>
    <t xml:space="preserve">Full bridge functionality will be disturbed.
No output will be available at HV transformer board as soon as load is applied.
</t>
  </si>
  <si>
    <t>SV104 - 5212</t>
  </si>
  <si>
    <t>High side output is permanently high.</t>
  </si>
  <si>
    <t xml:space="preserve">One MOSFET will be permanently turned ON.
During times, when low side MOSFET of same half bridge will turn ON, HV DC line get shorted will ground.
Due to high current flow, power MOSFETs may get damaged.
Input side fuse will burn out and prevent cascading failures.
</t>
  </si>
  <si>
    <t>SV104 - 8896</t>
  </si>
  <si>
    <t>Low side output is permanently low.</t>
  </si>
  <si>
    <t>SV104 - 8897</t>
  </si>
  <si>
    <t>Low side output is permanently high.</t>
  </si>
  <si>
    <t xml:space="preserve">During times, when high side MOSFET of same half bridge will turn ON, HV DC line get shorted with ground.
Due to high current flow, power MOSFETs may get damaged.
Input side fuse will burn out and prevent cascading failures.
</t>
  </si>
  <si>
    <t>SV104 - 8898</t>
  </si>
  <si>
    <t>Both outputs are permanently high.</t>
  </si>
  <si>
    <t xml:space="preserve">Both MOSFETs will be permanently turned ON.
HV DC line will get shorted with ground.
Due to high current flow, power MOSFETs may get damaged.
Input side fuse will burn out and prevent cascading failures.
</t>
  </si>
  <si>
    <t>SV104 - 5213</t>
  </si>
  <si>
    <t>Half Bridge Gate Driver IC - Filter Capacitor.</t>
  </si>
  <si>
    <t>C4,C5</t>
  </si>
  <si>
    <t>To provide high side gate driver floating supply.</t>
  </si>
  <si>
    <t>Output of gate driver IC will be affected.
No output available at HV transformer board.
Redundant power to iSCR driver board will be cut-off. .</t>
  </si>
  <si>
    <t>SV104 - 5214</t>
  </si>
  <si>
    <t>SV104 - 5215</t>
  </si>
  <si>
    <t>Gate Driver Output Circuit - Resistor.</t>
  </si>
  <si>
    <t>R7,R24,R6,R23</t>
  </si>
  <si>
    <t>To provide path between gate driver IC and gate.</t>
  </si>
  <si>
    <t>Output path of gate driver IC will be broken for one MOSFET.
Distorted square wave will be available at full bridge circuit output.
HV transformer board will have lesser output than desired.</t>
  </si>
  <si>
    <t>SV104 - 5216</t>
  </si>
  <si>
    <t>Over-current will cause the resistor to eventually fail-open.
Output path of gate driver IC will be broken for one MOSFET.
Distorted square wave will be available at full bridge circuit output.
HV transformer board will have lesser output than desired.</t>
  </si>
  <si>
    <t>SV104 - 5217</t>
  </si>
  <si>
    <t>Gate Driver Output Circuit - General Purpose Diode.</t>
  </si>
  <si>
    <t>D1,D2,D3,D4</t>
  </si>
  <si>
    <t>To turn off the MOSFET quickly through low resistance path at gate.</t>
  </si>
  <si>
    <t>MOSFET will turn off through larger resistor which will result in increased switching losses.
No immediate effect in case of normal operations.</t>
  </si>
  <si>
    <t>SV104 - 5218</t>
  </si>
  <si>
    <t xml:space="preserve">Diode fail-short. </t>
  </si>
  <si>
    <t>Over-current will cause the diode to eventually fail-open.
MOSFET will turn off through larger resistor which will result in increased switching losses.
No immediate effect in case of normal operations.</t>
  </si>
  <si>
    <t>SV104-10927</t>
  </si>
  <si>
    <t>Gate Driver Output Circuit -Discharge Resistor.</t>
  </si>
  <si>
    <t>R2,R3,R20,R21</t>
  </si>
  <si>
    <t>To provide low resistance path between gate driver IC and gate to discharge miller capacitance.</t>
  </si>
  <si>
    <t>Gate Capacitance will discharge slowly through high resistance path thus on/off time will be disturbed
Switching losses will increase.
No immediate effect ion board.</t>
  </si>
  <si>
    <t>SV104-10928</t>
  </si>
  <si>
    <t>Switching losses will increase.
No immediate effect on board.</t>
  </si>
  <si>
    <t>SV104-10929</t>
  </si>
  <si>
    <t>R10,R27,R11,R26</t>
  </si>
  <si>
    <t>To discharge miller capacitances between all terminals of MOSFET</t>
  </si>
  <si>
    <t>Abnormal Behavior of MOSFET
Might turn ON/OFF abnormally and can damage board.
No output available at HV transformer board</t>
  </si>
  <si>
    <t>SV104-10930</t>
  </si>
  <si>
    <t>Gate and Source of MOSFET will have no voltage difference so MOSFET cannot operate
No output available at HV transformer board</t>
  </si>
  <si>
    <t>SV104-10931</t>
  </si>
  <si>
    <t>Half Bridge Gate Driver IC - High Side Supply Capacitor.</t>
  </si>
  <si>
    <t>C7,C15,C16,C8</t>
  </si>
  <si>
    <t>To provide high side supply and to ensure bootstrapping in order to operate MOSFET.</t>
  </si>
  <si>
    <t>One Capacitor fails-open.</t>
  </si>
  <si>
    <t>No immediate effect as the parallel capacitor will be available and will make sure that MOSFET works properly</t>
  </si>
  <si>
    <t>SV104-10932</t>
  </si>
  <si>
    <t>Both Capacitors fails-open.</t>
  </si>
  <si>
    <t xml:space="preserve">MOSFET Cannot operate properly
No output available at HV transformer board </t>
  </si>
  <si>
    <t>SV104-10933</t>
  </si>
  <si>
    <t xml:space="preserve">MOSFET Cannot operate properly
IC may get damaged
No output available at HV transformer board </t>
  </si>
  <si>
    <t>SV104 - 5219</t>
  </si>
  <si>
    <t>Full Bridge Circuit - MOSFET</t>
  </si>
  <si>
    <t>Q1,Q2,Q3,Q4</t>
  </si>
  <si>
    <t>To convert HV DC to HV AC signal.</t>
  </si>
  <si>
    <t>Distorted square wave will be available at full bridge circuit output.
HV transformer board will have lesser output than desired.</t>
  </si>
  <si>
    <t>SV104 - 5220</t>
  </si>
  <si>
    <t>No voltage will be available at transformer output, for the shorted duration.
No output available at HV transformer board.
Redundant power to iSCR driver board will be cut-off. .</t>
  </si>
  <si>
    <t>SV104-10934</t>
  </si>
  <si>
    <t>Full bridge circuit -Current sense resistors.</t>
  </si>
  <si>
    <t>R29,R8</t>
  </si>
  <si>
    <t>To provide current sense signal to controller</t>
  </si>
  <si>
    <t>One Resistor fails-open.</t>
  </si>
  <si>
    <t xml:space="preserve">Over Current limit value will decrease down to half. 
No immediate affect in normal condition but in case of overloaded condition current limit will be activated early.
</t>
  </si>
  <si>
    <t>SV104-10935</t>
  </si>
  <si>
    <t>Both Resistors fails-open.</t>
  </si>
  <si>
    <t xml:space="preserve">Full bridge circuit ground connection will be disconnected
No output available at HV transformer board </t>
  </si>
  <si>
    <t>SV104-10936</t>
  </si>
  <si>
    <t>No immediate effect in case of normal operations.
Overcurrent protection will not be available.</t>
  </si>
  <si>
    <t>SV104 - 5221</t>
  </si>
  <si>
    <t>HV Isolation Transformer</t>
  </si>
  <si>
    <t>P113720</t>
  </si>
  <si>
    <t>To step down 400 V AC to 24 V AC.</t>
  </si>
  <si>
    <t>Primary winding fails-open.</t>
  </si>
  <si>
    <t>No voltage will be available at transformer output.
No output available at HV transformer board.
Redundant power to iSCR driver board will be cut-off. .</t>
  </si>
  <si>
    <t>High operating temperature.
Overloading</t>
  </si>
  <si>
    <t>SV104 - 5222</t>
  </si>
  <si>
    <t>Secondary winding fails-open.</t>
  </si>
  <si>
    <t xml:space="preserve">No output available.
Redundant power to one of the iSCR driver board will be cut-off. </t>
  </si>
  <si>
    <t>SV104 - 5223</t>
  </si>
  <si>
    <t>Core degradation.</t>
  </si>
  <si>
    <t>Output voltage will be less than desired value.</t>
  </si>
  <si>
    <t>Mechanical Stress</t>
  </si>
  <si>
    <t>SV104 - 5224</t>
  </si>
  <si>
    <t>Winding insulation melting.</t>
  </si>
  <si>
    <t>Turn ratio of transformer will be affected.
Output voltage will be less than desired value.</t>
  </si>
  <si>
    <t>Over voltage. 
De-gradation of components.</t>
  </si>
  <si>
    <t>SV104 - 6752</t>
  </si>
  <si>
    <t xml:space="preserve">Isolation Failure. </t>
  </si>
  <si>
    <t xml:space="preserve">If failure is such that board cannot provide any level of isolation then it will damage iSCR driver board.
iSCR driver board will not be powered up. 
</t>
  </si>
  <si>
    <t xml:space="preserve">In case of complete isolation failure, SCRs will not be available during mode transition and fault handling in one direction. 
Device can operate normally at lower line currents. 
In case of faults, VSLs and device internals might get damaged. </t>
  </si>
  <si>
    <t>Affected device and associated group will not be able to enter injection mode.
System will keep working normally with reduced injection capability.</t>
  </si>
  <si>
    <t xml:space="preserve">Temperature cycling.
Manufacturing Deficiency.
Vibration. </t>
  </si>
  <si>
    <t>Using components with industrial grade scale.
Choosing components with enough FIT rate to fulfil the product life requirements.</t>
  </si>
  <si>
    <t>SV104 - 6753</t>
  </si>
  <si>
    <t>Auxiliary winding failure(Open)</t>
  </si>
  <si>
    <t>No auxiliary voltage will be available.
Startup circuit will not shutdown eventually burning out.
No output will be available for HV-ISO board</t>
  </si>
  <si>
    <t>SV104 - 6754</t>
  </si>
  <si>
    <t xml:space="preserve">Post insulator fails
</t>
  </si>
  <si>
    <t xml:space="preserve">Under normal working conditions, failure will not impact the working of the board. 
If failure is such that board cannot provide any level of isolation then it will damage iSCR driver board in humid conditions.
iSCR driver board will not be powered up. 
</t>
  </si>
  <si>
    <t xml:space="preserve">Corrosion.
Manufacturing Deficiency.
Vibration. </t>
  </si>
  <si>
    <t>SV104 - 6755</t>
  </si>
  <si>
    <t>Potting crack or physical damage</t>
  </si>
  <si>
    <t>Partial discharge will start resulting in degradation of isolation barrier with the time.
It will not be critical as isolation of even 400 Vrms will be enough.</t>
  </si>
  <si>
    <t xml:space="preserve">Temperature variations
Manufacturing Deficiency.
Vibration. </t>
  </si>
  <si>
    <t>SV104 - 5225</t>
  </si>
  <si>
    <t>HV Isolation Transformer - output Side Full Rectifier - Diode</t>
  </si>
  <si>
    <t>D5,D6,D8</t>
  </si>
  <si>
    <t>To convert 24 V AC to 24 V DC.</t>
  </si>
  <si>
    <t xml:space="preserve">Diode fails-open.
</t>
  </si>
  <si>
    <t>Output  cut to half if half side is working.
Redundant power to iSCR driver board will be cut-off. .</t>
  </si>
  <si>
    <t>SV104 - 5226</t>
  </si>
  <si>
    <t xml:space="preserve">Diode fails-short. 
</t>
  </si>
  <si>
    <t>Secondary winding will get shorted if any diode fails-short.
As a result of shortage, excessive amount of current will flow damaging  two diodes permanently.
Diodes will eventually get open and no output will be available
Redundant power to iSCR driver board will be cut-off. .</t>
  </si>
  <si>
    <t>SV104 - 5229</t>
  </si>
  <si>
    <t>Output Side Capacitor.</t>
  </si>
  <si>
    <t>C13,C14</t>
  </si>
  <si>
    <t>To suppress output side ripples and to provide filtration.</t>
  </si>
  <si>
    <t>Output voltage may have ripples.
No immediate effect on HV transformer board output.</t>
  </si>
  <si>
    <t>SV104 - 5230</t>
  </si>
  <si>
    <t>No voltage available at the output for the shorted duration. 
Redundant power to iSCR driver board will be cut-off. .</t>
  </si>
  <si>
    <t>SV104 - 5227</t>
  </si>
  <si>
    <t>HV Isolation Transformer - Feedback Side Full Rectifier - Diode</t>
  </si>
  <si>
    <t>D15,D16,D19,D20</t>
  </si>
  <si>
    <t>To convert 24 V AC to 24 V DC for feedback.</t>
  </si>
  <si>
    <t>Output cut to half if half side is working.
Redundant power supply to iSCR board will be cut off.</t>
  </si>
  <si>
    <t>SV104 - 5228</t>
  </si>
  <si>
    <t>C17,C18</t>
  </si>
  <si>
    <t>SV104-10937</t>
  </si>
  <si>
    <t>Current Limiting resistance for LED (D9)</t>
  </si>
  <si>
    <t>R44</t>
  </si>
  <si>
    <t xml:space="preserve">To limit current through the LED (D9)
</t>
  </si>
  <si>
    <t>LED indication functionality will be compromised
No immediate effect on HV transformer board output.</t>
  </si>
  <si>
    <t>SV104-10938</t>
  </si>
  <si>
    <t>SV104-10939</t>
  </si>
  <si>
    <t>LED for status indication of voltage produced</t>
  </si>
  <si>
    <t>D9</t>
  </si>
  <si>
    <t xml:space="preserve">Visual indication for board output status
</t>
  </si>
  <si>
    <t>SV104-10940</t>
  </si>
  <si>
    <t>SV104-10941</t>
  </si>
  <si>
    <t>Load at output</t>
  </si>
  <si>
    <t>R42,R43</t>
  </si>
  <si>
    <t>To keep open load voltage within a range</t>
  </si>
  <si>
    <t>SV104-10942</t>
  </si>
  <si>
    <t>24V  supply will be shorted out to ground.
Resistance will eventually fail open due to over current.
No output available at HV transformer board</t>
  </si>
  <si>
    <t>SV104-11403</t>
  </si>
  <si>
    <t>Secondary Winding Connector</t>
  </si>
  <si>
    <t>J2</t>
  </si>
  <si>
    <t>Secondary of transformer</t>
  </si>
  <si>
    <t xml:space="preserve">Secondary winding will be opened.
No output available at HV transformer board.
 </t>
  </si>
  <si>
    <t>SV104-11404</t>
  </si>
  <si>
    <t>Connector Burned out</t>
  </si>
  <si>
    <t>Due to sparking connector will heat up and eventually burnout
No output available at HV transformer board.</t>
  </si>
  <si>
    <t>Connection Loose or Sparking at terminals
Open Connections due to vibrations, mis-handling or mechanical stress.
De-gradation of components.</t>
  </si>
  <si>
    <t>SV104-11405</t>
  </si>
  <si>
    <t>Low voltage DC output Connector</t>
  </si>
  <si>
    <t>J4</t>
  </si>
  <si>
    <t>Output of HVT board</t>
  </si>
  <si>
    <t xml:space="preserve">Output path will be broken.
No output available at HV transformer board.
 </t>
  </si>
  <si>
    <t>SV104-11406</t>
  </si>
  <si>
    <t>Due to sparking connector will heat up and eventually burnout
Output path will be broken.
No output available at HV transformer board.</t>
  </si>
  <si>
    <t>SV104-11407</t>
  </si>
  <si>
    <t>Auxiliary winding Connector</t>
  </si>
  <si>
    <t>J6</t>
  </si>
  <si>
    <t>Auxiliary winding of transformer for 24AUX</t>
  </si>
  <si>
    <t>24AUX path will be broken.
Startup circuitry will turn on permanently resulting in overheating and permanently damage to startup resistor.
No output available once HV-ISO reboot.</t>
  </si>
  <si>
    <t>SV104-11408</t>
  </si>
  <si>
    <t>Due to sparking connector will heat up and eventually burnout
24AUX path will be broken.
Startup circuitry will turn on permanently resulting in overheating and permanently damage to startup resistor.
No output available once HV-ISO reboot.</t>
  </si>
  <si>
    <t>SV104-11409</t>
  </si>
  <si>
    <t>Primary winding of transformer</t>
  </si>
  <si>
    <t>J1,J5</t>
  </si>
  <si>
    <t>primary winding of transformer</t>
  </si>
  <si>
    <t>No voltage will be available at transformer output.
No output available at HV transformer board.</t>
  </si>
  <si>
    <t>SV104-11410</t>
  </si>
  <si>
    <t>Due to sparking connector will heat up and eventually burnout
No voltage will be available at transformer output.
No output available at HV transformer board.</t>
  </si>
  <si>
    <t>SV104 - 5231</t>
  </si>
  <si>
    <t>Heat Sink</t>
  </si>
  <si>
    <t>HS1,HS2,HS3,HS4,HS5,HS6,HS7,HS8.</t>
  </si>
  <si>
    <t>To provide cooling functionality for power components.</t>
  </si>
  <si>
    <t>Loose connection between heat sink and power component.</t>
  </si>
  <si>
    <t>Affected component will face high temperature rise during nominal current operations.
Power component may get damaged causing HV transformer board output voltage to drop.
Redundant power to iSCR driver board will be cut-off. .</t>
  </si>
  <si>
    <t xml:space="preserve">External overstress.
Mis-handling. 
Excessive temperature causing joint melts. 
</t>
  </si>
  <si>
    <t>HV Transformer Board for one iVSL Driver Board</t>
  </si>
  <si>
    <t>SV104 - 5232</t>
  </si>
  <si>
    <t xml:space="preserve">No immediate effect. 
Parallel TRIAC available for alternate path. 
</t>
  </si>
  <si>
    <t>If no other failure is observed on the board, iVSL driver board will stay powered. 
Device can operate in both monitoring and injection mode.</t>
  </si>
  <si>
    <t>On-board fault causing higher current flow.
Excessive forward current.
De-gradation of components.</t>
  </si>
  <si>
    <t>Using components with industrial grade scale.
Choosing components with enough FIT rate to fulfil the product life requirements.
Redundant  24 V supply to iVSL Driver boards will be provided via UPSB.</t>
  </si>
  <si>
    <t>SV104 - 5233</t>
  </si>
  <si>
    <t>Reverse polarity protection will be compromised during shortage.
Board will keep working normally if input is provided with correct polarity.</t>
  </si>
  <si>
    <t>SV104 - 6756</t>
  </si>
  <si>
    <t>SV104 - 6757</t>
  </si>
  <si>
    <t xml:space="preserve">Input path will be broken.
No output available at HV transformer board.
</t>
  </si>
  <si>
    <t>Redundant power to one of the iVSL driver board will be cut-off.
Device can operate in both monitoring and injection mode.</t>
  </si>
  <si>
    <t>SV104 - 5234</t>
  </si>
  <si>
    <t>On-board fault causing higher current flow.
De-gradation of components.</t>
  </si>
  <si>
    <t>SV104 - 5235</t>
  </si>
  <si>
    <t>SV104 - 5236</t>
  </si>
  <si>
    <t xml:space="preserve">PHT-DC capacitors will be shorted as a result will dump full energy in HV-ISO board.
HV-ISO board input traces will be damaged.  
No output available at HV transformer board. 
</t>
  </si>
  <si>
    <t xml:space="preserve">Using components with industrial grade scale.
Choosing components with enough FIT rate to fulfil the product life requirements.
RTV application to stop water ingress
Redundant  24 V supply to iVSL Driver boards will be provided via UPSB. 
</t>
  </si>
  <si>
    <t>SV104 - 5237</t>
  </si>
  <si>
    <t xml:space="preserve">No voltage will be available at power controlling MOSFET gate.
On-board 15 V supply will not be available.
No output available at HV transformer board.
Redundant power to one of the iVSL driver board via HVT will be cut-off. </t>
  </si>
  <si>
    <t xml:space="preserve">Using components with industrial grade scale.
Choosing components with enough FIT rate to fulfil the product life requirements.
Redundant  24 V supply to iVSL Driver boards will be provided via UPSB. </t>
  </si>
  <si>
    <t>SV104 - 5238</t>
  </si>
  <si>
    <t>SV104-10943</t>
  </si>
  <si>
    <t>SV104-10944</t>
  </si>
  <si>
    <t>UVLO limit will decrease.
Board will powerup at lower voltage.
Board will keep working.</t>
  </si>
  <si>
    <t>SV104 - 5239</t>
  </si>
  <si>
    <t xml:space="preserve">No voltage will be available at power controlling MOSFET gate.
On-board 15 V supply will not be available.
No output available at HV transformer board.
. </t>
  </si>
  <si>
    <t>SV104 - 5240</t>
  </si>
  <si>
    <t>SV104-12382</t>
  </si>
  <si>
    <t>SV104 - 5241</t>
  </si>
  <si>
    <t xml:space="preserve">Input power path will be broken.
No output available at HV transformer board.
 </t>
  </si>
  <si>
    <t>SV104 - 5242</t>
  </si>
  <si>
    <t>Startup circuitry will turn on permanently resulting in overheating and permanently damage to startup resistor.
No output available once HV-ISO reboot</t>
  </si>
  <si>
    <t>SV104 - 5243</t>
  </si>
  <si>
    <t>SV104 - 5244</t>
  </si>
  <si>
    <t>SV104-12383</t>
  </si>
  <si>
    <t>SV104-12384</t>
  </si>
  <si>
    <t>SV104-10945</t>
  </si>
  <si>
    <t>Abnormal Behavior of MOSFET
Might turn ON/OFF abnormally.
Once Board Reboots no output will be available
No output available at HV transformer board</t>
  </si>
  <si>
    <t>SV104-10946</t>
  </si>
  <si>
    <t>SV104 - 6758</t>
  </si>
  <si>
    <t>SV104 - 6759</t>
  </si>
  <si>
    <t>SV104 - 6760</t>
  </si>
  <si>
    <t>SV104 - 6761</t>
  </si>
  <si>
    <t>SV104 - 6762</t>
  </si>
  <si>
    <t>SV104 - 6763</t>
  </si>
  <si>
    <t>SV104 - 5245</t>
  </si>
  <si>
    <t>SV104 - 5246</t>
  </si>
  <si>
    <t>SV104 - 5247</t>
  </si>
  <si>
    <t>SV104 - 5248</t>
  </si>
  <si>
    <t>SV104 - 5249</t>
  </si>
  <si>
    <t>SV104 - 5250</t>
  </si>
  <si>
    <t>Input will appear as it is on output which will damage PWM controller and gate driver ICs permanently.
No output available.
.</t>
  </si>
  <si>
    <t>SV104 - 5251</t>
  </si>
  <si>
    <t>SV104 - 5252</t>
  </si>
  <si>
    <t>SV104 - 5253</t>
  </si>
  <si>
    <t xml:space="preserve">15 V regulator will keep on working from input side and will not turn off. Which will heat up the resistor on MOSFET Q6 drain and will burn out eventually.
No output available at HV transformer board.
. </t>
  </si>
  <si>
    <t>SV104 - 5254</t>
  </si>
  <si>
    <t xml:space="preserve">Over-current will cause the resistor to eventually fail-open. 
15 V regulator will keep on working from input side and will not turn off. Which will heat up the resistor on MOSFET Q6 drain and will burn out eventually.
No output available at HV transformer board.
</t>
  </si>
  <si>
    <t>SV104 - 5255</t>
  </si>
  <si>
    <t xml:space="preserve">15 V regulator will keep on working from input side and will not turn off. Which will heat up the resistor on MOSFET Q6 drain and will burn out eventually.
No output available at HV transformer board.
 </t>
  </si>
  <si>
    <t>SV104 - 5256</t>
  </si>
  <si>
    <t>Excessive Temperature.
Overcurrent. 
De-gradation of components.</t>
  </si>
  <si>
    <t>SV104 - 6764</t>
  </si>
  <si>
    <t>SV104 - 6765</t>
  </si>
  <si>
    <t>SV104 - 6766</t>
  </si>
  <si>
    <t>SV104 - 6767</t>
  </si>
  <si>
    <t>SV104 - 6768</t>
  </si>
  <si>
    <t>SV104 - 6769</t>
  </si>
  <si>
    <t>SV104 - 6770</t>
  </si>
  <si>
    <t>SV104 - 6771</t>
  </si>
  <si>
    <t>SV104 - 5257</t>
  </si>
  <si>
    <t>SV104 - 5258</t>
  </si>
  <si>
    <t xml:space="preserve">Startup circuitry will remain off permanently as Q6 remains off permanently.
15 V regulator will keep on working from input side and will not turn off. Which will heat up the resistor on MOSFET Q6 drain and will burn out eventually.
No output available at HV transformer board.
</t>
  </si>
  <si>
    <t>SV104 - 5259</t>
  </si>
  <si>
    <t>SV104 - 5260</t>
  </si>
  <si>
    <t>SV104 - 5261</t>
  </si>
  <si>
    <t xml:space="preserve">No PWM will be available for half bridge driver ICs,
No output available at HV transformer board.
Redundant power to one of the iVSL driver board will be cut-off. </t>
  </si>
  <si>
    <t>SV104 - 5262</t>
  </si>
  <si>
    <t xml:space="preserve">Output of Full Bridge circuit will be 12 V at no load.
HV transformer board will have no output as soon as load is applied.
Redundant power to one of the iVSL driver board will be cut-off. </t>
  </si>
  <si>
    <t>SV104 - 5263</t>
  </si>
  <si>
    <t>PWM is having different duty cycle than desired.</t>
  </si>
  <si>
    <t>SV104 - 5264</t>
  </si>
  <si>
    <t xml:space="preserve">PWM controller will remain off permanently. No output available.
</t>
  </si>
  <si>
    <t>SV104 - 5265</t>
  </si>
  <si>
    <t xml:space="preserve">UVLO pin will get damaged, No PWM will be available for half bridge driver ICs,
No output available at HV transformer board.
Redundant power to one of the iVSL driver board will be cut-off. </t>
  </si>
  <si>
    <t>SV104 - 5266</t>
  </si>
  <si>
    <t>SV104 - 5267</t>
  </si>
  <si>
    <t>SV104 - 5268</t>
  </si>
  <si>
    <t xml:space="preserve">Dead time between alternating PWMs will be altered (maximum).
1 PWM will be permanently high, while other will be permanently low.
Output of isolation transformer will not be available.
No output available at HV transformer board.
Redundant power to one of the iVSL driver board will be cut-off.  </t>
  </si>
  <si>
    <t>SV104 - 5269</t>
  </si>
  <si>
    <t xml:space="preserve">Dead time between alternating PWMs will be altered (maximum).
1 PWM will be permanently high, while other will be permanently low.
Output of isolation transformer will not be available.
No output available at HV transformer board.
Redundant power to one of the iVSL driver board will be cut-off. </t>
  </si>
  <si>
    <t>SV104 - 5270</t>
  </si>
  <si>
    <t>SV104 - 5271</t>
  </si>
  <si>
    <t>SV104 - 5272</t>
  </si>
  <si>
    <t>Restart timer functionality will be compromised.
No immediate effect on board in normal operations.</t>
  </si>
  <si>
    <t>SV104 - 5273</t>
  </si>
  <si>
    <t>SV104 - 5274</t>
  </si>
  <si>
    <t>No soft start will be implemented.
No immediate effect on board in normal operations.</t>
  </si>
  <si>
    <t>SV104 - 5275</t>
  </si>
  <si>
    <t>SV104 - 5276</t>
  </si>
  <si>
    <t>SV104 - 5277</t>
  </si>
  <si>
    <t>SV104 - 5278</t>
  </si>
  <si>
    <t xml:space="preserve">No immediate effect. 
</t>
  </si>
  <si>
    <t>SV104 - 5279</t>
  </si>
  <si>
    <t>SV104 - 5280</t>
  </si>
  <si>
    <t xml:space="preserve">To limit PWM current.
</t>
  </si>
  <si>
    <t>PWM current limiting functionality will be compromised.
No immediate effect on board in normal operations.</t>
  </si>
  <si>
    <t>SV104 - 5281</t>
  </si>
  <si>
    <t>SV104-12385</t>
  </si>
  <si>
    <t>SV104-12386</t>
  </si>
  <si>
    <t>Internal Reference Voltage will be shorted to ground.
PWM output will be disabled.
Input Fuse Will be Blown
No output available at HV transformer board.</t>
  </si>
  <si>
    <t>SV104-10947</t>
  </si>
  <si>
    <t>SV104-10948</t>
  </si>
  <si>
    <t>SV104-10949</t>
  </si>
  <si>
    <t>To Sense Overcurrent</t>
  </si>
  <si>
    <t>SV104-10950</t>
  </si>
  <si>
    <t>IC may trigger False overcurrent and disable output.
No output available at HV transformer board</t>
  </si>
  <si>
    <t>SV104 - 5282</t>
  </si>
  <si>
    <t xml:space="preserve">Gate driver PWM path will be broken.
No output available at HV transformer board.
Redundant power to one of the iVSL driver board will be cut-off. </t>
  </si>
  <si>
    <t>SV104 - 5283</t>
  </si>
  <si>
    <t xml:space="preserve">No immediate till the shorted duration.
Resistor will fail-open due to over-current. 
Gate driver PWM path will be broken.
No output available at HV transformer board.
Redundant power to one of the iVSL driver board will be cut-off. </t>
  </si>
  <si>
    <t>SV104 - 5284</t>
  </si>
  <si>
    <t>Both output are permanently low.</t>
  </si>
  <si>
    <t xml:space="preserve">One half bridge section will not have output.
Output of Full Bridge circuit will be 12 V at no load.
HV transformer board will have no output as soon as load is applied.
Redundant power to one of the iVSL driver board will be cut-off. </t>
  </si>
  <si>
    <t>SV104 - 8899</t>
  </si>
  <si>
    <t xml:space="preserve">Full bridge functionality will be disturbed.
No output will be available at HV transformer board as soon as load is applied.
Redundant power to one of the iVSL driver board will be cut-off. </t>
  </si>
  <si>
    <t>SV104 - 5285</t>
  </si>
  <si>
    <t xml:space="preserve">One MOSFET will be permanently turned ON.
During times, when low side MOSFET of same half bridge will turn ON, HV DC line get shorted will ground.
Due to high current flow, power MOSFETs may get damaged.
Input side fuse will burn out and prevent cascading failures.
Redundant power to one of the iVSL driver board will be cut-off. </t>
  </si>
  <si>
    <t>SV104 - 8900</t>
  </si>
  <si>
    <t>SV104 - 8901</t>
  </si>
  <si>
    <t xml:space="preserve">During times, when high side MOSFET of same half bridge will turn ON, HV DC line get shorted with ground.
Due to high current flow, power MOSFETs may get damaged.
Input side fuse will burn out and prevent cascading failures.
Redundant power to one of the iVSL driver board will be cut-off. </t>
  </si>
  <si>
    <t>SV104 - 5286</t>
  </si>
  <si>
    <t xml:space="preserve">Both MOSFETs will be permanently turned ON.
HV DC line will get shorted with ground.
Due to high current flow, power MOSFETs may get damaged.
Input side fuse will burn out and prevent cascading failures.
Redundant power to one of the iVSL driver board will be cut-off. </t>
  </si>
  <si>
    <t>SV104 - 5287</t>
  </si>
  <si>
    <t xml:space="preserve">Output of gate driver IC will be affected.
No output available at HV transformer board.
Redundant power to one of the iVSL driver board will be cut-off. </t>
  </si>
  <si>
    <t>SV104 - 5288</t>
  </si>
  <si>
    <t>SV104 - 5289</t>
  </si>
  <si>
    <t>SV104 - 5290</t>
  </si>
  <si>
    <t>SV104 - 5291</t>
  </si>
  <si>
    <t>SV104 - 5292</t>
  </si>
  <si>
    <t>SV104-10951</t>
  </si>
  <si>
    <t>SV104-10952</t>
  </si>
  <si>
    <t>SV104-10953</t>
  </si>
  <si>
    <t>To discharge capacitance between all terminals of MOSFET</t>
  </si>
  <si>
    <t>SV104-10954</t>
  </si>
  <si>
    <t>SV104-10955</t>
  </si>
  <si>
    <t>SV104-10956</t>
  </si>
  <si>
    <t>SV104-10957</t>
  </si>
  <si>
    <t>SV104 - 5293</t>
  </si>
  <si>
    <t>SV104 - 5294</t>
  </si>
  <si>
    <t xml:space="preserve">No voltage will be available at transformer output, for the shorted duration.
No output available at HV transformer board.
Redundant power to one of the iVSL driver board will be cut-off. </t>
  </si>
  <si>
    <t>SV104-10958</t>
  </si>
  <si>
    <t>Gate Driver Output Circuit -Pull Down resistance.</t>
  </si>
  <si>
    <t xml:space="preserve">Current over limit value will decrease down to half. 
No immediate affect in normal condition but in case of overloaded condition current limit will be activated early.
</t>
  </si>
  <si>
    <t>SV104-10959</t>
  </si>
  <si>
    <t>Both Resistor fails-open.</t>
  </si>
  <si>
    <t>SV104-10960</t>
  </si>
  <si>
    <t>SV104 - 5295</t>
  </si>
  <si>
    <t xml:space="preserve">No voltage will be available at transformer output.
No output available at HV transformer board.
Redundant power to one of the iVSL driver board will be cut-off. </t>
  </si>
  <si>
    <t xml:space="preserve">High operating temperature.
Overloading.
</t>
  </si>
  <si>
    <t>SV104 - 5296</t>
  </si>
  <si>
    <t xml:space="preserve">No output available.
Redundant power to one of the iVSL driver board will be cut-off. </t>
  </si>
  <si>
    <t>SV104 - 5297</t>
  </si>
  <si>
    <t>SV104 - 5298</t>
  </si>
  <si>
    <t>SV104 - 6772</t>
  </si>
  <si>
    <t xml:space="preserve">If failure is such that board cannot provide any level of isolation then it will damage iVSL driver board.
iVSL driver board will not be powered up. 
</t>
  </si>
  <si>
    <t xml:space="preserve">In case of complete isolation failure, one of the VSLs will not be able to open. 
Device will stay in monitoring mode. </t>
  </si>
  <si>
    <t>SV104 - 6773</t>
  </si>
  <si>
    <t>Over voltage. 
Overheating.</t>
  </si>
  <si>
    <t>SV104 - 6774</t>
  </si>
  <si>
    <t xml:space="preserve">Insulator failure will not have impact during normal condition as it is to prevent early partial discharge during humid condition. This will not impact bypass side board in any condition but will be critical for MVAR side board in condensed humidity condition.
If failure is such that board cannot provide any level of isolation then it will damage iVSL driver board.
iVSL driver board will not be powered up. 
</t>
  </si>
  <si>
    <t>SV104 - 6775</t>
  </si>
  <si>
    <t>Partial discharge will start resulting in degradation of isolation barrier with the time.
No immediate effect as isolation of even 400 Vrms will be enough for normal operation of iVSL driver board.</t>
  </si>
  <si>
    <t xml:space="preserve">Temperature variations.
Manufacturing Deficiency.
Vibration. </t>
  </si>
  <si>
    <t>SV104 - 5299</t>
  </si>
  <si>
    <t xml:space="preserve">Output cut to half if half side is working.
Redundant power to one of the iVSL driver board will be cut-off. </t>
  </si>
  <si>
    <t>SV104 - 5300</t>
  </si>
  <si>
    <t xml:space="preserve">Diode fails-short. 
</t>
  </si>
  <si>
    <t>Secondary winding will get shorted if any diode fails-short.
As a result of shortage, excessive amount of current will flow damaging  two diodes permanently.
Diodes will eventually get open and no output will be available
Redundant power to one of the iVSL driver board will be cut-off.</t>
  </si>
  <si>
    <t>SV104-10961</t>
  </si>
  <si>
    <t>SV104-10962</t>
  </si>
  <si>
    <t xml:space="preserve">No voltage available at the output for the shorted duration. 
Redundant power to one of the iVSL driver board will be cut-off. </t>
  </si>
  <si>
    <t>SV104 - 5301</t>
  </si>
  <si>
    <t>Output cut to half if half side is working.
Redundant power supply to VSL board will be cut off.</t>
  </si>
  <si>
    <t>SV104 - 5302</t>
  </si>
  <si>
    <t>Auxiliary winding will get shorted if any diode fails-short.
As a result of shortage, excessive amount of current will flow damaging  two diodes permanently.
Diodes will eventually get open and no output will be available.
Redundant power supply to VSL board will be cut off.</t>
  </si>
  <si>
    <t>SV104 - 5303</t>
  </si>
  <si>
    <t>SV104 - 5304</t>
  </si>
  <si>
    <t>SV104-10963</t>
  </si>
  <si>
    <t>SV104-10964</t>
  </si>
  <si>
    <t>SV104-10965</t>
  </si>
  <si>
    <t>SV104-10966</t>
  </si>
  <si>
    <t>SV104-10967</t>
  </si>
  <si>
    <t>SV104-10968</t>
  </si>
  <si>
    <t>24V supply will be shorted out to ground.
Resistance will eventually fail open due to over current.
No output available at HV transformer board</t>
  </si>
  <si>
    <t>SV104 - 5305</t>
  </si>
  <si>
    <t xml:space="preserve">Affected component will face high temperature rise during nominal current operations.
Power component may get damaged causing HV transformer board output voltage to drop.
Redundant power to one of the iVSL driver board will be cut-off. </t>
  </si>
  <si>
    <t>SV104-11411</t>
  </si>
  <si>
    <t>SV104-11412</t>
  </si>
  <si>
    <t>SV104-11413</t>
  </si>
  <si>
    <t>SV104-11414</t>
  </si>
  <si>
    <t>SV104-11415</t>
  </si>
  <si>
    <t>SV104-11416</t>
  </si>
  <si>
    <t>SV104-11417</t>
  </si>
  <si>
    <t>SV104-11418</t>
  </si>
  <si>
    <t>SV104 - 6776</t>
  </si>
  <si>
    <t>Connector failure</t>
  </si>
  <si>
    <t>To provide input supply</t>
  </si>
  <si>
    <t>Connector disconnected by external force</t>
  </si>
  <si>
    <t xml:space="preserve">No output available at HV transformer board.
Redundant power to one of the iVSL driver board will be cut-off. </t>
  </si>
  <si>
    <t>SV104 - 6777</t>
  </si>
  <si>
    <t>Connector</t>
  </si>
  <si>
    <t>Input connector</t>
  </si>
  <si>
    <t>Connector shorted</t>
  </si>
  <si>
    <t xml:space="preserve">PHT-DC board external capacitor will dump full energy in board.
HV-ISO board's input traces will burn out.
Board will be damaged permanently.
</t>
  </si>
  <si>
    <t xml:space="preserve">One of the VSLs will not be able to open. 
Device will stay in monitoring mode. </t>
  </si>
  <si>
    <t>Manufacturing Deficiency.
Excessive temperature causing joint melts.
Excessive humidity.</t>
  </si>
  <si>
    <t>Usage of over-rated components.
Using components with industrial grade scale.
Choosing components with enough FIT rate to fulfil the product life requirements.
Conformal coating whole connector and mask only mating part of pins.</t>
  </si>
  <si>
    <t>HV Transformer Board for iiDCE and Clamp Board</t>
  </si>
  <si>
    <t>SV104 - 5306</t>
  </si>
  <si>
    <t xml:space="preserve">No immediate effect. 
Parallel TRIAC available for alternate path. </t>
  </si>
  <si>
    <t>If no other failure is observed on the board, Clamp and iiDCE board will stay powered. 
Device can operate in both monitoring and injection mode.</t>
  </si>
  <si>
    <t>SV104 - 5307</t>
  </si>
  <si>
    <t>SV104 - 6778</t>
  </si>
  <si>
    <t>Both TRIACs fail-short.</t>
  </si>
  <si>
    <t>SV104 - 6779</t>
  </si>
  <si>
    <t xml:space="preserve">Both TRIACs fail-open. </t>
  </si>
  <si>
    <t>Clamp board will be unable to get power.
Device\s capability to clamp surges via clamp board will not be available.
iiDCE will get power via redundant HVT board. 
Fault current handling via iiDCE and iSCR driver board will be available. 
Device can operate in both monitoring and injection mode.</t>
  </si>
  <si>
    <t>Clamp board feedback is available to iiDCE.</t>
  </si>
  <si>
    <t>SV104 - 5308</t>
  </si>
  <si>
    <t>Input power path will be broken.
No output available at HV transformer board.</t>
  </si>
  <si>
    <t>SV104 - 5309</t>
  </si>
  <si>
    <t xml:space="preserve">To suppress ripples on input voltage.
</t>
  </si>
  <si>
    <t>Electrical, mechanical or environmental overstress. 
De-gradation of components.</t>
  </si>
  <si>
    <t>SV104 - 5310</t>
  </si>
  <si>
    <t>Using components with industrial grade scale.
Choosing components with enough FIT rate to fulfil the product life requirements.
RTV application on edges to stop water ingress.</t>
  </si>
  <si>
    <t>SV104 - 5311</t>
  </si>
  <si>
    <t>No voltage will be available at power controlling MOSFET gate.
On-board 15 V supply will not be available.
No output available at HV transformer board.</t>
  </si>
  <si>
    <t>SV104 - 5312</t>
  </si>
  <si>
    <t>SV104-10969</t>
  </si>
  <si>
    <t>SV104-10970</t>
  </si>
  <si>
    <t>SV104 - 5313</t>
  </si>
  <si>
    <t>Over voltage. 
Over Temperature.
Over stress due to shock or vibration.
De-gradation of components.
Overcurrent.
Counterfeit part.</t>
  </si>
  <si>
    <t>SV104 - 5314</t>
  </si>
  <si>
    <t>SV104-12387</t>
  </si>
  <si>
    <t>SV104 - 5315</t>
  </si>
  <si>
    <t>SV104 - 5316</t>
  </si>
  <si>
    <t xml:space="preserve">Startup circuitry will turn on permanently resulting in overheating and permanently damage to startup resistor.
No output available once HV-ISO reboot.
</t>
  </si>
  <si>
    <t>SV104 - 5317</t>
  </si>
  <si>
    <t>SV104 - 5318</t>
  </si>
  <si>
    <t>SV104-12388</t>
  </si>
  <si>
    <t>SV104-12389</t>
  </si>
  <si>
    <t>SV104-10971</t>
  </si>
  <si>
    <t>SV104-10972</t>
  </si>
  <si>
    <t>SV104 - 6780</t>
  </si>
  <si>
    <t>SV104 - 6781</t>
  </si>
  <si>
    <t>SV104 - 6782</t>
  </si>
  <si>
    <t>SV104 - 6783</t>
  </si>
  <si>
    <t>SV104 - 6784</t>
  </si>
  <si>
    <t>Electrical, Mechanical or environmental overstress. 
De-gradation of components.</t>
  </si>
  <si>
    <t>SV104 - 6785</t>
  </si>
  <si>
    <t>SV104 - 5319</t>
  </si>
  <si>
    <t>SV104 - 5320</t>
  </si>
  <si>
    <t>SV104 - 5321</t>
  </si>
  <si>
    <t>SV104 - 5322</t>
  </si>
  <si>
    <t>SV104 - 5323</t>
  </si>
  <si>
    <t>z</t>
  </si>
  <si>
    <t>SV104 - 5324</t>
  </si>
  <si>
    <t xml:space="preserve">An emitter to collector short on BJT will cause the BJT to over-heat and may fail-open.
Input power path will be broken.
No output available at HV transformer board.
</t>
  </si>
  <si>
    <t>SV104 - 5325</t>
  </si>
  <si>
    <t>SV104 - 5326</t>
  </si>
  <si>
    <t>SV104 - 5327</t>
  </si>
  <si>
    <t>SV104 - 5328</t>
  </si>
  <si>
    <t xml:space="preserve">Over-current will cause the resistor to eventually fail-open. 
15 V regulator will keep on working from input side and will not turn off. Which will heat up the resistor on MOSFET Q6 drain and will burn out eventually.
No output available at HV transformer board.
</t>
  </si>
  <si>
    <t>SV104 - 5329</t>
  </si>
  <si>
    <t>SV104 - 5330</t>
  </si>
  <si>
    <t>SV104 - 6786</t>
  </si>
  <si>
    <t>SV104 - 6787</t>
  </si>
  <si>
    <t>SV104 - 6788</t>
  </si>
  <si>
    <t>SV104 - 6789</t>
  </si>
  <si>
    <t>SV104 - 6790</t>
  </si>
  <si>
    <t>SV104 - 6791</t>
  </si>
  <si>
    <t>SV104 - 6792</t>
  </si>
  <si>
    <t>SV104 - 6793</t>
  </si>
  <si>
    <t>SV104 - 5331</t>
  </si>
  <si>
    <t>SV104 - 5332</t>
  </si>
  <si>
    <t>SV104 - 5333</t>
  </si>
  <si>
    <t>SV104 - 5334</t>
  </si>
  <si>
    <t>SV104 - 5335</t>
  </si>
  <si>
    <t xml:space="preserve">No PWM will be available for half bridge driver ICs,
No output available at HV transformer board.
</t>
  </si>
  <si>
    <t>SV104 - 5336</t>
  </si>
  <si>
    <t xml:space="preserve">Output of Full Bridge circuit will be 12 V at no load.
HV transformer board will have no output as soon as load is applied.
</t>
  </si>
  <si>
    <t>SV104 - 5337</t>
  </si>
  <si>
    <t>SV104 - 5338</t>
  </si>
  <si>
    <t>SV104 - 5339</t>
  </si>
  <si>
    <t xml:space="preserve">UVLO pin will get damaged, No PWM will be available for half bridge driver ICs,
No output available at HV transformer board.
</t>
  </si>
  <si>
    <t>SV104 - 5340</t>
  </si>
  <si>
    <t>SV104 - 5341</t>
  </si>
  <si>
    <t>SV104 - 5342</t>
  </si>
  <si>
    <t xml:space="preserve">Dead time between alternating PWMs will be altered (maximum).
1 PWM will be permanently high, while other will be permanently low.
Output of isolation transformer will not be available.
No output available at HV transformer board.
</t>
  </si>
  <si>
    <t>SV104 - 5343</t>
  </si>
  <si>
    <t>SV104 - 5344</t>
  </si>
  <si>
    <t>SV104 - 5345</t>
  </si>
  <si>
    <t>SV104 - 5346</t>
  </si>
  <si>
    <t>SV104 - 5347</t>
  </si>
  <si>
    <t>SV104 - 5348</t>
  </si>
  <si>
    <t>Soft start functionality will be compromised.
No immediate effect on board in normal operations.</t>
  </si>
  <si>
    <t>SV104 - 5349</t>
  </si>
  <si>
    <t>SV104 - 5350</t>
  </si>
  <si>
    <t>SV104 - 5351</t>
  </si>
  <si>
    <t>SV104 - 5352</t>
  </si>
  <si>
    <t>SV104 - 5353</t>
  </si>
  <si>
    <t>SV104 - 5354</t>
  </si>
  <si>
    <t>SV104 - 5355</t>
  </si>
  <si>
    <t>SV104-12390</t>
  </si>
  <si>
    <t>SV104-12391</t>
  </si>
  <si>
    <t>SV104-10973</t>
  </si>
  <si>
    <t>SV104-10974</t>
  </si>
  <si>
    <t>SV104-10975</t>
  </si>
  <si>
    <t>SV104-10976</t>
  </si>
  <si>
    <t>SV104 - 5356</t>
  </si>
  <si>
    <t xml:space="preserve">Gate driver PWM path will be broken.
No output available at HV transformer board.
</t>
  </si>
  <si>
    <t>SV104 - 5357</t>
  </si>
  <si>
    <t xml:space="preserve">No immediate till the shorted duration.
Resistor will fail-open due to over-current. 
Gate driver PWM path will be broken.
No output available at HV transformer board.
</t>
  </si>
  <si>
    <t>SV104 - 5358</t>
  </si>
  <si>
    <t xml:space="preserve">Both outputs are permanently low. </t>
  </si>
  <si>
    <t xml:space="preserve">One half bridge section will not have output.
Output of Full Bridge circuit will be 12 V at no load.
HV transformer board will have no output as soon as load is applied.
</t>
  </si>
  <si>
    <t>SV104 - 5359</t>
  </si>
  <si>
    <t xml:space="preserve">Full bridge functionality will be disturbed.
No output will be available at HV transformer board as soon as load is applied.
</t>
  </si>
  <si>
    <t>SV104 - 5360</t>
  </si>
  <si>
    <t xml:space="preserve">One MOSFET will be permanently turned ON.
During times, when low side MOSFET of same half bridge will turn ON, HV DC line get shorted will ground.
Due to high current flow, power MOSFETs may get damaged.
Input side fuse will burn out and prevent cascading failures.
 </t>
  </si>
  <si>
    <t>SV104 - 8902</t>
  </si>
  <si>
    <t xml:space="preserve">Full bridge functionality will be disturbed.
No output will be available at HV transformer board as soon as load is applied.
Redundant power to one of the iiDCE driver board will be cut-off. </t>
  </si>
  <si>
    <t>SV104 - 8903</t>
  </si>
  <si>
    <t>SV104 - 8904</t>
  </si>
  <si>
    <t>SV104 - 5361</t>
  </si>
  <si>
    <t xml:space="preserve">Output of gate driver IC will be affected.
No output available at HV transformer board.
</t>
  </si>
  <si>
    <t>SV104 - 5362</t>
  </si>
  <si>
    <t xml:space="preserve">Capacitor fail short. </t>
  </si>
  <si>
    <t xml:space="preserve">Output of gate driver IC will be affected.
No output available at HV transformer board.
</t>
  </si>
  <si>
    <t>SV104 - 5363</t>
  </si>
  <si>
    <t>SV104 - 5364</t>
  </si>
  <si>
    <t>SV104 - 5365</t>
  </si>
  <si>
    <t>SV104 - 5366</t>
  </si>
  <si>
    <t>SV104-10977</t>
  </si>
  <si>
    <t>To provide low resistance path between gate driver IC and gate to discharge gate  capacitance.</t>
  </si>
  <si>
    <t>SV104-10978</t>
  </si>
  <si>
    <t>SV104-10979</t>
  </si>
  <si>
    <t>SV104-10980</t>
  </si>
  <si>
    <t>SV104-10981</t>
  </si>
  <si>
    <t>SV104-10982</t>
  </si>
  <si>
    <t>SV104-10983</t>
  </si>
  <si>
    <t>SV104 - 5367</t>
  </si>
  <si>
    <t>SV104 - 5368</t>
  </si>
  <si>
    <t xml:space="preserve">No voltage will be available at transformer output, for the shorted duration.
No output available at HV transformer board.
</t>
  </si>
  <si>
    <t>SV104-10984</t>
  </si>
  <si>
    <t>SV104-10985</t>
  </si>
  <si>
    <t>SV104-10986</t>
  </si>
  <si>
    <t>SV104 - 5369</t>
  </si>
  <si>
    <t xml:space="preserve">No voltage will be available at transformer output.
No output available at HV transformer board.
</t>
  </si>
  <si>
    <t>SV104 - 5370</t>
  </si>
  <si>
    <t xml:space="preserve">No output available at HV transformer board.
</t>
  </si>
  <si>
    <t>SV104 - 5371</t>
  </si>
  <si>
    <t>SV104 - 5372</t>
  </si>
  <si>
    <t>SV104 - 6794</t>
  </si>
  <si>
    <t xml:space="preserve">If failure is such that board cannot provide any level of isolation then it will damage clamp and iiDCE board.
iiDCE and clamp board will not be powered up. 
</t>
  </si>
  <si>
    <t xml:space="preserve">In case of complete isolation failure controls and communication will not be available.
If the device was in injection mode it will switch to monitoring mode. 
</t>
  </si>
  <si>
    <t>SV104 - 6795</t>
  </si>
  <si>
    <t>SV104 - 6796</t>
  </si>
  <si>
    <t xml:space="preserve">Insulator failure will not have impact during normal condition as it is to prevent early partial discharge during humid condition. This will not impact bypass side board in any condition but will be critical for MVAR side board in condensed humidity condition.
If failure is such that board cannot provide any level of isolation then it will damage iiDCE and iClamp board.
</t>
  </si>
  <si>
    <t xml:space="preserve">Controls and communication will not be available.
If the device was in injection mode it will switch to monitoring mode. 
</t>
  </si>
  <si>
    <t>SV104 - 6797</t>
  </si>
  <si>
    <t xml:space="preserve">Manufacturing Deficiency.
Vibration. </t>
  </si>
  <si>
    <t>SV104 - 5373</t>
  </si>
  <si>
    <t xml:space="preserve">Output cut to half if half side is working.
</t>
  </si>
  <si>
    <t>SV104 - 5374</t>
  </si>
  <si>
    <t>Secondary winding will get shorted if any diode fails-short.
As a result of shortage, excessive amount of current will flow damaging  two diodes permanently.
Diodes will eventually get open and no output will be available</t>
  </si>
  <si>
    <t xml:space="preserve">No voltage available at the output for the shorted duration. 
</t>
  </si>
  <si>
    <t>SV104 - 5375</t>
  </si>
  <si>
    <t xml:space="preserve">Output cut to half if half side is working.
</t>
  </si>
  <si>
    <t>SV104 - 5376</t>
  </si>
  <si>
    <t>SV104 - 5377</t>
  </si>
  <si>
    <t>SV104 - 5378</t>
  </si>
  <si>
    <t>SV104-10987</t>
  </si>
  <si>
    <t>SV104-10988</t>
  </si>
  <si>
    <t>SV104-10989</t>
  </si>
  <si>
    <t>SV104-10990</t>
  </si>
  <si>
    <t>SV104-10991</t>
  </si>
  <si>
    <t>SV104-10992</t>
  </si>
  <si>
    <t>SV104 - 5379</t>
  </si>
  <si>
    <t xml:space="preserve">Affected component will face high temperature rise during nominal current operations.
Power component may get damaged causing HV transformer board output voltage to drop.
</t>
  </si>
  <si>
    <t>SV104-11419</t>
  </si>
  <si>
    <t>SV104-11420</t>
  </si>
  <si>
    <t>SV104-11421</t>
  </si>
  <si>
    <t>SV104-11422</t>
  </si>
  <si>
    <t>SV104-11423</t>
  </si>
  <si>
    <t>SV104-11424</t>
  </si>
  <si>
    <t>SV104-11425</t>
  </si>
  <si>
    <t>SV104-11426</t>
  </si>
  <si>
    <t>SV104 - 6798</t>
  </si>
  <si>
    <t xml:space="preserve">PHT-DC board external capacitor will dump full energy in board.
HV-ISO board's input traces will burn out.
iiDCE and clamp boards will be damaged permanently.
</t>
  </si>
  <si>
    <t xml:space="preserve">HV Transformer Board for 1 MVAr </t>
  </si>
  <si>
    <t>SV104 - 6799</t>
  </si>
  <si>
    <t>If no other failure is observed on the board, iiSC board will stay powered. 
Device can operate in both monitoring and injection mode</t>
  </si>
  <si>
    <t xml:space="preserve">Using components with industrial grade scale.
Choosing components with enough FIT rate to fulfil the product life requirements.
Redundant  24 V supply to iiSC board will be provided via UPSB. 
</t>
  </si>
  <si>
    <t>SV104 - 6800</t>
  </si>
  <si>
    <r>
      <t>Reverse polarity protection will be compromised during shortage.</t>
    </r>
    <r>
      <rPr>
        <sz val="10"/>
        <color rgb="FFFF0000"/>
        <rFont val="Arial"/>
        <family val="2"/>
      </rPr>
      <t xml:space="preserve">
</t>
    </r>
  </si>
  <si>
    <t>SV104 - 6801</t>
  </si>
  <si>
    <t>Both TRIACs fail-short</t>
  </si>
  <si>
    <t>SV104 - 6802</t>
  </si>
  <si>
    <t>Both TRIACs fail-open.</t>
  </si>
  <si>
    <t>iiSC will be unable to get power from HVT board. 
If previously system was in injection then iiSC will get power from Universal PSB.
But if previously system was in monitoring mode and capacitor bank is not charged than iiSC will have no power available.</t>
  </si>
  <si>
    <t>SV104 - 6803</t>
  </si>
  <si>
    <t>SV104 - 6804</t>
  </si>
  <si>
    <t>SV104 - 6805</t>
  </si>
  <si>
    <t xml:space="preserve">Using components with industrial grade scale.
Choosing components with enough FIT rate to fulfil the product life requirements.
RTV application on edges to stop water ingress.
Redundant  24 V supply to iiSC board will be provided via UPSB. 
</t>
  </si>
  <si>
    <t>SV104 - 6806</t>
  </si>
  <si>
    <t xml:space="preserve">No voltage will be available at power controlling MOSFET gate.
On-board 15 V supply will not be available.
No output available at HV transformer board.
Redundant power to one of the iiSC board via HVT will be cut-off. </t>
  </si>
  <si>
    <t>SV104 - 6807</t>
  </si>
  <si>
    <r>
      <t>The threshold for UVLO detection will decrease.                                                                                                                                                                                                                                                                                       
Board</t>
    </r>
    <r>
      <rPr>
        <sz val="10"/>
        <rFont val="Arial"/>
        <family val="2"/>
      </rPr>
      <t xml:space="preserve"> will turn on before the set threshold of 320 V.</t>
    </r>
    <r>
      <rPr>
        <sz val="10"/>
        <color rgb="FF000000"/>
        <rFont val="Arial"/>
        <family val="2"/>
      </rPr>
      <t xml:space="preserve">
Slight effect will be on PHT-DC bus during low line current condition as it will ramp up slowly.
Board will keep working.</t>
    </r>
  </si>
  <si>
    <t>SV104-10993</t>
  </si>
  <si>
    <t>SV104-10994</t>
  </si>
  <si>
    <t>UVLO limit will decrease.
Board will power up at lower voltage.
Board will keep working.</t>
  </si>
  <si>
    <t>SV104 - 6808</t>
  </si>
  <si>
    <t>SV104 - 6809</t>
  </si>
  <si>
    <t xml:space="preserve">Any One Resistor fails-short. </t>
  </si>
  <si>
    <t xml:space="preserve">Using components with industrial grade scale.
Choosing components with enough FIT rate to fulfil the product life requirements..
Conformal coating.
Redundant  24 V supply to iiSC board will be provided via UPSB. 
</t>
  </si>
  <si>
    <t>SV104-12392</t>
  </si>
  <si>
    <t>SV104 - 6810</t>
  </si>
  <si>
    <t>SV104 - 6811</t>
  </si>
  <si>
    <t>SV104 - 6812</t>
  </si>
  <si>
    <t>SV104 - 6813</t>
  </si>
  <si>
    <t xml:space="preserve">MOSFET Q6 will be turned off completely.
Startup circuit will not work.
No output available at HV transformer board.
Board never boots up. 
</t>
  </si>
  <si>
    <t>SV104-12393</t>
  </si>
  <si>
    <t>SV104-12394</t>
  </si>
  <si>
    <t>SV104-10995</t>
  </si>
  <si>
    <t xml:space="preserve">Using components with industrial grade scale.
Choosing components with enough FIT rate to fulfil the product life requirements.
Redundant  24 V supply to iiSC board will be provided via UPSB. </t>
  </si>
  <si>
    <t>SV104-10996</t>
  </si>
  <si>
    <t>SV104 - 6814</t>
  </si>
  <si>
    <t>SV104 - 6815</t>
  </si>
  <si>
    <t>SV104 - 6816</t>
  </si>
  <si>
    <t>SV104 - 6817</t>
  </si>
  <si>
    <t>SV104 - 6818</t>
  </si>
  <si>
    <t>SV104 - 6819</t>
  </si>
  <si>
    <t>SV104 - 6820</t>
  </si>
  <si>
    <t>SV104 - 6821</t>
  </si>
  <si>
    <t>SV104 - 6822</t>
  </si>
  <si>
    <t>SV104 - 6823</t>
  </si>
  <si>
    <t>SV104 - 6824</t>
  </si>
  <si>
    <t>SV104 - 6825</t>
  </si>
  <si>
    <t>SV104 - 6826</t>
  </si>
  <si>
    <t>SV104 - 6827</t>
  </si>
  <si>
    <t>SV104 - 6828</t>
  </si>
  <si>
    <t>SV104 - 6829</t>
  </si>
  <si>
    <t xml:space="preserve">Over-current will cause the resistor to eventually fail-open. 
15 V regulator will keep on working from input side and will not turn off. Which will heat up the resistor on MOSFET Q6 drain and will burn out eventually.
No output available at HV transformer board.
</t>
  </si>
  <si>
    <t>SV104 - 6830</t>
  </si>
  <si>
    <t>SV104 - 6831</t>
  </si>
  <si>
    <t>SV104 - 6832</t>
  </si>
  <si>
    <t>SV104 - 6833</t>
  </si>
  <si>
    <t>SV104 - 6834</t>
  </si>
  <si>
    <t>SV104 - 6835</t>
  </si>
  <si>
    <t>SV104 - 6836</t>
  </si>
  <si>
    <t>SV104 - 6837</t>
  </si>
  <si>
    <t>SV104 - 6838</t>
  </si>
  <si>
    <t>SV104 - 6839</t>
  </si>
  <si>
    <t>SV104 - 6840</t>
  </si>
  <si>
    <t>SV104 - 6841</t>
  </si>
  <si>
    <t>"Board will not power up as startup circuit will remain off.
Q6 will remain permanently off.
No output available at HV transformer board."</t>
  </si>
  <si>
    <t>SV104 - 6842</t>
  </si>
  <si>
    <t>SV104 - 6843</t>
  </si>
  <si>
    <t>SV104 - 6844</t>
  </si>
  <si>
    <t xml:space="preserve">No PWM will be available for half bridge driver ICs,
No output available at HV transformer board.
 </t>
  </si>
  <si>
    <t>SV104 - 6845</t>
  </si>
  <si>
    <t>SV104 - 6846</t>
  </si>
  <si>
    <t>SV104 - 6847</t>
  </si>
  <si>
    <t>SV104 - 6848</t>
  </si>
  <si>
    <t>SV104 - 6849</t>
  </si>
  <si>
    <t>SV104 - 6850</t>
  </si>
  <si>
    <t>SV104 - 6851</t>
  </si>
  <si>
    <t>SV104 - 6852</t>
  </si>
  <si>
    <t>SV104 - 6853</t>
  </si>
  <si>
    <t xml:space="preserve">Dead time between alternating PWMs will be altered (maximum).
1 PWM will be permanently high, while other will be permanently low.
Output of isolation transformer will not be available.
No output available at HV transformer board.
</t>
  </si>
  <si>
    <t>SV104 - 6854</t>
  </si>
  <si>
    <t>SV104 - 6855</t>
  </si>
  <si>
    <t>SV104 - 6856</t>
  </si>
  <si>
    <t>SV104 - 6857</t>
  </si>
  <si>
    <t>SV104 - 6858</t>
  </si>
  <si>
    <t xml:space="preserve">PWM controller will turn off permanently. No output available for board.
</t>
  </si>
  <si>
    <t>SV104 - 6859</t>
  </si>
  <si>
    <t>SV104 - 6860</t>
  </si>
  <si>
    <t>SV104 - 6861</t>
  </si>
  <si>
    <t>SV104 - 6862</t>
  </si>
  <si>
    <t>SV104 - 6863</t>
  </si>
  <si>
    <t>SV104 - 6864</t>
  </si>
  <si>
    <t>SV104-12395</t>
  </si>
  <si>
    <t>SV104-12396</t>
  </si>
  <si>
    <t>SV104-10997</t>
  </si>
  <si>
    <t>SV104-10998</t>
  </si>
  <si>
    <t>SV104-10999</t>
  </si>
  <si>
    <t>SV104-11000</t>
  </si>
  <si>
    <t>SV104 - 6865</t>
  </si>
  <si>
    <t>SV104 - 6866</t>
  </si>
  <si>
    <t>SV104 - 6867</t>
  </si>
  <si>
    <t>One half bridge section will not have output.
Output of Full Bridge circuit will be 12 V at no load.
HV transformer board will have no output as soon as load is applied</t>
  </si>
  <si>
    <t>SV104 - 6868</t>
  </si>
  <si>
    <t>SV104 - 6869</t>
  </si>
  <si>
    <t>SV104 - 8905</t>
  </si>
  <si>
    <t>SV104 - 8906</t>
  </si>
  <si>
    <t>SV104 - 8907</t>
  </si>
  <si>
    <t>SV104 - 6870</t>
  </si>
  <si>
    <t>SV104 - 6871</t>
  </si>
  <si>
    <t>SV104 - 6872</t>
  </si>
  <si>
    <t>SV104 - 6873</t>
  </si>
  <si>
    <t>SV104 - 6874</t>
  </si>
  <si>
    <t>SV104 - 6875</t>
  </si>
  <si>
    <t>SV104-11001</t>
  </si>
  <si>
    <t>To provide low resistance path between gate driver IC and gate to discharge gate capacitance.</t>
  </si>
  <si>
    <t>Gate Capacitance will discharge slowly through high resistance path thus on/off time will be disturbed
Switching losses will increase.
No immediate effect on board.</t>
  </si>
  <si>
    <t>SV104-11002</t>
  </si>
  <si>
    <t>SV104-11003</t>
  </si>
  <si>
    <t>SV104-11004</t>
  </si>
  <si>
    <t>SV104-11005</t>
  </si>
  <si>
    <t>SV104-11006</t>
  </si>
  <si>
    <t>SV104-11007</t>
  </si>
  <si>
    <t>SV104 - 6876</t>
  </si>
  <si>
    <t>SV104 - 6877</t>
  </si>
  <si>
    <t xml:space="preserve">No voltage will be available at transformer output, for the shorted duration.
No output available at HV transformer board.
</t>
  </si>
  <si>
    <t>SV104-11008</t>
  </si>
  <si>
    <t>SV104-11009</t>
  </si>
  <si>
    <t>SV104-11010</t>
  </si>
  <si>
    <t>SV104 - 6878</t>
  </si>
  <si>
    <t>SV104 - 6879</t>
  </si>
  <si>
    <t>SV104 - 6880</t>
  </si>
  <si>
    <t>SV104 - 6881</t>
  </si>
  <si>
    <t>SV104 - 6882</t>
  </si>
  <si>
    <t xml:space="preserve">For MVAR on lowest potential, isolation of  1kV will be enough to keep the board working.
For MVAR on highest potential if the failure causes the isolation of less than 5.6 kV RMS then the board will get damaged. 
One of the MVAR will not be operational. 
</t>
  </si>
  <si>
    <t>SV104 - 6883</t>
  </si>
  <si>
    <t>SV104 - 6884</t>
  </si>
  <si>
    <t>SV104 - 6885</t>
  </si>
  <si>
    <t xml:space="preserve">Partial discharge will start resulting in degradation of isolation barrier with the time.
Eventually degradation will reach  to a level where failure will occur and iiSC board will get damaged.
One of the MVAR will not be operational. </t>
  </si>
  <si>
    <t>SV104 - 6886</t>
  </si>
  <si>
    <t>SV104 - 6887</t>
  </si>
  <si>
    <t xml:space="preserve">No voltage available at the output for the shorted duration. 
</t>
  </si>
  <si>
    <t>SV104 - 6888</t>
  </si>
  <si>
    <t>SV104 - 6889</t>
  </si>
  <si>
    <t>Auxiliary winding will get shorted if any diode fails-short.
As a result of shortage, excessive amount of current will flow damaging  two diodes permanently.
Diodes will eventually get open and no output will be available.</t>
  </si>
  <si>
    <t>SV104 - 6890</t>
  </si>
  <si>
    <t>SV104 - 6891</t>
  </si>
  <si>
    <t>SV104-11011</t>
  </si>
  <si>
    <t>SV104-11012</t>
  </si>
  <si>
    <t>SV104-11013</t>
  </si>
  <si>
    <t>SV104-11014</t>
  </si>
  <si>
    <t>SV104-11015</t>
  </si>
  <si>
    <t>SV104-11016</t>
  </si>
  <si>
    <t>SV104-11427</t>
  </si>
  <si>
    <t>SV104-11428</t>
  </si>
  <si>
    <t>SV104-11429</t>
  </si>
  <si>
    <t>SV104-11430</t>
  </si>
  <si>
    <t>SV104-11431</t>
  </si>
  <si>
    <t>SV104-11432</t>
  </si>
  <si>
    <t>SV104-11433</t>
  </si>
  <si>
    <t>SV104-11434</t>
  </si>
  <si>
    <t>SV104 - 6892</t>
  </si>
  <si>
    <t xml:space="preserve">Affected component will face high temperature rise during nominal current operations.
Power component may get damaged causing HV transformer board output voltage to drop.
</t>
  </si>
  <si>
    <t>HV Transformer Board for 1 MVAr (with CLB Option)</t>
  </si>
  <si>
    <t>SV104 - 6893</t>
  </si>
  <si>
    <t>Device can operate in both monitoring and injection mode.</t>
  </si>
  <si>
    <t>SV104 - 6894</t>
  </si>
  <si>
    <r>
      <t>Reverse polarity protection will be compromised during shortage.</t>
    </r>
    <r>
      <rPr>
        <strike/>
        <sz val="10"/>
        <color rgb="FFFF0000"/>
        <rFont val="Arial"/>
        <family val="2"/>
      </rPr>
      <t xml:space="preserve">
</t>
    </r>
  </si>
  <si>
    <t>SV104 - 6895</t>
  </si>
  <si>
    <t>SV104 - 6896</t>
  </si>
  <si>
    <t>SV104 - 6897</t>
  </si>
  <si>
    <t>iiSC will be unable to get power from HVT board, but will get power from Universal PSB.
Device can operate in both monitoring and injection mode.</t>
  </si>
  <si>
    <t>SV104 - 6898</t>
  </si>
  <si>
    <t>To suppress ripples on input voltage.
To store energy for power demand.</t>
  </si>
  <si>
    <t>SV104 - 6899</t>
  </si>
  <si>
    <t>Overcurrent will cause the capacitor to eventually fail-open.
No output available at HV transformer board till capacitor remains shorted. 
Input supply ripples may cause distorted output supply.
No immediate effect on board..</t>
  </si>
  <si>
    <t>SV104 - 6900</t>
  </si>
  <si>
    <t>Low Voltage Detection Zener Diode.</t>
  </si>
  <si>
    <t>SV104 - 6901</t>
  </si>
  <si>
    <t xml:space="preserve">Resistor in series will se an increased voltage drop, which may cause them to heat and burn in worst. 
Diode will fail-open due to over-current. 
No voltage will be available at power controlling MOSFET gate.
On-board 15 V supply will not be available.
No output available at HV transformer board.
</t>
  </si>
  <si>
    <t>SV104 - 6902</t>
  </si>
  <si>
    <t>SV104 - 6903</t>
  </si>
  <si>
    <t xml:space="preserve">Remaining series resistors will see an increased voltage drop for the shorted duration. 
Resistor will fail-open due to over-current. 
No voltage will be available at power controlling MOSFET gate.
On-board 15 V supply will not be available.
No output available at HV transformer board.
</t>
  </si>
  <si>
    <t>SV104 - 6904</t>
  </si>
  <si>
    <t>SV104 - 6905</t>
  </si>
  <si>
    <t xml:space="preserve">Over-current will eventually cause the MOSFET to fail-open. 
Input power path will be broken.
No output available at HV transformer board.
</t>
  </si>
  <si>
    <t>SV104 - 6906</t>
  </si>
  <si>
    <t>To cutoff supply in case of over-voltage.</t>
  </si>
  <si>
    <t>SV104 - 6907</t>
  </si>
  <si>
    <t xml:space="preserve">Over-current will cause the diode to eventually fail-open. 
For the shorted duration, Input power path will be broken.
No output available at HV transformer board.
</t>
  </si>
  <si>
    <t>SV104 - 6908</t>
  </si>
  <si>
    <t>To provide controlled power flow path.</t>
  </si>
  <si>
    <t>SV104 - 6909</t>
  </si>
  <si>
    <t xml:space="preserve">Over-current will cause the BJT to eventually fail-open. 
Input power path will be broken.
No output available at HV transformer board.
</t>
  </si>
  <si>
    <t>SV104 - 6910</t>
  </si>
  <si>
    <t>SV104 - 6911</t>
  </si>
  <si>
    <t>SV104 - 6912</t>
  </si>
  <si>
    <t>SV104 - 6913</t>
  </si>
  <si>
    <t>SV104 - 6914</t>
  </si>
  <si>
    <t>SV104 - 6915</t>
  </si>
  <si>
    <t>SV104 - 6916</t>
  </si>
  <si>
    <t>SV104 - 6917</t>
  </si>
  <si>
    <t>SV104 - 6918</t>
  </si>
  <si>
    <t xml:space="preserve">To maintain a constant 9 V drop. </t>
  </si>
  <si>
    <t>SV104 - 6919</t>
  </si>
  <si>
    <t xml:space="preserve">Over-current will cause the diode to eventually fail-open. 
15 V regulator will keep on working from input side and will not turn off. Which will heat up the resistor on MOSFET Q6 drain and will burn out eventually.
No output available at HV transformer board.
</t>
  </si>
  <si>
    <t>SV104 - 6920</t>
  </si>
  <si>
    <t>SV104 - 6921</t>
  </si>
  <si>
    <t>SV104 - 6922</t>
  </si>
  <si>
    <t xml:space="preserve">To protect MOSFET gate from over-voltage. </t>
  </si>
  <si>
    <t>SV104 - 6923</t>
  </si>
  <si>
    <t>SV104 - 6924</t>
  </si>
  <si>
    <t>SV104 - 6925</t>
  </si>
  <si>
    <t>SV104 - 6926</t>
  </si>
  <si>
    <t>SV104 - 6927</t>
  </si>
  <si>
    <t>Under-voltage protection of PWM controller won't be available.
No immediate effect on board in normal operations.</t>
  </si>
  <si>
    <t>SV104 - 6928</t>
  </si>
  <si>
    <t>SV104 - 6929</t>
  </si>
  <si>
    <t>SV104 - 6930</t>
  </si>
  <si>
    <t xml:space="preserve">UVLO pin will get damaged, No PWM will be available for half bridge driver ICs,
No output available at HV transformer board.
</t>
  </si>
  <si>
    <t>SV104 - 6931</t>
  </si>
  <si>
    <t>SV104 - 6932</t>
  </si>
  <si>
    <t>SV104 - 6933</t>
  </si>
  <si>
    <t>SV104 - 6934</t>
  </si>
  <si>
    <t>SV104 - 6935</t>
  </si>
  <si>
    <t>SV104 - 6936</t>
  </si>
  <si>
    <t>SV104 - 6937</t>
  </si>
  <si>
    <t>SV104 - 6938</t>
  </si>
  <si>
    <t>SV104 - 6939</t>
  </si>
  <si>
    <t>SV104 - 6940</t>
  </si>
  <si>
    <t>SV104 - 6941</t>
  </si>
  <si>
    <t>SV104 - 6942</t>
  </si>
  <si>
    <t>SV104 - 6943</t>
  </si>
  <si>
    <t>SV104 - 6944</t>
  </si>
  <si>
    <t>SV104 - 6945</t>
  </si>
  <si>
    <t>SV104 - 6946</t>
  </si>
  <si>
    <t>SV104 - 6947</t>
  </si>
  <si>
    <t>SV104 - 6948</t>
  </si>
  <si>
    <t xml:space="preserve">One MOSFET will be permanently turned ON.
During times, when other MOSFET of same half bridge will turn ON, HV DC line get shorted will ground.
Due to high current flow, power MOSFETs may get damaged.
Input side fuse will burn out and prevent cascading failures.
</t>
  </si>
  <si>
    <t>SV104 - 6949</t>
  </si>
  <si>
    <t>SV104 - 6950</t>
  </si>
  <si>
    <t>Half Bridge Gate Driver IC - Biasing Capacitor.</t>
  </si>
  <si>
    <t>SV104 - 6951</t>
  </si>
  <si>
    <t>SV104 - 6952</t>
  </si>
  <si>
    <t>SV104 - 6953</t>
  </si>
  <si>
    <t>SV104 - 6954</t>
  </si>
  <si>
    <t>SV104 - 6955</t>
  </si>
  <si>
    <t>SV104 - 6956</t>
  </si>
  <si>
    <t>SV104 - 6957</t>
  </si>
  <si>
    <t>SV104 - 6958</t>
  </si>
  <si>
    <t>SV104 - 6959</t>
  </si>
  <si>
    <t xml:space="preserve">High voltage will appear secondary windings of transformer.
Small arching may occur.
Can cause damage to on-board components.
</t>
  </si>
  <si>
    <t>SV104 - 6960</t>
  </si>
  <si>
    <t>SV104 - 6961</t>
  </si>
  <si>
    <t>SV104 - 6962</t>
  </si>
  <si>
    <t>SV104 - 6963</t>
  </si>
  <si>
    <t>SV104 - 6964</t>
  </si>
  <si>
    <t>SV104 - 6965</t>
  </si>
  <si>
    <t>SV104 - 6966</t>
  </si>
  <si>
    <t>SV104 - 6967</t>
  </si>
  <si>
    <t>SV104 - 6968</t>
  </si>
  <si>
    <t>HV Transformer Board for CLB Driver Board</t>
  </si>
  <si>
    <t>SV104 - 5528</t>
  </si>
  <si>
    <t>If no other failure is observed on the board, CLB driver board will stay powered. 
Device can operate in both monitoring and injection mode.</t>
  </si>
  <si>
    <t>SV104 - 5529</t>
  </si>
  <si>
    <t>SV104 - 6969</t>
  </si>
  <si>
    <t>SV104 - 6970</t>
  </si>
  <si>
    <t>Both TRIACs fail-open</t>
  </si>
  <si>
    <t xml:space="preserve">On Power failure CLB will retain its state.
If particular MVAR is in injection and then power failure of its CLB occurs then it will not effect operation and system will remain in injection.
If particular MVAR is bypassed its CLB is closed and system is injecting with reduced MVAR  and then power failure occurs on closed CLB then system will retain its state and keeps injecting with reduced MVAR.
</t>
  </si>
  <si>
    <t>System will keep working normally.
If CLB is stuck in closed state then system will keep injecting with reduced MVAR.
.</t>
  </si>
  <si>
    <t>Failure will be detected by firmware by verifying the CARD_HEALTHY feedback (High when power fails).</t>
  </si>
  <si>
    <t>CLB03?</t>
  </si>
  <si>
    <t>CLB Card Unhealthy</t>
  </si>
  <si>
    <t>SV104-11017</t>
  </si>
  <si>
    <t>Both TRIACs fail-open and then fault occurs that engages CLB</t>
  </si>
  <si>
    <t>If CLB is open, power failure occur and system is in injection and due to iiSC fault now faulty MVAR cannot be bypassed so system will transit to monitoring mode.
System cannot go to injection anymore until the fault is cleared.</t>
  </si>
  <si>
    <t>System will lose injection capability until the MVAR fault is cleared.</t>
  </si>
  <si>
    <t>SV104 - 5530</t>
  </si>
  <si>
    <t>Degradation of components.
Bad component batch.
Overcurrent.</t>
  </si>
  <si>
    <t xml:space="preserve">Usage of over-rated components. 
Conformal coating.
</t>
  </si>
  <si>
    <t>SV104-11018</t>
  </si>
  <si>
    <t>Fuse fails-open and then fault occurs that engages CLB</t>
  </si>
  <si>
    <t>SV104 - 5531</t>
  </si>
  <si>
    <t>No immediate effect due to presence of redundant capacitor as well as input supply is regulated supply.</t>
  </si>
  <si>
    <t>SV104 - 5532</t>
  </si>
  <si>
    <t>Over voltage. 
De-gradation of components.
Water ingress during humidity condition as it is film capacitor.</t>
  </si>
  <si>
    <t>HALT.
Electrical Stress Testing.
Thermal Stress Testing.
 Environmental Testing.</t>
  </si>
  <si>
    <t>SV104-11019</t>
  </si>
  <si>
    <t xml:space="preserve">Capacitor fails-short and then fault occurs that engages CLB. </t>
  </si>
  <si>
    <t>If CLB is open, power failure occur and system is either in monitoring or injection and due to iiSC fault now faulty MVAR cannot be bypassed so system will transit to monitoring mode if injection is going on. System cannot go to injection anymore until the fault is cleared.</t>
  </si>
  <si>
    <t>HALT.
Electrical Stress Testing.
Thermal Stress Testing.
  Environmental Testing.</t>
  </si>
  <si>
    <t>SV104 - 5533</t>
  </si>
  <si>
    <t>Degradation of components.
Overcurrent.
Bad component batch.
Mechanical stress or damage during assembly.</t>
  </si>
  <si>
    <t>SV104-11020</t>
  </si>
  <si>
    <t>Diode fails-open and then fault occurs that engages CLB.</t>
  </si>
  <si>
    <t>SV104 - 5534</t>
  </si>
  <si>
    <t>Degradation of components.
Overvoltage.
Bad component batch.</t>
  </si>
  <si>
    <t>SV104-11021</t>
  </si>
  <si>
    <t>SV104-11022</t>
  </si>
  <si>
    <t>Resistor fails-open and then fault occurs that engages CLB.</t>
  </si>
  <si>
    <t>SV104-11023</t>
  </si>
  <si>
    <t>SV104 - 5535</t>
  </si>
  <si>
    <t>Input Side current limiting Resistor.</t>
  </si>
  <si>
    <t>To control input current.</t>
  </si>
  <si>
    <t>Degradation of components.
Overcurrent.
Counterfeit part.
Overstress due to shock or vibration.</t>
  </si>
  <si>
    <t>HALT.
Electrical Stress Testing.
Thermal Stress Testing.
 Vibration testing.</t>
  </si>
  <si>
    <t>SV104-11024</t>
  </si>
  <si>
    <t>SV104 - 5536</t>
  </si>
  <si>
    <t>Degradation of components.
Counterfeit part.
High humidity.</t>
  </si>
  <si>
    <t>Usage of over-rated components.
Using components with industrial grade scale.
Conformal coating.
Choosing components with enough FIT rate to fulfil the product life requirements.</t>
  </si>
  <si>
    <t>HALT.
Electrical Stress Testing.
Thermal Stress Testing.
 Environmental testing.</t>
  </si>
  <si>
    <t>SV104-12397</t>
  </si>
  <si>
    <t>SV104-12398</t>
  </si>
  <si>
    <t>More than one resistors fails-short  and then fault occurs that engages CLB.</t>
  </si>
  <si>
    <t>SV104 - 5537</t>
  </si>
  <si>
    <t xml:space="preserve">Input power path will be broken.
No output available at HV transformer board.
</t>
  </si>
  <si>
    <t>SV104-11025</t>
  </si>
  <si>
    <t>MOSFET fails-open and then fault occurs that engages CLB.</t>
  </si>
  <si>
    <t>SV104 - 5538</t>
  </si>
  <si>
    <t xml:space="preserve">Startup circuitry will turn on permanently resulting in overheating and permanently damage to startup resistor.
No output available once HV-ISO reboot.
</t>
  </si>
  <si>
    <t>Usage of over-rated components.
Using components with industrial grade scale.
Choosing components with enough FIT rate to fulfil the product life requirements.
Conformal coating.</t>
  </si>
  <si>
    <t>SV104-11026</t>
  </si>
  <si>
    <t>MOSFET fails-short and then fault occurs that engages CLB.</t>
  </si>
  <si>
    <t>SV104 - 5539</t>
  </si>
  <si>
    <t>SV104 - 5540</t>
  </si>
  <si>
    <t xml:space="preserve">MOSFET will be turned off completely.
Startup circuit will not work.
No output available at HV transformer board.
</t>
  </si>
  <si>
    <t>Degradation of components.
Overvoltage.
Counterfeit part.</t>
  </si>
  <si>
    <t>SV104-11027</t>
  </si>
  <si>
    <t>Diode fails-short and then fault occurs that engages CLB.</t>
  </si>
  <si>
    <t>SV104-12399</t>
  </si>
  <si>
    <t>SV104-12400</t>
  </si>
  <si>
    <t xml:space="preserve">Using components with industrial grade scale.
Choosing components with enough FIT rate to fulfil the product life requirements.
RTV application on edges to stop water ingress.
</t>
  </si>
  <si>
    <t>SV104-12401</t>
  </si>
  <si>
    <t>Capacitor fails-short and then fault occurs that engages CLB.</t>
  </si>
  <si>
    <t>SV104-11028</t>
  </si>
  <si>
    <t>SV104-11029</t>
  </si>
  <si>
    <t>SV104-11030</t>
  </si>
  <si>
    <t>SV104 - 6971</t>
  </si>
  <si>
    <t>SV104-11031</t>
  </si>
  <si>
    <t>SV104 - 6972</t>
  </si>
  <si>
    <t>SV104-11032</t>
  </si>
  <si>
    <t>SV104 - 6973</t>
  </si>
  <si>
    <t>SV104-11033</t>
  </si>
  <si>
    <t xml:space="preserve">Diode fails-open and than Fault occurs that engages CLB. </t>
  </si>
  <si>
    <t>SV104 - 6974</t>
  </si>
  <si>
    <t>SV104-12402</t>
  </si>
  <si>
    <t xml:space="preserve">Diode fails-short and than Fault occurs that engages CLB. </t>
  </si>
  <si>
    <t>SV104 - 6975</t>
  </si>
  <si>
    <t xml:space="preserve">Voltage at input will appear as it is on output damaging controller and regulator permanently.
No output available at HV transformer board.
</t>
  </si>
  <si>
    <t>SV104-11034</t>
  </si>
  <si>
    <t>SV104 - 6976</t>
  </si>
  <si>
    <t>SV104-11035</t>
  </si>
  <si>
    <t>SV104 - 5541</t>
  </si>
  <si>
    <t>SV104-11036</t>
  </si>
  <si>
    <t>BJT fails-open and than fault occurs that engages CLB</t>
  </si>
  <si>
    <t>SV104 - 5542</t>
  </si>
  <si>
    <t>BJT fails-short.</t>
  </si>
  <si>
    <t xml:space="preserve">Higher voltage at startup will damage the PWM controller and gate drivers of board.
Input power path will be broken.
No output available at HV transformer board.
</t>
  </si>
  <si>
    <t>Over voltage. 
Leakage at junctions. 
Wear-out due to high power dissipation.
De-gradation of components.</t>
  </si>
  <si>
    <t>SV104-11037</t>
  </si>
  <si>
    <t>BJT fails-short and than fault occurs that engages CLB</t>
  </si>
  <si>
    <t>SV104 - 5543</t>
  </si>
  <si>
    <t>SV104-11038</t>
  </si>
  <si>
    <t>Resistor fails-open and than fault occurs that engages CLB</t>
  </si>
  <si>
    <t>SV104 - 5544</t>
  </si>
  <si>
    <t>24V will be replicated at the emitter for the shorted duration, on-board ICs may get burn due to this over-voltage.
BJT will eventually fail-open due to over-current.
Input power path will be broken.
No output available at HV transformer board.</t>
  </si>
  <si>
    <t>SV104-11039</t>
  </si>
  <si>
    <t>Resistor fails-short. and then fault occurs that engages CLB.</t>
  </si>
  <si>
    <t>25 V will be replicated at the emitter for the shorted duration, on-board ICs may get burn due to this over-voltage.
BJT will eventually fail-open due to over-current.
Input power path will be broken.
No output available at HV transformer board.</t>
  </si>
  <si>
    <t>SV104 - 5545</t>
  </si>
  <si>
    <t>Freewheeling Diode. 
Repeated</t>
  </si>
  <si>
    <t>SV104 - 5546</t>
  </si>
  <si>
    <t>An emitter to collector short on BJT will cause the BJT to over-heat and may fail-open.
Input power path will be broken.
No output available at HV transformer board.
and then fault occurs that engages CLB.</t>
  </si>
  <si>
    <t>SV104 - 5547</t>
  </si>
  <si>
    <t>SV104 - 5548</t>
  </si>
  <si>
    <t xml:space="preserve">15 V power supply will be shorted to ground. 
PWM controller and gate drivers will not power up.
No output available at HV transformer board.
</t>
  </si>
  <si>
    <t>SV104-11040</t>
  </si>
  <si>
    <t>SV104 - 5549</t>
  </si>
  <si>
    <t>24 V Feedback Signal Side Resistor Divider.</t>
  </si>
  <si>
    <t>SV104-11041</t>
  </si>
  <si>
    <t xml:space="preserve">Resistor fails-open and then fault occurs that engages CLB.
</t>
  </si>
  <si>
    <t>SV104 - 5550</t>
  </si>
  <si>
    <t>Usage of over-rated components.
Using components with industrial grade scale.
Conformal Coating.
Choosing components with enough FIT rate to fulfil the product life requirements.</t>
  </si>
  <si>
    <t>SV104-11042</t>
  </si>
  <si>
    <t>Resistor fails-short and then fault occurs that engages CLB.</t>
  </si>
  <si>
    <t>SV104 - 5551</t>
  </si>
  <si>
    <t>To turn off the startup circuitry once full bridge auxiliary supply exceeds 9.1 V.</t>
  </si>
  <si>
    <t>SV104-11043</t>
  </si>
  <si>
    <t>SV104 - 5552</t>
  </si>
  <si>
    <t>SV104-11044</t>
  </si>
  <si>
    <t>SV104 - 6977</t>
  </si>
  <si>
    <t>SV104 - 6978</t>
  </si>
  <si>
    <t xml:space="preserve">15 V regulator will keep on working from input side and will not turn off. Which will heat up the resistor on MOSFET Q6 drain and will burn out eventually.
Startup circuitry will stop working.
No output available at HV transformer board.
</t>
  </si>
  <si>
    <t>SV104-11045</t>
  </si>
  <si>
    <t>SV104 - 6979</t>
  </si>
  <si>
    <t>24 V Feedback Signal Side - D25</t>
  </si>
  <si>
    <t>To set UVLO to disable startup circuitry</t>
  </si>
  <si>
    <t>SV104-11046</t>
  </si>
  <si>
    <t>SV104 - 6980</t>
  </si>
  <si>
    <t>SV104-11047</t>
  </si>
  <si>
    <t>SV104 - 6981</t>
  </si>
  <si>
    <t>SV104-11048</t>
  </si>
  <si>
    <t>SV104 - 6982</t>
  </si>
  <si>
    <t>SV104-11049</t>
  </si>
  <si>
    <t>SV104 - 6983</t>
  </si>
  <si>
    <t>SV104 - 6984</t>
  </si>
  <si>
    <t>SV104-11050</t>
  </si>
  <si>
    <t>SV104 - 5553</t>
  </si>
  <si>
    <t xml:space="preserve">MOSFET fails-open
</t>
  </si>
  <si>
    <t>SV104-11051</t>
  </si>
  <si>
    <t>MOSFET fails-open
 and then fault occurs that engages CLB.</t>
  </si>
  <si>
    <t>SV104 - 5554</t>
  </si>
  <si>
    <t>SV104-11052</t>
  </si>
  <si>
    <t>MOSFET fails-short  and then fault occurs that engages CLB.</t>
  </si>
  <si>
    <t>SV104 - 5555</t>
  </si>
  <si>
    <t xml:space="preserve">24 V Feedback Signal Side MOSFET.- Zener at Gate 
</t>
  </si>
  <si>
    <t>SV104 - 5556</t>
  </si>
  <si>
    <t>SV104-11053</t>
  </si>
  <si>
    <t>Diode fails-short  and then fault occurs that engages CLB.</t>
  </si>
  <si>
    <t>SV104 - 5557</t>
  </si>
  <si>
    <t>SV104-11054</t>
  </si>
  <si>
    <t>IC output is permanently low and then fault occurs that engages CLB.</t>
  </si>
  <si>
    <t>SV104 - 5558</t>
  </si>
  <si>
    <t>SV104-11055</t>
  </si>
  <si>
    <t>One of output is permanently high and then fault occurs that engages CLB.</t>
  </si>
  <si>
    <t>SV104 - 5559</t>
  </si>
  <si>
    <t>SV104 - 5560</t>
  </si>
  <si>
    <t>PWM controller will remain off permanently.
No output available for HV transformer board.</t>
  </si>
  <si>
    <t>SV104-11056</t>
  </si>
  <si>
    <t>Resistor fails-open  and then fault occurs that engages CLB.</t>
  </si>
  <si>
    <t>SV104 - 5561</t>
  </si>
  <si>
    <t>SV104-11057</t>
  </si>
  <si>
    <t>Resistor fails-short  and then fault occurs that engages CLB.</t>
  </si>
  <si>
    <t>SV104 - 5562</t>
  </si>
  <si>
    <t>SV104-11058</t>
  </si>
  <si>
    <t>SV104 - 5563</t>
  </si>
  <si>
    <t>SV104-11059</t>
  </si>
  <si>
    <t>SV104 - 5564</t>
  </si>
  <si>
    <t>SV104-11060</t>
  </si>
  <si>
    <t>SV104 - 5565</t>
  </si>
  <si>
    <t xml:space="preserve">Dead time between alternating PWMs will be altered (zero).
1 PWM will be permanently high, while other will be permanently low at the same time.
Output of isolation transformer will not be available.
No output available at HV transformer board.
</t>
  </si>
  <si>
    <t>SV104-11061</t>
  </si>
  <si>
    <t>SV104 - 5566</t>
  </si>
  <si>
    <t xml:space="preserve">On-time between alternating PWMs will be altered (Zero)
The Period of the PWM will be equal to the Dead-Time 
1 PWM will be permanently high, while other will be permanently low.
Output of isolation transformer will not be available.
No output available at HV transformer board.
</t>
  </si>
  <si>
    <t>SV104-11062</t>
  </si>
  <si>
    <t>SV104 - 5567</t>
  </si>
  <si>
    <t>SV104-11063</t>
  </si>
  <si>
    <t>SV104 - 5568</t>
  </si>
  <si>
    <t>SV104 - 5569</t>
  </si>
  <si>
    <t>SV104 - 5570</t>
  </si>
  <si>
    <t>SV104 - 5571</t>
  </si>
  <si>
    <t>PWM controller will turn off permanently. No output available for board.</t>
  </si>
  <si>
    <t>SV104-11064</t>
  </si>
  <si>
    <t>SV104 - 5572</t>
  </si>
  <si>
    <t>SV104 - 5573</t>
  </si>
  <si>
    <t>SV104 - 5574</t>
  </si>
  <si>
    <t>SV104 - 5575</t>
  </si>
  <si>
    <t>SV104 - 5576</t>
  </si>
  <si>
    <t>SV104 - 5577</t>
  </si>
  <si>
    <t>SV104-12403</t>
  </si>
  <si>
    <t>SV104-12404</t>
  </si>
  <si>
    <t>SV104-12405</t>
  </si>
  <si>
    <t>SV104-11065</t>
  </si>
  <si>
    <t>SV104-11066</t>
  </si>
  <si>
    <t>SV104-12406</t>
  </si>
  <si>
    <t>SV104-11067</t>
  </si>
  <si>
    <t>SV104-11068</t>
  </si>
  <si>
    <t>SV104-11069</t>
  </si>
  <si>
    <t xml:space="preserve">Over current Threshold will Decrease.
IC will trigger False overcurrent and disable output.
No output available at HV transformer board 
</t>
  </si>
  <si>
    <t>SV104-11070</t>
  </si>
  <si>
    <t>SV104 - 5578</t>
  </si>
  <si>
    <t>SV104-11071</t>
  </si>
  <si>
    <t>SV104 - 5579</t>
  </si>
  <si>
    <t xml:space="preserve">No immediate till the shorted duration.
Resistor will fail-open due to over-current. 
Gate driver PWM path will be broken.
No output available at HV transformer board.
</t>
  </si>
  <si>
    <t>SV104-11072</t>
  </si>
  <si>
    <t>SV104 - 5580</t>
  </si>
  <si>
    <t xml:space="preserve">One half bridge section will not have output.
Output of Full Bridge circuit will be 12 V at no load.
HV transformer board will have no output as soon as load is applied.
</t>
  </si>
  <si>
    <t>SV104-11073</t>
  </si>
  <si>
    <t>Both output are permanently low and then fault occurs that engages CLB.</t>
  </si>
  <si>
    <t>SV104 - 5581</t>
  </si>
  <si>
    <t>High side output is permanently low</t>
  </si>
  <si>
    <t>SV104-11074</t>
  </si>
  <si>
    <t>High side output is permanently low and then fault occurs that engages CLB.</t>
  </si>
  <si>
    <t>SV104 - 5582</t>
  </si>
  <si>
    <t>High side output is permanently high</t>
  </si>
  <si>
    <t>SV104-11075</t>
  </si>
  <si>
    <t>High side output is permanently high and then fault occurs that engages CLB.</t>
  </si>
  <si>
    <t>SV104 - 8908</t>
  </si>
  <si>
    <t>Low side output is permanently low</t>
  </si>
  <si>
    <t>SV104-11076</t>
  </si>
  <si>
    <t>Low side output is permanently low and then fault occurs that engages CLB.</t>
  </si>
  <si>
    <t>SV104 - 8909</t>
  </si>
  <si>
    <t>SV104-11077</t>
  </si>
  <si>
    <t>Low side output is permanently high. and then fault occurs that engages CLB.</t>
  </si>
  <si>
    <t>SV104 - 8910</t>
  </si>
  <si>
    <t>Both outputs are permanently high</t>
  </si>
  <si>
    <t>SV104-11078</t>
  </si>
  <si>
    <t>Both outputs are permanently high and then fault occurs that engages CLB.</t>
  </si>
  <si>
    <t>SV104 - 5583</t>
  </si>
  <si>
    <t>To suppress ripples and to provide decoupling</t>
  </si>
  <si>
    <t>Capacitor fails-open</t>
  </si>
  <si>
    <t>SV104-11079</t>
  </si>
  <si>
    <t>Capacitor fails-open and then fault occurs that engages CLB.</t>
  </si>
  <si>
    <t>SV104 - 5584</t>
  </si>
  <si>
    <t xml:space="preserve">Capacitor fails-short </t>
  </si>
  <si>
    <t>SV104-11080</t>
  </si>
  <si>
    <t>Capacitor fails-short  and then fault occurs that engages CLB.</t>
  </si>
  <si>
    <t>SV104 - 5585</t>
  </si>
  <si>
    <t>SV104 - 5586</t>
  </si>
  <si>
    <t>SV104 - 5587</t>
  </si>
  <si>
    <t>SV104 - 5588</t>
  </si>
  <si>
    <t>SV104-11081</t>
  </si>
  <si>
    <t>SV104-11082</t>
  </si>
  <si>
    <t>SV104-11083</t>
  </si>
  <si>
    <t>SV104-11084</t>
  </si>
  <si>
    <t>resistor fails-open  and then fault occurs that engages CLB.</t>
  </si>
  <si>
    <t>SV104-11085</t>
  </si>
  <si>
    <t>SV104-11086</t>
  </si>
  <si>
    <t>resistor fails-short  and then fault occurs that engages CLB.</t>
  </si>
  <si>
    <t>SV104-11087</t>
  </si>
  <si>
    <t>SV104-11088</t>
  </si>
  <si>
    <t>SV104-11089</t>
  </si>
  <si>
    <t>Capacitor fails-open  and then fault occurs that engages CLB.</t>
  </si>
  <si>
    <t>SV104-11090</t>
  </si>
  <si>
    <t>SV104-11091</t>
  </si>
  <si>
    <t>SV104 - 5589</t>
  </si>
  <si>
    <t>SV104 - 5590</t>
  </si>
  <si>
    <t xml:space="preserve">MOSFET fails-short </t>
  </si>
  <si>
    <t>SV104-11092</t>
  </si>
  <si>
    <t>SV104-11093</t>
  </si>
  <si>
    <t>Current over limit value will decrease down to half.
No immediate affect in normal condition but in case of overloaded condition current limit will be activated early.</t>
  </si>
  <si>
    <t>SV104-11094</t>
  </si>
  <si>
    <t>SV104-11095</t>
  </si>
  <si>
    <t>Both resistors fail open  and then fault occurs that engages CLB.</t>
  </si>
  <si>
    <t>SV104-11096</t>
  </si>
  <si>
    <t>No immediate effect in case of normal operations.
In case of any fault, overcurrent protection will not be available.</t>
  </si>
  <si>
    <t>SV104 - 5591</t>
  </si>
  <si>
    <t>Primary winding fails-open</t>
  </si>
  <si>
    <t>SV104-11097</t>
  </si>
  <si>
    <t>Primary winding fails-open and then fault occurs that engages CLB.</t>
  </si>
  <si>
    <t>SV104 - 5592</t>
  </si>
  <si>
    <t>Secondary winding fails-open</t>
  </si>
  <si>
    <t xml:space="preserve">No output will be available at HV transformer board.
</t>
  </si>
  <si>
    <t>SV104-11098</t>
  </si>
  <si>
    <t>Secondary winding fails-open and then fault occurs that engages CLB.</t>
  </si>
  <si>
    <t>SV104 - 5593</t>
  </si>
  <si>
    <t>SV104 - 5594</t>
  </si>
  <si>
    <t>SV104 - 6985</t>
  </si>
  <si>
    <t xml:space="preserve">Isolation Failure </t>
  </si>
  <si>
    <t xml:space="preserve">If failure is such that board cannot provide any level of isolation then it will damage CLB driver board driver board.
</t>
  </si>
  <si>
    <t>SV104-11099</t>
  </si>
  <si>
    <t>Isolation Failure  and then fault occurs that engages CLB.</t>
  </si>
  <si>
    <t>SV104 - 6986</t>
  </si>
  <si>
    <t>SV104-11100</t>
  </si>
  <si>
    <t>Auxiliary winding failure(Open) and then fault occurs that engages CLB.</t>
  </si>
  <si>
    <t>SV104 - 6987</t>
  </si>
  <si>
    <t xml:space="preserve">If failure is such that board cannot provide any level of isolation then it will damage CLB driver board.
</t>
  </si>
  <si>
    <t>SV104-11101</t>
  </si>
  <si>
    <t>Post insulator fails
 and then fault occurs that engages CLB.</t>
  </si>
  <si>
    <t>SV104 - 6988</t>
  </si>
  <si>
    <t>Partial discharge will start resulting in degradation of isolation barrier with the time.
Eventually degradation will reach  to a level where failure will occur and CLB driver board will get damaged.</t>
  </si>
  <si>
    <t>SV104-11102</t>
  </si>
  <si>
    <t>Potting crack or physical damage and then fault occurs that engages CLB.</t>
  </si>
  <si>
    <t>SV104 - 5595</t>
  </si>
  <si>
    <t xml:space="preserve">Diode fails-open
</t>
  </si>
  <si>
    <t>Output cut to half if half side is working.
.</t>
  </si>
  <si>
    <t>SV104-11103</t>
  </si>
  <si>
    <t>SV104 - 5596</t>
  </si>
  <si>
    <t xml:space="preserve">Diode fails-short 
</t>
  </si>
  <si>
    <t>SV104-11104</t>
  </si>
  <si>
    <t>SV104-11105</t>
  </si>
  <si>
    <t>SV104 - 5597</t>
  </si>
  <si>
    <t>SV104-11106</t>
  </si>
  <si>
    <t>SV104 - 5598</t>
  </si>
  <si>
    <t>SV104-11107</t>
  </si>
  <si>
    <t>SV104 - 5599</t>
  </si>
  <si>
    <t>SV104 - 5600</t>
  </si>
  <si>
    <t>SV104-11108</t>
  </si>
  <si>
    <t>SV104-11109</t>
  </si>
  <si>
    <t>SV104-11110</t>
  </si>
  <si>
    <t>SV104-11111</t>
  </si>
  <si>
    <t>SV104-11112</t>
  </si>
  <si>
    <t>SV104-11113</t>
  </si>
  <si>
    <t>SV104-11114</t>
  </si>
  <si>
    <t>SV104-11115</t>
  </si>
  <si>
    <t>SV104-11116</t>
  </si>
  <si>
    <t>SV104 - 5601</t>
  </si>
  <si>
    <t>Loose connection between heat sink and power component</t>
  </si>
  <si>
    <t>SV104-11117</t>
  </si>
  <si>
    <t>Loose connection between heat sink and power component and then fault occurs that engages CLB.</t>
  </si>
  <si>
    <t>SV104-11435</t>
  </si>
  <si>
    <t>SV104-11436</t>
  </si>
  <si>
    <t>Connector disconnected by external force and then fault occurs that engages CLB.</t>
  </si>
  <si>
    <t>SV104-11437</t>
  </si>
  <si>
    <t>SV104-11438</t>
  </si>
  <si>
    <t>Connector burned out and then fault occurs that engages CLB.</t>
  </si>
  <si>
    <t>SV104-11439</t>
  </si>
  <si>
    <t>SV104-11440</t>
  </si>
  <si>
    <t>SV104-11441</t>
  </si>
  <si>
    <t>SV104-11442</t>
  </si>
  <si>
    <t>SV104-11443</t>
  </si>
  <si>
    <t>SV104-11444</t>
  </si>
  <si>
    <t>SV104-11445</t>
  </si>
  <si>
    <t>SV104-11446</t>
  </si>
  <si>
    <t>SV104-11447</t>
  </si>
  <si>
    <t>SV104-11448</t>
  </si>
  <si>
    <t>SV104-11449</t>
  </si>
  <si>
    <t>SV104-11450</t>
  </si>
  <si>
    <t>SV104 - 6989</t>
  </si>
  <si>
    <t>Disconnected by external force</t>
  </si>
  <si>
    <t>SV104-11118</t>
  </si>
  <si>
    <t>SV104 - 6990</t>
  </si>
  <si>
    <t>SV104-11119</t>
  </si>
  <si>
    <t>Connector shorted and then fault occurs that engages CLB.</t>
  </si>
  <si>
    <t>HV Transformer Board for iiDCE Board</t>
  </si>
  <si>
    <t>SV104 - 5602</t>
  </si>
  <si>
    <t>If no other failure is observed on the board, iiDCE board will stay powered. 
Device can operate in both monitoring and injection mode</t>
  </si>
  <si>
    <t xml:space="preserve">Using components with industrial grade scale.
Choosing components with enough FIT rate to fulfil the product life requirements.
Redundant HV Transformer board to power-up iiDCE driver board. </t>
  </si>
  <si>
    <t>SV104 - 5603</t>
  </si>
  <si>
    <r>
      <t>Reverse polarity protection will be compromised during shortage.</t>
    </r>
    <r>
      <rPr>
        <sz val="10"/>
        <color rgb="FFFF0000"/>
        <rFont val="Arial"/>
        <family val="2"/>
      </rPr>
      <t xml:space="preserve">
</t>
    </r>
    <r>
      <rPr>
        <sz val="10"/>
        <rFont val="Arial"/>
        <family val="2"/>
      </rPr>
      <t xml:space="preserve">
Board will keep working normally if input is provided with correct polarity.</t>
    </r>
  </si>
  <si>
    <t>SV104 - 6991</t>
  </si>
  <si>
    <t>SV104 - 6992</t>
  </si>
  <si>
    <t>iiDCE will be unable to get power from redundant HVT board, but will get power from other HVT board (in sharing with clamp board).
Device can operate in both monitoring and injection mode.</t>
  </si>
  <si>
    <t>SV104 - 5604</t>
  </si>
  <si>
    <t>SV104 - 5605</t>
  </si>
  <si>
    <t>SV104 - 5606</t>
  </si>
  <si>
    <t xml:space="preserve">Using components with industrial grade scale.
Choosing components with enough FIT rate to fulfil the product life requirements.
RTV application on edges to stop water ingress.
Redundant HV Transformer board to power-up iiDCE driver board. </t>
  </si>
  <si>
    <t>SV104 - 5607</t>
  </si>
  <si>
    <t>SV104 - 5608</t>
  </si>
  <si>
    <t>SV104-11120</t>
  </si>
  <si>
    <t>SV104-11121</t>
  </si>
  <si>
    <t>SV104 - 5609</t>
  </si>
  <si>
    <t>SV104 - 5610</t>
  </si>
  <si>
    <t xml:space="preserve">Using components with industrial grade scale.
Choosing components with enough FIT rate to fulfil the product life requirements.
Conformal coating.
Redundant HV Transformer board to power-up iiDCE driver board. </t>
  </si>
  <si>
    <t>SV104-12407</t>
  </si>
  <si>
    <t>SV104 - 5611</t>
  </si>
  <si>
    <t>SV104 - 5612</t>
  </si>
  <si>
    <t>SV104 - 5613</t>
  </si>
  <si>
    <t>SV104 - 5614</t>
  </si>
  <si>
    <t>SV104-12408</t>
  </si>
  <si>
    <t>SV104-12409</t>
  </si>
  <si>
    <t>SV104-11122</t>
  </si>
  <si>
    <t>SV104-11123</t>
  </si>
  <si>
    <t>SV104 - 6993</t>
  </si>
  <si>
    <t>SV104 - 6994</t>
  </si>
  <si>
    <t>SV104 - 6995</t>
  </si>
  <si>
    <t>SV104 - 6996</t>
  </si>
  <si>
    <t>SV104 - 6997</t>
  </si>
  <si>
    <t>SV104 - 6998</t>
  </si>
  <si>
    <t xml:space="preserve">BJT will not turn on.
No output available at HV transformer board.
</t>
  </si>
  <si>
    <t>SV104 - 5615</t>
  </si>
  <si>
    <t>SV104 - 5616</t>
  </si>
  <si>
    <t>SV104 - 5617</t>
  </si>
  <si>
    <t xml:space="preserve">BJT will be permanently turned OFF.
Input power path will be broken.
No output available at HV transformer board.
</t>
  </si>
  <si>
    <t>SV104 - 5618</t>
  </si>
  <si>
    <t xml:space="preserve">24 V will be replicated at the emitter for the shorted duration, on-board ICs may get burn due to this over-voltage. 
BJT will eventually fail-open due to over-current. 
Input power path will be broken.
No output available at HV transformer board.
</t>
  </si>
  <si>
    <t>SV104 - 5619</t>
  </si>
  <si>
    <t>SV104 - 5620</t>
  </si>
  <si>
    <t>SV104 - 5621</t>
  </si>
  <si>
    <t>SV104 - 5622</t>
  </si>
  <si>
    <t>SV104 - 5623</t>
  </si>
  <si>
    <t>SV104 - 5624</t>
  </si>
  <si>
    <t>SV104 - 5625</t>
  </si>
  <si>
    <t xml:space="preserve">15 V regulator will keep on working from input side and will not turn off. Which will heat up the resistor on MOSFET Q6 drain and will burn out eventually.
No output available at HV transformer board.
</t>
  </si>
  <si>
    <t>SV104 - 5626</t>
  </si>
  <si>
    <t>SV104 - 6999</t>
  </si>
  <si>
    <t>SV104 - 7000</t>
  </si>
  <si>
    <t>SV104 - 7001</t>
  </si>
  <si>
    <t>SV104 - 7002</t>
  </si>
  <si>
    <t>SV104 - 7003</t>
  </si>
  <si>
    <t>SV104 - 7004</t>
  </si>
  <si>
    <t>SV104 - 7005</t>
  </si>
  <si>
    <t>SV104 - 7006</t>
  </si>
  <si>
    <t>SV104 - 5627</t>
  </si>
  <si>
    <t>SV104 - 5628</t>
  </si>
  <si>
    <t>SV104 - 5629</t>
  </si>
  <si>
    <t>SV104 - 5630</t>
  </si>
  <si>
    <t>SV104 - 5631</t>
  </si>
  <si>
    <t>SV104 - 5632</t>
  </si>
  <si>
    <t>SV104 - 5633</t>
  </si>
  <si>
    <t>SV104 - 5634</t>
  </si>
  <si>
    <t>SV104 - 5635</t>
  </si>
  <si>
    <t>SV104 - 5636</t>
  </si>
  <si>
    <t>SV104 - 5637</t>
  </si>
  <si>
    <t>SV104 - 5638</t>
  </si>
  <si>
    <t>SV104 - 5639</t>
  </si>
  <si>
    <t xml:space="preserve">Dead time between alternating PWMs will be altered (maximum).
1 PWM will be permanently high, while other will be permanently low.
Output of isolation transformer will not be available.
No output available at HV transformer board.
</t>
  </si>
  <si>
    <t>SV104 - 5640</t>
  </si>
  <si>
    <t>SV104 - 5641</t>
  </si>
  <si>
    <t>SV104 - 5642</t>
  </si>
  <si>
    <t>SV104 - 5643</t>
  </si>
  <si>
    <t>SV104 - 5644</t>
  </si>
  <si>
    <t>SV104 - 5645</t>
  </si>
  <si>
    <t>SV104 - 5646</t>
  </si>
  <si>
    <t>SV104 - 5647</t>
  </si>
  <si>
    <t>SV104 - 5648</t>
  </si>
  <si>
    <t>SV104 - 5649</t>
  </si>
  <si>
    <t>SV104 - 5650</t>
  </si>
  <si>
    <t>SV104 - 5651</t>
  </si>
  <si>
    <t>SV104-12410</t>
  </si>
  <si>
    <t>SV104-12411</t>
  </si>
  <si>
    <t>SV104-11124</t>
  </si>
  <si>
    <t>SV104-11125</t>
  </si>
  <si>
    <t>SV104-11126</t>
  </si>
  <si>
    <t>SV104-11127</t>
  </si>
  <si>
    <t>SV104 - 5652</t>
  </si>
  <si>
    <t xml:space="preserve">Gate driver PWM path will be broken.
No output available at HV transformer board.
</t>
  </si>
  <si>
    <t>SV104 - 5653</t>
  </si>
  <si>
    <t>SV104 - 5654</t>
  </si>
  <si>
    <t>SV104 - 5655</t>
  </si>
  <si>
    <t>SV104 - 5656</t>
  </si>
  <si>
    <t>SV104 - 8911</t>
  </si>
  <si>
    <t xml:space="preserve">Full bridge functionality will be disturbed.
No output will be available at HV transformer board as soon as load is applied.
. </t>
  </si>
  <si>
    <t>SV104 - 8912</t>
  </si>
  <si>
    <t xml:space="preserve">During times, when high side MOSFET of same half bridge will turn ON, HV DC line get shorted with ground.
Due to high current flow, power MOSFETs may get damaged.
Input side fuse will burn out and prevent cascading failures.
 </t>
  </si>
  <si>
    <t>SV104 - 8913</t>
  </si>
  <si>
    <t>SV104 - 5657</t>
  </si>
  <si>
    <t>SV104 - 5658</t>
  </si>
  <si>
    <t>SV104 - 5659</t>
  </si>
  <si>
    <t>SV104 - 5660</t>
  </si>
  <si>
    <t>SV104 - 5661</t>
  </si>
  <si>
    <t>SV104 - 5662</t>
  </si>
  <si>
    <t>SV104-11128</t>
  </si>
  <si>
    <t>SV104-11129</t>
  </si>
  <si>
    <t>SV104-11130</t>
  </si>
  <si>
    <t>SV104-11131</t>
  </si>
  <si>
    <t>SV104-11132</t>
  </si>
  <si>
    <t>SV104-11133</t>
  </si>
  <si>
    <t>SV104-11134</t>
  </si>
  <si>
    <t>SV104 - 5663</t>
  </si>
  <si>
    <t>SV104 - 5664</t>
  </si>
  <si>
    <t>SV104-11135</t>
  </si>
  <si>
    <t>SV104-11136</t>
  </si>
  <si>
    <t>SV104-11137</t>
  </si>
  <si>
    <t>SV104 - 5665</t>
  </si>
  <si>
    <t>SV104 - 5666</t>
  </si>
  <si>
    <t xml:space="preserve">No output will be available at HV transformer board.
</t>
  </si>
  <si>
    <t>SV104 - 5667</t>
  </si>
  <si>
    <t>SV104 - 5668</t>
  </si>
  <si>
    <t>SV104 - 7007</t>
  </si>
  <si>
    <t xml:space="preserve">If failure is such that board cannot provide any level of isolation then it will damage iiDCE board.
iiDCE board will not be powered up. 
</t>
  </si>
  <si>
    <t>SV104 - 7008</t>
  </si>
  <si>
    <t>No auxiliary voltage will be available.
Startup circuit will not shutdown eventually burn out.
No output will be available for HV-ISO board</t>
  </si>
  <si>
    <t>SV104 - 7009</t>
  </si>
  <si>
    <t xml:space="preserve">Insulator failure will not have impact during normal condition as it is to prevent early partial discharge during humid condition.
This will not impact bypass side board in any condition 
</t>
  </si>
  <si>
    <t>SV104 - 7010</t>
  </si>
  <si>
    <t>Partial discharge will start resulting in degradation of isolation barrier with the time.
No immediate effect as will not be critical as isolation of even 400 Vrms will be enough.</t>
  </si>
  <si>
    <t>SV104 - 5669</t>
  </si>
  <si>
    <t>SV104 - 5670</t>
  </si>
  <si>
    <t>SV104 - 5671</t>
  </si>
  <si>
    <t>SV104 - 5672</t>
  </si>
  <si>
    <t>SV104 - 5673</t>
  </si>
  <si>
    <t>SV104 - 5674</t>
  </si>
  <si>
    <t>SV104-11138</t>
  </si>
  <si>
    <t>SV104-11139</t>
  </si>
  <si>
    <t>SV104-11140</t>
  </si>
  <si>
    <t>SV104-11141</t>
  </si>
  <si>
    <t>SV104-11142</t>
  </si>
  <si>
    <t>SV104-11143</t>
  </si>
  <si>
    <t>SV104 - 5675</t>
  </si>
  <si>
    <t>SV104-11451</t>
  </si>
  <si>
    <t>SV104-11452</t>
  </si>
  <si>
    <t>SV104-11453</t>
  </si>
  <si>
    <t>SV104-11454</t>
  </si>
  <si>
    <t>SV104-11455</t>
  </si>
  <si>
    <t>SV104-11456</t>
  </si>
  <si>
    <t>SV104-11457</t>
  </si>
  <si>
    <t>SV104-11458</t>
  </si>
  <si>
    <t>SV104 - 7011</t>
  </si>
  <si>
    <t xml:space="preserve">No output available at HV transformer board.
Redundant power to one of the iiDCE board will be cut-off. </t>
  </si>
  <si>
    <t>SV104 - 7012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</si>
</sst>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409]d\-mmm\-yy;@"/>
    <numFmt numFmtId="165" formatCode="0.0"/>
  </numFmts>
  <fonts count="39" x14ac:knownFonts="1">
    <font>
      <sz val="10"/>
      <name val="Arial"/>
    </font>
    <font>
      <sz val="10"/>
      <color theme="1"/>
      <name val="Arial"/>
      <family val="2"/>
    </font>
    <font>
      <sz val="11"/>
      <color theme="1"/>
      <name val="Calibri"/>
      <family val="2"/>
      <scheme val="minor"/>
    </font>
    <font>
      <sz val="11"/>
      <color theme="1"/>
      <name val="Calibri"/>
      <family val="2"/>
      <scheme val="minor"/>
    </font>
    <font>
      <sz val="10"/>
      <name val="Arial"/>
      <family val="2"/>
    </font>
    <font>
      <b/>
      <sz val="10"/>
      <name val="Arial"/>
      <family val="2"/>
    </font>
    <font>
      <b/>
      <sz val="16"/>
      <name val="Arial"/>
      <family val="2"/>
    </font>
    <font>
      <sz val="16"/>
      <name val="Arial"/>
      <family val="2"/>
    </font>
    <font>
      <sz val="8"/>
      <name val="Arial"/>
      <family val="2"/>
    </font>
    <font>
      <b/>
      <sz val="12"/>
      <name val="Arial"/>
      <family val="2"/>
    </font>
    <font>
      <sz val="12"/>
      <name val="Arial"/>
      <family val="2"/>
    </font>
    <font>
      <b/>
      <i/>
      <sz val="16"/>
      <name val="Arial"/>
      <family val="2"/>
    </font>
    <font>
      <sz val="12"/>
      <name val="Calibri"/>
      <family val="2"/>
    </font>
    <font>
      <vertAlign val="subscript"/>
      <sz val="12"/>
      <name val="Arial"/>
      <family val="2"/>
    </font>
    <font>
      <vertAlign val="subscript"/>
      <sz val="12"/>
      <name val="Calibri"/>
      <family val="2"/>
    </font>
    <font>
      <sz val="14"/>
      <name val="Calibri"/>
      <family val="2"/>
    </font>
    <font>
      <sz val="14"/>
      <name val="Arial"/>
      <family val="2"/>
    </font>
    <font>
      <sz val="10"/>
      <color rgb="FF9C6500"/>
      <name val="Arial"/>
      <family val="2"/>
    </font>
    <font>
      <b/>
      <sz val="14"/>
      <name val="Arial"/>
      <family val="2"/>
    </font>
    <font>
      <sz val="8"/>
      <name val="Verdana"/>
      <family val="2"/>
    </font>
    <font>
      <b/>
      <sz val="12"/>
      <color theme="0"/>
      <name val="Arial"/>
      <family val="2"/>
    </font>
    <font>
      <b/>
      <sz val="16"/>
      <color theme="0"/>
      <name val="Arial"/>
      <family val="2"/>
    </font>
    <font>
      <b/>
      <sz val="9.5"/>
      <name val="Arial"/>
      <family val="2"/>
    </font>
    <font>
      <sz val="12"/>
      <color theme="1"/>
      <name val="Arial"/>
      <family val="2"/>
    </font>
    <font>
      <b/>
      <sz val="12"/>
      <color theme="1"/>
      <name val="Arial"/>
      <family val="2"/>
    </font>
    <font>
      <b/>
      <i/>
      <sz val="16"/>
      <color theme="0"/>
      <name val="Arial"/>
      <family val="2"/>
    </font>
    <font>
      <u/>
      <sz val="10"/>
      <color theme="10"/>
      <name val="Arial"/>
      <family val="2"/>
    </font>
    <font>
      <sz val="10"/>
      <color rgb="FFFF0000"/>
      <name val="Arial"/>
      <family val="2"/>
    </font>
    <font>
      <strike/>
      <sz val="10"/>
      <name val="Arial"/>
      <family val="2"/>
    </font>
    <font>
      <b/>
      <i/>
      <strike/>
      <sz val="16"/>
      <name val="Arial"/>
      <family val="2"/>
    </font>
    <font>
      <strike/>
      <sz val="10"/>
      <color rgb="FFFF0000"/>
      <name val="Arial"/>
      <family val="2"/>
    </font>
    <font>
      <sz val="10"/>
      <color theme="1" tint="4.9989318521683403E-2"/>
      <name val="Arial"/>
      <family val="2"/>
    </font>
    <font>
      <sz val="10"/>
      <color rgb="FFF05026"/>
      <name val="Arial"/>
      <family val="2"/>
    </font>
    <font>
      <strike/>
      <sz val="10"/>
      <color rgb="FFF05026"/>
      <name val="Arial"/>
      <family val="2"/>
    </font>
    <font>
      <sz val="10"/>
      <color theme="1"/>
      <name val="Arial"/>
      <family val="2"/>
    </font>
    <font>
      <sz val="10"/>
      <color rgb="FF000000"/>
      <name val="Arial"/>
      <family val="2"/>
    </font>
    <font>
      <strike/>
      <sz val="10"/>
      <color rgb="FF000000"/>
      <name val="Arial"/>
      <family val="2"/>
    </font>
    <font>
      <b/>
      <i/>
      <sz val="16"/>
      <color rgb="FF000000"/>
      <name val="Arial"/>
      <family val="2"/>
    </font>
    <font>
      <i/>
      <sz val="10"/>
      <color rgb="FF000000"/>
      <name val="Arial"/>
      <family val="2"/>
    </font>
  </fonts>
  <fills count="2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0"/>
        <bgColor indexed="64"/>
      </patternFill>
    </fill>
    <fill>
      <patternFill patternType="solid">
        <fgColor indexed="52"/>
        <bgColor indexed="64"/>
      </patternFill>
    </fill>
    <fill>
      <patternFill patternType="solid">
        <fgColor indexed="43"/>
        <bgColor indexed="64"/>
      </patternFill>
    </fill>
    <fill>
      <patternFill patternType="solid">
        <fgColor indexed="57"/>
        <bgColor indexed="64"/>
      </patternFill>
    </fill>
    <fill>
      <patternFill patternType="solid">
        <fgColor indexed="13"/>
        <bgColor indexed="64"/>
      </patternFill>
    </fill>
    <fill>
      <patternFill patternType="solid">
        <fgColor indexed="42"/>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249977111117893"/>
        <bgColor indexed="64"/>
      </patternFill>
    </fill>
    <fill>
      <patternFill patternType="solid">
        <fgColor rgb="FFFFEB9C"/>
      </patternFill>
    </fill>
    <fill>
      <patternFill patternType="solid">
        <fgColor theme="0" tint="-0.34998626667073579"/>
        <bgColor indexed="64"/>
      </patternFill>
    </fill>
    <fill>
      <patternFill patternType="solid">
        <fgColor rgb="FF3D6DA1"/>
        <bgColor indexed="64"/>
      </patternFill>
    </fill>
    <fill>
      <patternFill patternType="solid">
        <fgColor rgb="FFF2900E"/>
        <bgColor indexed="64"/>
      </patternFill>
    </fill>
    <fill>
      <patternFill patternType="solid">
        <fgColor theme="0" tint="-0.14999847407452621"/>
        <bgColor indexed="64"/>
      </patternFill>
    </fill>
    <fill>
      <patternFill patternType="solid">
        <fgColor rgb="FF314672"/>
        <bgColor indexed="64"/>
      </patternFill>
    </fill>
    <fill>
      <patternFill patternType="solid">
        <fgColor theme="3" tint="0.79998168889431442"/>
        <bgColor indexed="64"/>
      </patternFill>
    </fill>
    <fill>
      <patternFill patternType="solid">
        <fgColor rgb="FFFFFFCC"/>
        <bgColor indexed="64"/>
      </patternFill>
    </fill>
    <fill>
      <patternFill patternType="solid">
        <fgColor rgb="FFFFFFFF"/>
        <bgColor indexed="64"/>
      </patternFill>
    </fill>
    <fill>
      <patternFill patternType="solid">
        <fgColor rgb="FFFFFFFF"/>
        <bgColor rgb="FF000000"/>
      </patternFill>
    </fill>
  </fills>
  <borders count="110">
    <border>
      <left/>
      <right/>
      <top/>
      <bottom/>
      <diagonal/>
    </border>
    <border>
      <left style="thin">
        <color indexed="64"/>
      </left>
      <right style="thin">
        <color indexed="64"/>
      </right>
      <top style="thin">
        <color indexed="64"/>
      </top>
      <bottom style="thin">
        <color indexed="64"/>
      </bottom>
      <diagonal/>
    </border>
    <border>
      <left/>
      <right/>
      <top style="thin">
        <color indexed="55"/>
      </top>
      <bottom style="thin">
        <color indexed="55"/>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medium">
        <color indexed="64"/>
      </right>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right style="medium">
        <color indexed="64"/>
      </right>
      <top style="medium">
        <color indexed="64"/>
      </top>
      <bottom style="double">
        <color indexed="64"/>
      </bottom>
      <diagonal/>
    </border>
    <border>
      <left/>
      <right style="thin">
        <color indexed="64"/>
      </right>
      <top/>
      <bottom/>
      <diagonal/>
    </border>
    <border>
      <left style="thin">
        <color indexed="64"/>
      </left>
      <right/>
      <top style="thin">
        <color indexed="64"/>
      </top>
      <bottom/>
      <diagonal/>
    </border>
    <border>
      <left style="medium">
        <color indexed="64"/>
      </left>
      <right style="thin">
        <color indexed="64"/>
      </right>
      <top style="double">
        <color indexed="64"/>
      </top>
      <bottom/>
      <diagonal/>
    </border>
    <border>
      <left style="thin">
        <color indexed="64"/>
      </left>
      <right style="thin">
        <color indexed="64"/>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theme="1"/>
      </right>
      <top/>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1" tint="0.499984740745262"/>
      </right>
      <top style="medium">
        <color theme="0" tint="-0.499984740745262"/>
      </top>
      <bottom style="medium">
        <color theme="0" tint="-0.499984740745262"/>
      </bottom>
      <diagonal/>
    </border>
    <border>
      <left style="medium">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thin">
        <color theme="0" tint="-0.499984740745262"/>
      </right>
      <top style="medium">
        <color theme="0" tint="-0.499984740745262"/>
      </top>
      <bottom style="medium">
        <color theme="0" tint="-0.499984740745262"/>
      </bottom>
      <diagonal/>
    </border>
    <border>
      <left style="thin">
        <color theme="0" tint="-0.499984740745262"/>
      </left>
      <right style="medium">
        <color theme="1" tint="0.499984740745262"/>
      </right>
      <top style="medium">
        <color theme="0" tint="-0.499984740745262"/>
      </top>
      <bottom style="medium">
        <color theme="0" tint="-0.499984740745262"/>
      </bottom>
      <diagonal/>
    </border>
    <border>
      <left/>
      <right style="thin">
        <color theme="1"/>
      </right>
      <top style="thin">
        <color theme="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double">
        <color indexed="64"/>
      </bottom>
      <diagonal/>
    </border>
    <border>
      <left style="medium">
        <color theme="0" tint="-0.499984740745262"/>
      </left>
      <right style="thin">
        <color theme="0" tint="-0.24994659260841701"/>
      </right>
      <top style="medium">
        <color theme="0" tint="-0.499984740745262"/>
      </top>
      <bottom/>
      <diagonal/>
    </border>
    <border>
      <left style="thin">
        <color theme="0" tint="-0.24994659260841701"/>
      </left>
      <right style="thin">
        <color theme="0" tint="-0.24994659260841701"/>
      </right>
      <top style="medium">
        <color theme="0" tint="-0.499984740745262"/>
      </top>
      <bottom/>
      <diagonal/>
    </border>
    <border>
      <left style="thin">
        <color theme="0" tint="-0.24994659260841701"/>
      </left>
      <right style="medium">
        <color theme="1" tint="0.499984740745262"/>
      </right>
      <top style="medium">
        <color theme="0" tint="-0.499984740745262"/>
      </top>
      <bottom/>
      <diagonal/>
    </border>
    <border>
      <left style="medium">
        <color theme="0" tint="-0.499984740745262"/>
      </left>
      <right style="thin">
        <color theme="0" tint="-0.24994659260841701"/>
      </right>
      <top/>
      <bottom style="medium">
        <color theme="0" tint="-0.499984740745262"/>
      </bottom>
      <diagonal/>
    </border>
    <border>
      <left style="medium">
        <color theme="1" tint="0.499984740745262"/>
      </left>
      <right/>
      <top style="medium">
        <color theme="1" tint="0.499984740745262"/>
      </top>
      <bottom style="medium">
        <color theme="1" tint="0.499984740745262"/>
      </bottom>
      <diagonal/>
    </border>
    <border>
      <left/>
      <right/>
      <top style="medium">
        <color theme="1" tint="0.499984740745262"/>
      </top>
      <bottom style="medium">
        <color theme="1" tint="0.499984740745262"/>
      </bottom>
      <diagonal/>
    </border>
    <border>
      <left/>
      <right style="medium">
        <color theme="1" tint="0.499984740745262"/>
      </right>
      <top style="medium">
        <color theme="1" tint="0.499984740745262"/>
      </top>
      <bottom style="medium">
        <color theme="1" tint="0.499984740745262"/>
      </bottom>
      <diagonal/>
    </border>
    <border>
      <left style="medium">
        <color theme="1" tint="0.499984740745262"/>
      </left>
      <right style="thin">
        <color theme="1" tint="0.499984740745262"/>
      </right>
      <top style="medium">
        <color theme="1" tint="0.499984740745262"/>
      </top>
      <bottom style="thin">
        <color theme="0" tint="-0.499984740745262"/>
      </bottom>
      <diagonal/>
    </border>
    <border>
      <left style="thin">
        <color theme="1" tint="0.499984740745262"/>
      </left>
      <right/>
      <top style="medium">
        <color theme="1" tint="0.499984740745262"/>
      </top>
      <bottom style="thin">
        <color theme="0" tint="-0.499984740745262"/>
      </bottom>
      <diagonal/>
    </border>
    <border>
      <left/>
      <right style="medium">
        <color theme="1" tint="0.499984740745262"/>
      </right>
      <top style="medium">
        <color theme="1" tint="0.499984740745262"/>
      </top>
      <bottom style="thin">
        <color theme="0" tint="-0.499984740745262"/>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top style="thin">
        <color theme="0" tint="-0.499984740745262"/>
      </top>
      <bottom style="medium">
        <color theme="1" tint="0.499984740745262"/>
      </bottom>
      <diagonal/>
    </border>
    <border>
      <left/>
      <right style="medium">
        <color theme="1" tint="0.499984740745262"/>
      </right>
      <top style="thin">
        <color theme="0" tint="-0.499984740745262"/>
      </top>
      <bottom style="medium">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
      <left/>
      <right/>
      <top/>
      <bottom style="medium">
        <color theme="0" tint="-0.499984740745262"/>
      </bottom>
      <diagonal/>
    </border>
    <border>
      <left style="thin">
        <color theme="0" tint="-0.24994659260841701"/>
      </left>
      <right style="medium">
        <color theme="1" tint="0.499984740745262"/>
      </right>
      <top/>
      <bottom style="medium">
        <color theme="0" tint="-0.499984740745262"/>
      </bottom>
      <diagonal/>
    </border>
    <border>
      <left/>
      <right/>
      <top style="thin">
        <color indexed="64"/>
      </top>
      <bottom style="thin">
        <color indexed="64"/>
      </bottom>
      <diagonal/>
    </border>
    <border>
      <left/>
      <right style="thin">
        <color theme="0" tint="-0.499984740745262"/>
      </right>
      <top style="medium">
        <color theme="0" tint="-0.499984740745262"/>
      </top>
      <bottom style="medium">
        <color theme="0" tint="-0.499984740745262"/>
      </bottom>
      <diagonal/>
    </border>
    <border>
      <left/>
      <right style="thin">
        <color theme="0" tint="-0.24994659260841701"/>
      </right>
      <top style="medium">
        <color theme="0" tint="-0.499984740745262"/>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top style="medium">
        <color theme="0" tint="-0.499984740745262"/>
      </top>
      <bottom/>
      <diagonal/>
    </border>
    <border>
      <left style="thin">
        <color indexed="64"/>
      </left>
      <right style="thin">
        <color indexed="64"/>
      </right>
      <top style="medium">
        <color theme="0" tint="-0.499984740745262"/>
      </top>
      <bottom style="thin">
        <color indexed="64"/>
      </bottom>
      <diagonal/>
    </border>
    <border>
      <left style="thin">
        <color indexed="64"/>
      </left>
      <right style="medium">
        <color theme="1" tint="0.499984740745262"/>
      </right>
      <top style="medium">
        <color theme="0" tint="-0.499984740745262"/>
      </top>
      <bottom style="thin">
        <color indexed="64"/>
      </bottom>
      <diagonal/>
    </border>
    <border>
      <left style="thin">
        <color theme="0" tint="-0.24994659260841701"/>
      </left>
      <right style="thin">
        <color theme="0" tint="-0.24994659260841701"/>
      </right>
      <top/>
      <bottom/>
      <diagonal/>
    </border>
    <border>
      <left style="thin">
        <color theme="0" tint="-0.24994659260841701"/>
      </left>
      <right style="medium">
        <color theme="1" tint="0.499984740745262"/>
      </right>
      <top/>
      <bottom/>
      <diagonal/>
    </border>
    <border>
      <left style="thin">
        <color theme="0" tint="-0.24994659260841701"/>
      </left>
      <right style="medium">
        <color theme="1" tint="0.499984740745262"/>
      </right>
      <top style="medium">
        <color theme="0" tint="-0.499984740745262"/>
      </top>
      <bottom style="thin">
        <color theme="0" tint="-0.24994659260841701"/>
      </bottom>
      <diagonal/>
    </border>
    <border>
      <left style="medium">
        <color indexed="64"/>
      </left>
      <right style="thin">
        <color indexed="64"/>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style="medium">
        <color indexed="64"/>
      </bottom>
      <diagonal/>
    </border>
    <border>
      <left style="medium">
        <color theme="0" tint="-0.499984740745262"/>
      </left>
      <right style="thin">
        <color theme="0" tint="-0.24994659260841701"/>
      </right>
      <top style="medium">
        <color theme="0" tint="-0.499984740745262"/>
      </top>
      <bottom style="medium">
        <color theme="0" tint="-0.499984740745262"/>
      </bottom>
      <diagonal/>
    </border>
    <border>
      <left style="thin">
        <color theme="0" tint="-0.24994659260841701"/>
      </left>
      <right style="thin">
        <color theme="0" tint="-0.24994659260841701"/>
      </right>
      <top style="medium">
        <color theme="0" tint="-0.499984740745262"/>
      </top>
      <bottom style="medium">
        <color theme="0" tint="-0.499984740745262"/>
      </bottom>
      <diagonal/>
    </border>
    <border>
      <left/>
      <right style="medium">
        <color indexed="64"/>
      </right>
      <top/>
      <bottom/>
      <diagonal/>
    </border>
    <border>
      <left style="thin">
        <color indexed="64"/>
      </left>
      <right style="thin">
        <color theme="1"/>
      </right>
      <top style="thin">
        <color indexed="64"/>
      </top>
      <bottom/>
      <diagonal/>
    </border>
    <border>
      <left style="thin">
        <color indexed="64"/>
      </left>
      <right style="thin">
        <color theme="1"/>
      </right>
      <top/>
      <bottom style="medium">
        <color indexed="64"/>
      </bottom>
      <diagonal/>
    </border>
  </borders>
  <cellStyleXfs count="10">
    <xf numFmtId="0" fontId="0" fillId="0" borderId="0"/>
    <xf numFmtId="0" fontId="17" fillId="17" borderId="0" applyNumberFormat="0" applyBorder="0" applyAlignment="0" applyProtection="0"/>
    <xf numFmtId="0" fontId="4" fillId="0" borderId="0" applyNumberFormat="0" applyBorder="0" applyAlignment="0" applyProtection="0"/>
    <xf numFmtId="43" fontId="4" fillId="0" borderId="0" applyFont="0" applyFill="0" applyBorder="0" applyAlignment="0" applyProtection="0"/>
    <xf numFmtId="0" fontId="1" fillId="23" borderId="0" applyNumberFormat="0" applyBorder="0" applyAlignment="0" applyProtection="0"/>
    <xf numFmtId="0" fontId="3" fillId="0" borderId="0"/>
    <xf numFmtId="0" fontId="17" fillId="17" borderId="0" applyNumberFormat="0" applyBorder="0" applyAlignment="0" applyProtection="0"/>
    <xf numFmtId="0" fontId="32" fillId="24" borderId="1" applyNumberFormat="0" applyBorder="0" applyAlignment="0" applyProtection="0"/>
    <xf numFmtId="0" fontId="26" fillId="0" borderId="0" applyNumberFormat="0" applyFill="0" applyBorder="0" applyAlignment="0" applyProtection="0"/>
    <xf numFmtId="0" fontId="2" fillId="0" borderId="0"/>
  </cellStyleXfs>
  <cellXfs count="614">
    <xf numFmtId="0" fontId="0" fillId="0" borderId="0" xfId="0"/>
    <xf numFmtId="0" fontId="0" fillId="2" borderId="2" xfId="0" applyFill="1" applyBorder="1"/>
    <xf numFmtId="0" fontId="9" fillId="2" borderId="2" xfId="0" applyFont="1" applyFill="1" applyBorder="1"/>
    <xf numFmtId="0" fontId="0" fillId="0" borderId="0" xfId="0"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0" fillId="0" borderId="26" xfId="0" applyBorder="1"/>
    <xf numFmtId="0" fontId="0" fillId="0" borderId="27" xfId="0" applyBorder="1"/>
    <xf numFmtId="0" fontId="16" fillId="7" borderId="24" xfId="0" applyFont="1" applyFill="1" applyBorder="1" applyAlignment="1">
      <alignment horizontal="center" vertical="center"/>
    </xf>
    <xf numFmtId="0" fontId="16" fillId="8" borderId="24"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6" xfId="0" applyFont="1" applyFill="1" applyBorder="1" applyAlignment="1">
      <alignment horizontal="center" vertical="center"/>
    </xf>
    <xf numFmtId="0" fontId="16" fillId="4" borderId="7" xfId="0" applyFont="1" applyFill="1" applyBorder="1" applyAlignment="1">
      <alignment horizontal="center" vertical="center"/>
    </xf>
    <xf numFmtId="0" fontId="16" fillId="7" borderId="21" xfId="0" applyFont="1" applyFill="1" applyBorder="1" applyAlignment="1">
      <alignment horizontal="center" vertical="center"/>
    </xf>
    <xf numFmtId="0" fontId="16" fillId="8" borderId="17" xfId="0" applyFont="1" applyFill="1" applyBorder="1" applyAlignment="1">
      <alignment horizontal="center" vertical="center"/>
    </xf>
    <xf numFmtId="0" fontId="16" fillId="8" borderId="15" xfId="0" applyFont="1" applyFill="1" applyBorder="1" applyAlignment="1">
      <alignment horizontal="center" vertical="center"/>
    </xf>
    <xf numFmtId="0" fontId="16" fillId="4" borderId="25" xfId="0" applyFont="1" applyFill="1" applyBorder="1" applyAlignment="1">
      <alignment horizontal="center" vertical="center"/>
    </xf>
    <xf numFmtId="0" fontId="16" fillId="4" borderId="9" xfId="0" applyFont="1" applyFill="1" applyBorder="1" applyAlignment="1">
      <alignment horizontal="center" vertical="center"/>
    </xf>
    <xf numFmtId="0" fontId="16" fillId="7" borderId="10" xfId="0" applyFont="1" applyFill="1" applyBorder="1" applyAlignment="1">
      <alignment horizontal="center" vertical="center"/>
    </xf>
    <xf numFmtId="0" fontId="16" fillId="7" borderId="7" xfId="0" applyFont="1" applyFill="1" applyBorder="1" applyAlignment="1">
      <alignment horizontal="center" vertical="center"/>
    </xf>
    <xf numFmtId="0" fontId="16" fillId="4" borderId="23" xfId="0" applyFont="1" applyFill="1" applyBorder="1" applyAlignment="1">
      <alignment horizontal="center" vertical="center"/>
    </xf>
    <xf numFmtId="0" fontId="16" fillId="7" borderId="1" xfId="0" applyFont="1" applyFill="1" applyBorder="1" applyAlignment="1">
      <alignment horizontal="center" vertical="center"/>
    </xf>
    <xf numFmtId="0" fontId="16" fillId="8" borderId="28" xfId="0" applyFont="1" applyFill="1" applyBorder="1" applyAlignment="1">
      <alignment horizontal="center" vertical="center"/>
    </xf>
    <xf numFmtId="0" fontId="16" fillId="7" borderId="25" xfId="0" applyFont="1" applyFill="1" applyBorder="1" applyAlignment="1">
      <alignment horizontal="center" vertical="center"/>
    </xf>
    <xf numFmtId="0" fontId="16" fillId="7" borderId="19" xfId="0" applyFont="1" applyFill="1" applyBorder="1" applyAlignment="1">
      <alignment horizontal="center" vertical="center"/>
    </xf>
    <xf numFmtId="0" fontId="16" fillId="7" borderId="4" xfId="0" applyFont="1" applyFill="1" applyBorder="1" applyAlignment="1">
      <alignment horizontal="center" vertical="center"/>
    </xf>
    <xf numFmtId="0" fontId="16" fillId="9" borderId="5" xfId="0" applyFont="1" applyFill="1" applyBorder="1" applyAlignment="1">
      <alignment horizontal="center" vertical="center"/>
    </xf>
    <xf numFmtId="0" fontId="16" fillId="8" borderId="29" xfId="0" applyFont="1" applyFill="1" applyBorder="1" applyAlignment="1">
      <alignment horizontal="center" vertical="center"/>
    </xf>
    <xf numFmtId="0" fontId="16" fillId="0" borderId="0" xfId="0" applyFont="1"/>
    <xf numFmtId="0" fontId="5" fillId="11" borderId="6" xfId="0" applyFont="1" applyFill="1" applyBorder="1" applyAlignment="1">
      <alignment horizontal="center" vertical="center"/>
    </xf>
    <xf numFmtId="0" fontId="5" fillId="11" borderId="1" xfId="0" applyFont="1" applyFill="1" applyBorder="1" applyAlignment="1">
      <alignment horizontal="center" vertical="center"/>
    </xf>
    <xf numFmtId="0" fontId="5" fillId="11" borderId="7" xfId="0" applyFont="1" applyFill="1" applyBorder="1" applyAlignment="1">
      <alignment horizontal="center" vertical="center"/>
    </xf>
    <xf numFmtId="0" fontId="5" fillId="11" borderId="9" xfId="0" applyFont="1" applyFill="1" applyBorder="1" applyAlignment="1">
      <alignment horizontal="center" vertical="center"/>
    </xf>
    <xf numFmtId="0" fontId="5" fillId="12" borderId="1" xfId="0" applyFont="1" applyFill="1" applyBorder="1" applyAlignment="1">
      <alignment horizontal="center" vertical="center"/>
    </xf>
    <xf numFmtId="0" fontId="5" fillId="12" borderId="9" xfId="0" applyFont="1" applyFill="1" applyBorder="1" applyAlignment="1">
      <alignment horizontal="center" vertical="center"/>
    </xf>
    <xf numFmtId="0" fontId="5" fillId="13" borderId="1" xfId="0" applyFont="1" applyFill="1" applyBorder="1" applyAlignment="1">
      <alignment horizontal="center" vertical="center"/>
    </xf>
    <xf numFmtId="0" fontId="5" fillId="13" borderId="9" xfId="0" applyFont="1" applyFill="1" applyBorder="1" applyAlignment="1">
      <alignment horizontal="center" vertical="center"/>
    </xf>
    <xf numFmtId="0" fontId="5" fillId="13" borderId="6" xfId="0" applyFont="1" applyFill="1" applyBorder="1" applyAlignment="1">
      <alignment horizontal="center" vertical="center"/>
    </xf>
    <xf numFmtId="0" fontId="5" fillId="10" borderId="8" xfId="0" applyFont="1" applyFill="1" applyBorder="1" applyAlignment="1">
      <alignment horizontal="center" vertical="center"/>
    </xf>
    <xf numFmtId="0" fontId="5" fillId="10" borderId="10" xfId="0" applyFont="1" applyFill="1" applyBorder="1" applyAlignment="1">
      <alignment horizontal="center" vertical="center"/>
    </xf>
    <xf numFmtId="0" fontId="5" fillId="10" borderId="25"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19" xfId="0" applyFont="1" applyFill="1" applyBorder="1" applyAlignment="1">
      <alignment horizontal="center" vertical="center"/>
    </xf>
    <xf numFmtId="0" fontId="5" fillId="10" borderId="9" xfId="0" applyFont="1" applyFill="1" applyBorder="1" applyAlignment="1">
      <alignment horizontal="center" vertical="center"/>
    </xf>
    <xf numFmtId="0" fontId="5" fillId="10" borderId="20" xfId="0" applyFont="1" applyFill="1" applyBorder="1" applyAlignment="1">
      <alignment horizontal="center" vertical="center"/>
    </xf>
    <xf numFmtId="0" fontId="0" fillId="0" borderId="0" xfId="0" applyAlignment="1">
      <alignment horizontal="right"/>
    </xf>
    <xf numFmtId="0" fontId="10" fillId="0" borderId="0" xfId="0" applyFont="1" applyAlignment="1">
      <alignment vertical="center" wrapText="1"/>
    </xf>
    <xf numFmtId="0" fontId="9" fillId="0" borderId="16" xfId="0" applyFont="1" applyBorder="1" applyAlignment="1">
      <alignment horizontal="center" vertical="center"/>
    </xf>
    <xf numFmtId="49" fontId="7" fillId="0" borderId="16" xfId="0" applyNumberFormat="1" applyFont="1" applyBorder="1" applyAlignment="1">
      <alignment horizontal="center" vertical="center"/>
    </xf>
    <xf numFmtId="0" fontId="10" fillId="0" borderId="54" xfId="0" applyFont="1" applyBorder="1" applyAlignment="1">
      <alignment vertical="center" wrapText="1"/>
    </xf>
    <xf numFmtId="49" fontId="7" fillId="0" borderId="17" xfId="0" applyNumberFormat="1" applyFont="1" applyBorder="1" applyAlignment="1">
      <alignment horizontal="center" vertical="center"/>
    </xf>
    <xf numFmtId="0" fontId="10" fillId="0" borderId="14" xfId="0" applyFont="1" applyBorder="1" applyAlignment="1">
      <alignment horizontal="left" vertical="center" wrapText="1"/>
    </xf>
    <xf numFmtId="0" fontId="10" fillId="0" borderId="47" xfId="0" applyFont="1" applyBorder="1" applyAlignment="1">
      <alignment vertical="center" wrapText="1"/>
    </xf>
    <xf numFmtId="0" fontId="10" fillId="0" borderId="54" xfId="0" applyFont="1" applyBorder="1" applyAlignment="1">
      <alignment horizontal="center" vertical="center" wrapText="1"/>
    </xf>
    <xf numFmtId="0" fontId="9" fillId="0" borderId="17" xfId="0" applyFont="1" applyBorder="1" applyAlignment="1">
      <alignment horizontal="center" vertical="center"/>
    </xf>
    <xf numFmtId="0" fontId="10" fillId="0" borderId="14" xfId="0" applyFont="1" applyBorder="1" applyAlignment="1">
      <alignment horizontal="center" vertical="center" wrapText="1"/>
    </xf>
    <xf numFmtId="0" fontId="10" fillId="0" borderId="47" xfId="0" applyFont="1" applyBorder="1" applyAlignment="1">
      <alignment horizontal="center" vertical="center" wrapText="1"/>
    </xf>
    <xf numFmtId="0" fontId="20" fillId="19" borderId="18" xfId="0" applyFont="1" applyFill="1" applyBorder="1" applyAlignment="1">
      <alignment horizontal="center"/>
    </xf>
    <xf numFmtId="0" fontId="20" fillId="19" borderId="12" xfId="0" applyFont="1" applyFill="1" applyBorder="1" applyAlignment="1">
      <alignment horizontal="center"/>
    </xf>
    <xf numFmtId="0" fontId="20" fillId="19" borderId="12" xfId="0" applyFont="1" applyFill="1" applyBorder="1" applyAlignment="1">
      <alignment horizontal="center" wrapText="1"/>
    </xf>
    <xf numFmtId="0" fontId="20" fillId="19" borderId="15" xfId="0" applyFont="1" applyFill="1" applyBorder="1" applyAlignment="1">
      <alignment horizontal="center"/>
    </xf>
    <xf numFmtId="0" fontId="9" fillId="15" borderId="1" xfId="0" applyFont="1" applyFill="1" applyBorder="1" applyAlignment="1">
      <alignment horizontal="center" vertical="center"/>
    </xf>
    <xf numFmtId="0" fontId="9" fillId="20" borderId="18" xfId="0" applyFont="1" applyFill="1" applyBorder="1" applyAlignment="1">
      <alignment horizontal="center" vertical="center"/>
    </xf>
    <xf numFmtId="0" fontId="9" fillId="20" borderId="12" xfId="0" applyFont="1" applyFill="1" applyBorder="1" applyAlignment="1">
      <alignment horizontal="center" vertical="center"/>
    </xf>
    <xf numFmtId="0" fontId="9" fillId="20" borderId="15" xfId="0" applyFont="1" applyFill="1" applyBorder="1" applyAlignment="1">
      <alignment horizontal="center" vertical="center"/>
    </xf>
    <xf numFmtId="0" fontId="4" fillId="0" borderId="0" xfId="0" applyFont="1"/>
    <xf numFmtId="0" fontId="0" fillId="2" borderId="0" xfId="0" applyFill="1"/>
    <xf numFmtId="0" fontId="5" fillId="0" borderId="0" xfId="0" applyFont="1"/>
    <xf numFmtId="0" fontId="4" fillId="0" borderId="15" xfId="1" applyFont="1" applyFill="1" applyBorder="1" applyAlignment="1">
      <alignment horizontal="left" vertical="top" wrapText="1"/>
    </xf>
    <xf numFmtId="0" fontId="9" fillId="0" borderId="48" xfId="2" applyFont="1" applyBorder="1" applyAlignment="1">
      <alignment horizontal="center" vertical="center" wrapText="1"/>
    </xf>
    <xf numFmtId="0" fontId="9" fillId="0" borderId="49" xfId="2" applyFont="1" applyBorder="1" applyAlignment="1">
      <alignment horizontal="center" vertical="center" wrapText="1"/>
    </xf>
    <xf numFmtId="0" fontId="9" fillId="0" borderId="28" xfId="2" applyFont="1" applyBorder="1" applyAlignment="1">
      <alignment horizontal="center" vertical="center" wrapText="1"/>
    </xf>
    <xf numFmtId="0" fontId="9" fillId="0" borderId="44" xfId="2" applyFont="1" applyBorder="1" applyAlignment="1">
      <alignment horizontal="center" vertical="center" wrapText="1"/>
    </xf>
    <xf numFmtId="0" fontId="9" fillId="0" borderId="46" xfId="2" applyFont="1" applyBorder="1" applyAlignment="1">
      <alignment horizontal="center" vertical="center" wrapText="1"/>
    </xf>
    <xf numFmtId="0" fontId="9" fillId="0" borderId="49" xfId="2" applyFont="1" applyBorder="1" applyAlignment="1">
      <alignment horizontal="center" vertical="center" textRotation="180"/>
    </xf>
    <xf numFmtId="0" fontId="9" fillId="3" borderId="28" xfId="2" applyFont="1" applyFill="1" applyBorder="1" applyAlignment="1">
      <alignment horizontal="center" vertical="center" textRotation="180"/>
    </xf>
    <xf numFmtId="0" fontId="11" fillId="3" borderId="62" xfId="2" applyFont="1" applyFill="1" applyBorder="1" applyAlignment="1">
      <alignment horizontal="left" vertical="top"/>
    </xf>
    <xf numFmtId="0" fontId="11" fillId="3" borderId="50" xfId="2" applyFont="1" applyFill="1" applyBorder="1" applyAlignment="1">
      <alignment horizontal="left" vertical="top"/>
    </xf>
    <xf numFmtId="0" fontId="11" fillId="3" borderId="63" xfId="2" applyFont="1" applyFill="1" applyBorder="1" applyAlignment="1">
      <alignment horizontal="left" vertical="top"/>
    </xf>
    <xf numFmtId="0" fontId="4" fillId="0" borderId="0" xfId="2"/>
    <xf numFmtId="0" fontId="4" fillId="0" borderId="0" xfId="2" applyAlignment="1">
      <alignment horizontal="left" wrapText="1"/>
    </xf>
    <xf numFmtId="0" fontId="4" fillId="0" borderId="0" xfId="2" applyAlignment="1">
      <alignment wrapText="1"/>
    </xf>
    <xf numFmtId="0" fontId="4" fillId="0" borderId="0" xfId="2" applyAlignment="1">
      <alignment horizontal="center" vertical="center"/>
    </xf>
    <xf numFmtId="1" fontId="4" fillId="0" borderId="0" xfId="2" applyNumberFormat="1" applyAlignment="1">
      <alignment horizontal="center" vertical="center"/>
    </xf>
    <xf numFmtId="0" fontId="1" fillId="23" borderId="0" xfId="4"/>
    <xf numFmtId="0" fontId="5" fillId="16" borderId="59" xfId="4" applyFont="1" applyFill="1" applyBorder="1" applyAlignment="1">
      <alignment horizontal="center" vertical="center" wrapText="1"/>
    </xf>
    <xf numFmtId="0" fontId="5" fillId="16" borderId="60" xfId="4" applyFont="1" applyFill="1" applyBorder="1" applyAlignment="1">
      <alignment horizontal="center" vertical="center" wrapText="1"/>
    </xf>
    <xf numFmtId="0" fontId="3" fillId="0" borderId="0" xfId="5" applyProtection="1">
      <protection locked="0"/>
    </xf>
    <xf numFmtId="0" fontId="4" fillId="0" borderId="0" xfId="5" applyFont="1" applyAlignment="1" applyProtection="1">
      <alignment horizontal="center"/>
      <protection locked="0"/>
    </xf>
    <xf numFmtId="0" fontId="3" fillId="0" borderId="0" xfId="5" applyAlignment="1" applyProtection="1">
      <alignment horizontal="left"/>
      <protection locked="0"/>
    </xf>
    <xf numFmtId="0" fontId="3" fillId="0" borderId="0" xfId="5"/>
    <xf numFmtId="0" fontId="22" fillId="21" borderId="72" xfId="5" applyFont="1" applyFill="1" applyBorder="1" applyAlignment="1" applyProtection="1">
      <alignment horizontal="left" vertical="center" wrapText="1"/>
      <protection locked="0"/>
    </xf>
    <xf numFmtId="0" fontId="22" fillId="21" borderId="75" xfId="5" applyFont="1" applyFill="1" applyBorder="1" applyAlignment="1" applyProtection="1">
      <alignment horizontal="left" vertical="center" wrapText="1"/>
      <protection locked="0"/>
    </xf>
    <xf numFmtId="0" fontId="0" fillId="0" borderId="78" xfId="0" applyBorder="1" applyAlignment="1">
      <alignment horizontal="left" vertical="center" wrapText="1"/>
    </xf>
    <xf numFmtId="0" fontId="0" fillId="0" borderId="79" xfId="0" applyBorder="1" applyAlignment="1">
      <alignment horizontal="left" vertical="center"/>
    </xf>
    <xf numFmtId="0" fontId="0" fillId="0" borderId="80" xfId="0" applyBorder="1" applyAlignment="1">
      <alignment horizontal="left" vertical="center" wrapText="1"/>
    </xf>
    <xf numFmtId="0" fontId="4" fillId="0" borderId="0" xfId="2" applyAlignment="1">
      <alignment horizontal="left" vertical="center"/>
    </xf>
    <xf numFmtId="0" fontId="5" fillId="16" borderId="58" xfId="5" applyFont="1" applyFill="1" applyBorder="1" applyAlignment="1">
      <alignment horizontal="center" vertical="center" wrapText="1"/>
    </xf>
    <xf numFmtId="0" fontId="5" fillId="16" borderId="60" xfId="5" applyFont="1" applyFill="1" applyBorder="1" applyAlignment="1">
      <alignment horizontal="center" vertical="center" wrapText="1"/>
    </xf>
    <xf numFmtId="164" fontId="19" fillId="0" borderId="68" xfId="5" applyNumberFormat="1" applyFont="1" applyBorder="1" applyAlignment="1">
      <alignment horizontal="left" vertical="center" wrapText="1"/>
    </xf>
    <xf numFmtId="164" fontId="19" fillId="0" borderId="81" xfId="5" applyNumberFormat="1" applyFont="1" applyBorder="1" applyAlignment="1">
      <alignment horizontal="left" vertical="center" wrapText="1"/>
    </xf>
    <xf numFmtId="0" fontId="19" fillId="0" borderId="82" xfId="5" applyFont="1" applyBorder="1" applyAlignment="1">
      <alignment horizontal="left" vertical="center" wrapText="1"/>
    </xf>
    <xf numFmtId="0" fontId="24" fillId="2" borderId="18" xfId="2" applyFont="1" applyFill="1" applyBorder="1" applyAlignment="1">
      <alignment horizontal="center" vertical="center"/>
    </xf>
    <xf numFmtId="0" fontId="23" fillId="0" borderId="15" xfId="0" applyFont="1" applyBorder="1" applyAlignment="1">
      <alignment horizontal="center" vertical="center"/>
    </xf>
    <xf numFmtId="0" fontId="10" fillId="2" borderId="16" xfId="2" applyFont="1" applyFill="1" applyBorder="1" applyAlignment="1">
      <alignment horizontal="center" vertical="center"/>
    </xf>
    <xf numFmtId="0" fontId="4" fillId="4" borderId="54" xfId="2" applyFill="1" applyBorder="1" applyAlignment="1">
      <alignment horizontal="center" vertical="center"/>
    </xf>
    <xf numFmtId="0" fontId="4" fillId="5" borderId="54" xfId="2" applyFill="1" applyBorder="1" applyAlignment="1">
      <alignment horizontal="center" vertical="center"/>
    </xf>
    <xf numFmtId="0" fontId="4" fillId="6" borderId="54" xfId="2" applyFill="1" applyBorder="1" applyAlignment="1">
      <alignment horizontal="center" vertical="center"/>
    </xf>
    <xf numFmtId="0" fontId="10" fillId="2" borderId="17" xfId="2" applyFont="1" applyFill="1" applyBorder="1" applyAlignment="1">
      <alignment horizontal="center" vertical="center"/>
    </xf>
    <xf numFmtId="0" fontId="4" fillId="10" borderId="47" xfId="2" applyFill="1" applyBorder="1" applyAlignment="1">
      <alignment horizontal="center" vertical="center"/>
    </xf>
    <xf numFmtId="0" fontId="4" fillId="0" borderId="51" xfId="2" applyBorder="1" applyAlignment="1">
      <alignment vertical="center"/>
    </xf>
    <xf numFmtId="164" fontId="19" fillId="23" borderId="68" xfId="4" applyNumberFormat="1" applyFont="1" applyBorder="1" applyAlignment="1">
      <alignment horizontal="left" vertical="center" wrapText="1"/>
    </xf>
    <xf numFmtId="0" fontId="25" fillId="22" borderId="62" xfId="2" applyFont="1" applyFill="1" applyBorder="1" applyAlignment="1">
      <alignment vertical="top"/>
    </xf>
    <xf numFmtId="0" fontId="11" fillId="22" borderId="50" xfId="2" applyFont="1" applyFill="1" applyBorder="1" applyAlignment="1">
      <alignment vertical="top"/>
    </xf>
    <xf numFmtId="0" fontId="11" fillId="22" borderId="63" xfId="2" applyFont="1" applyFill="1" applyBorder="1" applyAlignment="1">
      <alignment vertical="top"/>
    </xf>
    <xf numFmtId="0" fontId="4" fillId="0" borderId="0" xfId="2" applyAlignment="1">
      <alignment horizontal="left"/>
    </xf>
    <xf numFmtId="0" fontId="11" fillId="23" borderId="62" xfId="2" applyFont="1" applyFill="1" applyBorder="1" applyAlignment="1">
      <alignment horizontal="left" vertical="top"/>
    </xf>
    <xf numFmtId="0" fontId="11" fillId="23" borderId="50" xfId="2" applyFont="1" applyFill="1" applyBorder="1" applyAlignment="1">
      <alignment horizontal="left" vertical="top"/>
    </xf>
    <xf numFmtId="0" fontId="11" fillId="23" borderId="63" xfId="2" applyFont="1" applyFill="1" applyBorder="1" applyAlignment="1">
      <alignment horizontal="left" vertical="top"/>
    </xf>
    <xf numFmtId="0" fontId="25" fillId="22" borderId="50" xfId="2" applyFont="1" applyFill="1" applyBorder="1" applyAlignment="1">
      <alignment vertical="top"/>
    </xf>
    <xf numFmtId="165" fontId="19" fillId="23" borderId="66" xfId="4" applyNumberFormat="1" applyFont="1" applyBorder="1" applyAlignment="1">
      <alignment horizontal="center" vertical="center" wrapText="1"/>
    </xf>
    <xf numFmtId="0" fontId="19" fillId="23" borderId="67" xfId="4" applyFont="1" applyBorder="1" applyAlignment="1">
      <alignment horizontal="left" vertical="center" wrapText="1" indent="1" readingOrder="1"/>
    </xf>
    <xf numFmtId="0" fontId="5" fillId="16" borderId="84" xfId="4" applyFont="1" applyFill="1" applyBorder="1" applyAlignment="1">
      <alignment horizontal="center" vertical="center" wrapText="1"/>
    </xf>
    <xf numFmtId="164" fontId="19" fillId="23" borderId="85" xfId="4" applyNumberFormat="1" applyFont="1" applyBorder="1" applyAlignment="1">
      <alignment horizontal="center" vertical="center" wrapText="1"/>
    </xf>
    <xf numFmtId="1" fontId="5" fillId="16" borderId="58" xfId="4" applyNumberFormat="1" applyFont="1" applyFill="1" applyBorder="1" applyAlignment="1">
      <alignment horizontal="center" vertical="center" wrapText="1"/>
    </xf>
    <xf numFmtId="1" fontId="19" fillId="23" borderId="65" xfId="4" applyNumberFormat="1" applyFont="1" applyBorder="1" applyAlignment="1">
      <alignment horizontal="center" vertical="center" wrapText="1"/>
    </xf>
    <xf numFmtId="0" fontId="4" fillId="14" borderId="15" xfId="2" applyFill="1" applyBorder="1" applyAlignment="1">
      <alignment horizontal="left" vertical="top" wrapText="1"/>
    </xf>
    <xf numFmtId="0" fontId="4" fillId="14" borderId="36" xfId="2" applyFill="1" applyBorder="1" applyAlignment="1">
      <alignment horizontal="center" vertical="top" wrapText="1"/>
    </xf>
    <xf numFmtId="0" fontId="4" fillId="14" borderId="11" xfId="2" applyFill="1" applyBorder="1" applyAlignment="1">
      <alignment vertical="top" wrapText="1"/>
    </xf>
    <xf numFmtId="0" fontId="4" fillId="14" borderId="13" xfId="2" applyFill="1" applyBorder="1" applyAlignment="1">
      <alignment vertical="top" wrapText="1"/>
    </xf>
    <xf numFmtId="0" fontId="4" fillId="14" borderId="36" xfId="2" applyFill="1" applyBorder="1" applyAlignment="1">
      <alignment horizontal="left" vertical="top" wrapText="1"/>
    </xf>
    <xf numFmtId="1" fontId="4" fillId="3" borderId="27" xfId="2" applyNumberFormat="1" applyFill="1" applyBorder="1" applyAlignment="1">
      <alignment horizontal="left" vertical="top" wrapText="1"/>
    </xf>
    <xf numFmtId="0" fontId="4" fillId="0" borderId="11" xfId="2" applyBorder="1" applyAlignment="1">
      <alignment horizontal="left" vertical="top" wrapText="1"/>
    </xf>
    <xf numFmtId="1" fontId="4" fillId="3" borderId="36" xfId="2" applyNumberFormat="1" applyFill="1" applyBorder="1" applyAlignment="1">
      <alignment horizontal="left" vertical="top" wrapText="1"/>
    </xf>
    <xf numFmtId="0" fontId="4" fillId="0" borderId="13" xfId="2" applyBorder="1" applyAlignment="1">
      <alignment horizontal="left" vertical="top" wrapText="1"/>
    </xf>
    <xf numFmtId="0" fontId="4" fillId="3" borderId="51" xfId="2" applyFill="1" applyBorder="1" applyAlignment="1">
      <alignment horizontal="left" vertical="top" wrapText="1"/>
    </xf>
    <xf numFmtId="0" fontId="4" fillId="14" borderId="16" xfId="2" applyFill="1" applyBorder="1" applyAlignment="1">
      <alignment horizontal="left" vertical="top" wrapText="1"/>
    </xf>
    <xf numFmtId="0" fontId="4" fillId="0" borderId="36" xfId="2" applyBorder="1" applyAlignment="1">
      <alignment horizontal="left" vertical="top" wrapText="1"/>
    </xf>
    <xf numFmtId="0" fontId="26" fillId="0" borderId="1" xfId="8" applyFill="1" applyBorder="1" applyAlignment="1">
      <alignment horizontal="left" vertical="center" wrapText="1" indent="1" readingOrder="1"/>
    </xf>
    <xf numFmtId="0" fontId="26" fillId="0" borderId="12" xfId="8" applyFill="1" applyBorder="1" applyAlignment="1">
      <alignment horizontal="left" vertical="center" wrapText="1" indent="1" readingOrder="1"/>
    </xf>
    <xf numFmtId="0" fontId="9" fillId="0" borderId="0" xfId="2" applyFont="1"/>
    <xf numFmtId="0" fontId="29" fillId="3" borderId="62" xfId="2" applyFont="1" applyFill="1" applyBorder="1" applyAlignment="1">
      <alignment horizontal="left" vertical="top"/>
    </xf>
    <xf numFmtId="0" fontId="29" fillId="3" borderId="50" xfId="2" applyFont="1" applyFill="1" applyBorder="1" applyAlignment="1">
      <alignment horizontal="left" vertical="top"/>
    </xf>
    <xf numFmtId="0" fontId="28" fillId="0" borderId="0" xfId="2" applyFont="1"/>
    <xf numFmtId="0" fontId="29" fillId="23" borderId="62" xfId="2" applyFont="1" applyFill="1" applyBorder="1" applyAlignment="1">
      <alignment horizontal="left" vertical="top"/>
    </xf>
    <xf numFmtId="0" fontId="29" fillId="23" borderId="50" xfId="2" applyFont="1" applyFill="1" applyBorder="1" applyAlignment="1">
      <alignment horizontal="left" vertical="top"/>
    </xf>
    <xf numFmtId="0" fontId="28" fillId="0" borderId="1" xfId="2" applyFont="1" applyBorder="1" applyAlignment="1">
      <alignment horizontal="left" vertical="top" wrapText="1"/>
    </xf>
    <xf numFmtId="0" fontId="28" fillId="14" borderId="15" xfId="2" applyFont="1" applyFill="1" applyBorder="1" applyAlignment="1">
      <alignment horizontal="left" vertical="top" wrapText="1"/>
    </xf>
    <xf numFmtId="0" fontId="28" fillId="14" borderId="36" xfId="2" applyFont="1" applyFill="1" applyBorder="1" applyAlignment="1">
      <alignment horizontal="center" vertical="top" wrapText="1"/>
    </xf>
    <xf numFmtId="0" fontId="28" fillId="14" borderId="11" xfId="2" applyFont="1" applyFill="1" applyBorder="1" applyAlignment="1">
      <alignment vertical="top" wrapText="1"/>
    </xf>
    <xf numFmtId="0" fontId="28" fillId="14" borderId="13" xfId="2" applyFont="1" applyFill="1" applyBorder="1" applyAlignment="1">
      <alignment vertical="top" wrapText="1"/>
    </xf>
    <xf numFmtId="0" fontId="28" fillId="14" borderId="36" xfId="2" applyFont="1" applyFill="1" applyBorder="1" applyAlignment="1">
      <alignment horizontal="left" vertical="top" wrapText="1"/>
    </xf>
    <xf numFmtId="1" fontId="28" fillId="3" borderId="27" xfId="2" applyNumberFormat="1" applyFont="1" applyFill="1" applyBorder="1" applyAlignment="1">
      <alignment horizontal="left" vertical="top" wrapText="1"/>
    </xf>
    <xf numFmtId="0" fontId="28" fillId="0" borderId="11" xfId="2" applyFont="1" applyBorder="1" applyAlignment="1">
      <alignment horizontal="left" vertical="top" wrapText="1"/>
    </xf>
    <xf numFmtId="0" fontId="28" fillId="0" borderId="15" xfId="1" applyFont="1" applyFill="1" applyBorder="1" applyAlignment="1">
      <alignment horizontal="left" vertical="top" wrapText="1"/>
    </xf>
    <xf numFmtId="1" fontId="28" fillId="3" borderId="36" xfId="2" applyNumberFormat="1" applyFont="1" applyFill="1" applyBorder="1" applyAlignment="1">
      <alignment horizontal="left" vertical="top" wrapText="1"/>
    </xf>
    <xf numFmtId="0" fontId="28" fillId="0" borderId="13" xfId="2" applyFont="1" applyBorder="1" applyAlignment="1">
      <alignment horizontal="left" vertical="top" wrapText="1"/>
    </xf>
    <xf numFmtId="0" fontId="28" fillId="3" borderId="51" xfId="2" applyFont="1" applyFill="1" applyBorder="1" applyAlignment="1">
      <alignment horizontal="left" vertical="top" wrapText="1"/>
    </xf>
    <xf numFmtId="0" fontId="28" fillId="0" borderId="51" xfId="2" applyFont="1" applyBorder="1" applyAlignment="1">
      <alignment vertical="center"/>
    </xf>
    <xf numFmtId="0" fontId="28" fillId="14" borderId="1" xfId="2" applyFont="1" applyFill="1" applyBorder="1" applyAlignment="1">
      <alignment horizontal="left" vertical="top" wrapText="1"/>
    </xf>
    <xf numFmtId="0" fontId="11" fillId="3" borderId="34" xfId="2" applyFont="1" applyFill="1" applyBorder="1" applyAlignment="1">
      <alignment horizontal="left" vertical="top"/>
    </xf>
    <xf numFmtId="0" fontId="11" fillId="3" borderId="35" xfId="2" applyFont="1" applyFill="1" applyBorder="1" applyAlignment="1">
      <alignment horizontal="left" vertical="top"/>
    </xf>
    <xf numFmtId="0" fontId="4" fillId="0" borderId="11" xfId="2" applyBorder="1" applyAlignment="1">
      <alignment vertical="top" wrapText="1"/>
    </xf>
    <xf numFmtId="0" fontId="4" fillId="0" borderId="36" xfId="2" applyBorder="1" applyAlignment="1">
      <alignment horizontal="center" vertical="top" wrapText="1"/>
    </xf>
    <xf numFmtId="0" fontId="4" fillId="0" borderId="13" xfId="2" applyBorder="1" applyAlignment="1">
      <alignment vertical="top" wrapText="1"/>
    </xf>
    <xf numFmtId="1" fontId="4" fillId="0" borderId="27" xfId="2" applyNumberFormat="1" applyBorder="1" applyAlignment="1">
      <alignment horizontal="left" vertical="top" wrapText="1"/>
    </xf>
    <xf numFmtId="0" fontId="31" fillId="0" borderId="12" xfId="2" applyFont="1" applyBorder="1" applyAlignment="1">
      <alignment horizontal="left" vertical="top" wrapText="1"/>
    </xf>
    <xf numFmtId="1" fontId="19" fillId="0" borderId="65" xfId="9" applyNumberFormat="1" applyFont="1" applyBorder="1" applyAlignment="1">
      <alignment horizontal="center" vertical="center" wrapText="1"/>
    </xf>
    <xf numFmtId="164" fontId="19" fillId="0" borderId="92" xfId="9" applyNumberFormat="1" applyFont="1" applyBorder="1" applyAlignment="1">
      <alignment horizontal="left" vertical="center" wrapText="1"/>
    </xf>
    <xf numFmtId="1" fontId="19" fillId="0" borderId="93" xfId="9" applyNumberFormat="1" applyFont="1" applyBorder="1" applyAlignment="1">
      <alignment horizontal="center" vertical="center" wrapText="1"/>
    </xf>
    <xf numFmtId="0" fontId="26" fillId="0" borderId="94" xfId="8" applyFill="1" applyBorder="1" applyAlignment="1">
      <alignment horizontal="left" vertical="center" wrapText="1" indent="1" readingOrder="1"/>
    </xf>
    <xf numFmtId="1" fontId="19" fillId="0" borderId="1" xfId="9" applyNumberFormat="1" applyFont="1" applyBorder="1" applyAlignment="1">
      <alignment horizontal="center" vertical="center" wrapText="1"/>
    </xf>
    <xf numFmtId="164" fontId="19" fillId="0" borderId="1" xfId="9" applyNumberFormat="1" applyFont="1" applyBorder="1" applyAlignment="1">
      <alignment horizontal="left" vertical="center" wrapText="1"/>
    </xf>
    <xf numFmtId="1" fontId="19" fillId="0" borderId="12" xfId="9" applyNumberFormat="1" applyFont="1" applyBorder="1" applyAlignment="1">
      <alignment horizontal="center" vertical="center" wrapText="1"/>
    </xf>
    <xf numFmtId="164" fontId="19" fillId="0" borderId="12" xfId="9" applyNumberFormat="1" applyFont="1" applyBorder="1" applyAlignment="1">
      <alignment horizontal="left" vertical="center" wrapText="1"/>
    </xf>
    <xf numFmtId="0" fontId="28" fillId="0" borderId="11" xfId="2" applyFont="1" applyBorder="1" applyAlignment="1">
      <alignment vertical="top" wrapText="1"/>
    </xf>
    <xf numFmtId="0" fontId="28" fillId="0" borderId="36" xfId="2" applyFont="1" applyBorder="1" applyAlignment="1">
      <alignment horizontal="center" vertical="top" wrapText="1"/>
    </xf>
    <xf numFmtId="0" fontId="28" fillId="0" borderId="13" xfId="2" applyFont="1" applyBorder="1" applyAlignment="1">
      <alignment vertical="top" wrapText="1"/>
    </xf>
    <xf numFmtId="0" fontId="28" fillId="0" borderId="36" xfId="2" applyFont="1" applyBorder="1" applyAlignment="1">
      <alignment horizontal="left" vertical="top" wrapText="1"/>
    </xf>
    <xf numFmtId="1" fontId="28" fillId="0" borderId="27" xfId="2" applyNumberFormat="1" applyFont="1" applyBorder="1" applyAlignment="1">
      <alignment horizontal="left" vertical="top" wrapText="1"/>
    </xf>
    <xf numFmtId="0" fontId="4" fillId="0" borderId="86" xfId="2" applyBorder="1" applyAlignment="1">
      <alignment vertical="top" wrapText="1"/>
    </xf>
    <xf numFmtId="0" fontId="2" fillId="0" borderId="0" xfId="9"/>
    <xf numFmtId="0" fontId="5" fillId="16" borderId="58" xfId="9" applyFont="1" applyFill="1" applyBorder="1" applyAlignment="1">
      <alignment horizontal="center" vertical="center" wrapText="1"/>
    </xf>
    <xf numFmtId="0" fontId="5" fillId="16" borderId="59" xfId="9" applyFont="1" applyFill="1" applyBorder="1" applyAlignment="1">
      <alignment horizontal="center" vertical="center" wrapText="1"/>
    </xf>
    <xf numFmtId="0" fontId="5" fillId="16" borderId="60" xfId="9" applyFont="1" applyFill="1" applyBorder="1" applyAlignment="1">
      <alignment horizontal="center" vertical="center" wrapText="1"/>
    </xf>
    <xf numFmtId="0" fontId="19" fillId="0" borderId="66" xfId="9" applyFont="1" applyBorder="1" applyAlignment="1">
      <alignment horizontal="center" vertical="center" wrapText="1"/>
    </xf>
    <xf numFmtId="0" fontId="19" fillId="0" borderId="97" xfId="9" applyFont="1" applyBorder="1" applyAlignment="1">
      <alignment horizontal="left" vertical="center" wrapText="1" indent="1" readingOrder="1"/>
    </xf>
    <xf numFmtId="0" fontId="25" fillId="22" borderId="62" xfId="2" applyFont="1" applyFill="1" applyBorder="1" applyAlignment="1">
      <alignment horizontal="center" vertical="top"/>
    </xf>
    <xf numFmtId="0" fontId="11" fillId="3" borderId="62" xfId="2" applyFont="1" applyFill="1" applyBorder="1" applyAlignment="1">
      <alignment horizontal="center" vertical="top"/>
    </xf>
    <xf numFmtId="0" fontId="11" fillId="23" borderId="62" xfId="2" applyFont="1" applyFill="1" applyBorder="1" applyAlignment="1">
      <alignment horizontal="center" vertical="top"/>
    </xf>
    <xf numFmtId="0" fontId="11" fillId="3" borderId="34" xfId="2" applyFont="1" applyFill="1" applyBorder="1" applyAlignment="1">
      <alignment horizontal="center" vertical="top"/>
    </xf>
    <xf numFmtId="0" fontId="29" fillId="3" borderId="62" xfId="2" applyFont="1" applyFill="1" applyBorder="1" applyAlignment="1">
      <alignment horizontal="center" vertical="top"/>
    </xf>
    <xf numFmtId="0" fontId="29" fillId="23" borderId="62" xfId="2" applyFont="1" applyFill="1" applyBorder="1" applyAlignment="1">
      <alignment horizontal="center" vertical="top"/>
    </xf>
    <xf numFmtId="0" fontId="28" fillId="0" borderId="1" xfId="2" applyFont="1" applyBorder="1" applyAlignment="1">
      <alignment horizontal="center" vertical="top" wrapText="1"/>
    </xf>
    <xf numFmtId="0" fontId="28" fillId="14" borderId="1" xfId="2" applyFont="1" applyFill="1" applyBorder="1" applyAlignment="1">
      <alignment horizontal="center" vertical="top" wrapText="1"/>
    </xf>
    <xf numFmtId="0" fontId="4" fillId="0" borderId="0" xfId="2" applyAlignment="1">
      <alignment horizontal="center" vertical="top"/>
    </xf>
    <xf numFmtId="0" fontId="28" fillId="0" borderId="18" xfId="2" applyFont="1" applyBorder="1" applyAlignment="1">
      <alignment horizontal="left" vertical="top" wrapText="1"/>
    </xf>
    <xf numFmtId="0" fontId="4" fillId="0" borderId="12" xfId="2" applyBorder="1" applyAlignment="1">
      <alignment horizontal="center" vertical="center" wrapText="1"/>
    </xf>
    <xf numFmtId="0" fontId="4" fillId="0" borderId="15" xfId="2" applyBorder="1" applyAlignment="1">
      <alignment horizontal="center" vertical="center" wrapText="1"/>
    </xf>
    <xf numFmtId="0" fontId="28" fillId="0" borderId="15" xfId="2" applyFont="1" applyBorder="1" applyAlignment="1">
      <alignment horizontal="center" vertical="center" wrapText="1"/>
    </xf>
    <xf numFmtId="0" fontId="4" fillId="0" borderId="1" xfId="2" applyBorder="1" applyAlignment="1">
      <alignment horizontal="center" vertical="center" wrapText="1"/>
    </xf>
    <xf numFmtId="0" fontId="4" fillId="13" borderId="0" xfId="2" applyFill="1"/>
    <xf numFmtId="0" fontId="11" fillId="23" borderId="35" xfId="2" applyFont="1" applyFill="1" applyBorder="1" applyAlignment="1">
      <alignment horizontal="left" vertical="top"/>
    </xf>
    <xf numFmtId="0" fontId="11" fillId="23" borderId="34" xfId="2" applyFont="1" applyFill="1" applyBorder="1" applyAlignment="1">
      <alignment horizontal="center" vertical="top"/>
    </xf>
    <xf numFmtId="0" fontId="11" fillId="23" borderId="34" xfId="2" applyFont="1" applyFill="1" applyBorder="1" applyAlignment="1">
      <alignment horizontal="left" vertical="top"/>
    </xf>
    <xf numFmtId="0" fontId="4" fillId="14" borderId="18" xfId="2" applyFill="1" applyBorder="1" applyAlignment="1">
      <alignment horizontal="left" vertical="top" wrapText="1"/>
    </xf>
    <xf numFmtId="0" fontId="4" fillId="14" borderId="49" xfId="2" applyFill="1" applyBorder="1" applyAlignment="1">
      <alignment horizontal="left" vertical="top" wrapText="1"/>
    </xf>
    <xf numFmtId="0" fontId="4" fillId="0" borderId="16" xfId="2" applyBorder="1" applyAlignment="1">
      <alignment horizontal="left" vertical="top" wrapText="1"/>
    </xf>
    <xf numFmtId="0" fontId="4" fillId="0" borderId="17" xfId="2" applyBorder="1" applyAlignment="1">
      <alignment horizontal="left" vertical="top" wrapText="1"/>
    </xf>
    <xf numFmtId="1" fontId="33" fillId="24" borderId="27" xfId="7" applyNumberFormat="1" applyFont="1" applyBorder="1" applyAlignment="1">
      <alignment horizontal="left" vertical="top" wrapText="1"/>
    </xf>
    <xf numFmtId="1" fontId="33" fillId="24" borderId="36" xfId="7" applyNumberFormat="1" applyFont="1" applyBorder="1" applyAlignment="1">
      <alignment horizontal="left" vertical="top" wrapText="1"/>
    </xf>
    <xf numFmtId="0" fontId="33" fillId="24" borderId="0" xfId="7" applyFont="1" applyBorder="1"/>
    <xf numFmtId="1" fontId="4" fillId="23" borderId="27" xfId="2" applyNumberFormat="1" applyFill="1" applyBorder="1" applyAlignment="1">
      <alignment horizontal="left" vertical="top" wrapText="1"/>
    </xf>
    <xf numFmtId="1" fontId="4" fillId="23" borderId="36" xfId="2" applyNumberFormat="1" applyFill="1" applyBorder="1" applyAlignment="1">
      <alignment horizontal="left" vertical="top" wrapText="1"/>
    </xf>
    <xf numFmtId="0" fontId="34" fillId="23" borderId="0" xfId="2" applyFont="1" applyFill="1" applyAlignment="1">
      <alignment wrapText="1"/>
    </xf>
    <xf numFmtId="0" fontId="34" fillId="23" borderId="0" xfId="2" applyFont="1" applyFill="1"/>
    <xf numFmtId="0" fontId="4" fillId="0" borderId="49" xfId="2" applyBorder="1" applyAlignment="1">
      <alignment horizontal="center" vertical="center" wrapText="1"/>
    </xf>
    <xf numFmtId="0" fontId="4" fillId="3" borderId="36" xfId="2" applyFill="1" applyBorder="1" applyAlignment="1">
      <alignment horizontal="left" vertical="top" wrapText="1"/>
    </xf>
    <xf numFmtId="0" fontId="4" fillId="0" borderId="36" xfId="2" applyBorder="1" applyAlignment="1">
      <alignment vertical="center"/>
    </xf>
    <xf numFmtId="1" fontId="4" fillId="23" borderId="34" xfId="2" applyNumberFormat="1" applyFill="1" applyBorder="1" applyAlignment="1">
      <alignment horizontal="left" vertical="top" wrapText="1"/>
    </xf>
    <xf numFmtId="0" fontId="4" fillId="0" borderId="44" xfId="2" applyBorder="1" applyAlignment="1">
      <alignment horizontal="left" vertical="top" wrapText="1"/>
    </xf>
    <xf numFmtId="0" fontId="4" fillId="0" borderId="28" xfId="2" applyBorder="1" applyAlignment="1">
      <alignment horizontal="left" vertical="top" wrapText="1"/>
    </xf>
    <xf numFmtId="0" fontId="4" fillId="0" borderId="53" xfId="2" applyBorder="1" applyAlignment="1">
      <alignment vertical="center"/>
    </xf>
    <xf numFmtId="0" fontId="11" fillId="14" borderId="1" xfId="2" applyFont="1" applyFill="1" applyBorder="1" applyAlignment="1">
      <alignment horizontal="left" vertical="top"/>
    </xf>
    <xf numFmtId="1" fontId="4" fillId="0" borderId="36" xfId="2" applyNumberFormat="1" applyBorder="1" applyAlignment="1">
      <alignment horizontal="left" vertical="top" wrapText="1"/>
    </xf>
    <xf numFmtId="0" fontId="4" fillId="0" borderId="0" xfId="2" applyBorder="1" applyAlignment="1">
      <alignment vertical="center"/>
    </xf>
    <xf numFmtId="0" fontId="4" fillId="0" borderId="0" xfId="2" applyBorder="1"/>
    <xf numFmtId="0" fontId="32" fillId="24" borderId="0" xfId="7" applyBorder="1"/>
    <xf numFmtId="0" fontId="4" fillId="0" borderId="0" xfId="2" applyBorder="1" applyAlignment="1">
      <alignment horizontal="center" vertical="center"/>
    </xf>
    <xf numFmtId="0" fontId="4" fillId="25" borderId="12" xfId="2" applyFill="1" applyBorder="1" applyAlignment="1">
      <alignment vertical="center" wrapText="1"/>
    </xf>
    <xf numFmtId="1" fontId="4" fillId="25" borderId="27" xfId="2" applyNumberFormat="1" applyFill="1" applyBorder="1" applyAlignment="1">
      <alignment horizontal="left" vertical="top" wrapText="1"/>
    </xf>
    <xf numFmtId="0" fontId="4" fillId="25" borderId="11" xfId="2" applyFill="1" applyBorder="1" applyAlignment="1">
      <alignment horizontal="left" vertical="top" wrapText="1"/>
    </xf>
    <xf numFmtId="0" fontId="4" fillId="25" borderId="15" xfId="1" applyFont="1" applyFill="1" applyBorder="1" applyAlignment="1">
      <alignment horizontal="left" vertical="top" wrapText="1"/>
    </xf>
    <xf numFmtId="0" fontId="4" fillId="25" borderId="36" xfId="2" applyFill="1" applyBorder="1" applyAlignment="1">
      <alignment horizontal="left" vertical="top" wrapText="1"/>
    </xf>
    <xf numFmtId="1" fontId="4" fillId="25" borderId="36" xfId="2" applyNumberFormat="1" applyFill="1" applyBorder="1" applyAlignment="1">
      <alignment horizontal="left" vertical="top" wrapText="1"/>
    </xf>
    <xf numFmtId="0" fontId="11" fillId="25" borderId="18" xfId="2" applyFont="1" applyFill="1" applyBorder="1" applyAlignment="1">
      <alignment horizontal="left" vertical="top"/>
    </xf>
    <xf numFmtId="0" fontId="11" fillId="25" borderId="12" xfId="2" applyFont="1" applyFill="1" applyBorder="1" applyAlignment="1">
      <alignment horizontal="left" vertical="top"/>
    </xf>
    <xf numFmtId="0" fontId="11" fillId="25" borderId="15" xfId="2" applyFont="1" applyFill="1" applyBorder="1" applyAlignment="1">
      <alignment horizontal="left" vertical="top"/>
    </xf>
    <xf numFmtId="0" fontId="4" fillId="25" borderId="0" xfId="2" applyFill="1" applyBorder="1"/>
    <xf numFmtId="0" fontId="4" fillId="25" borderId="1" xfId="2" applyFill="1" applyBorder="1" applyAlignment="1">
      <alignment vertical="center" wrapText="1"/>
    </xf>
    <xf numFmtId="0" fontId="4" fillId="25" borderId="13" xfId="1" applyFont="1" applyFill="1" applyBorder="1" applyAlignment="1">
      <alignment horizontal="left" vertical="top" wrapText="1"/>
    </xf>
    <xf numFmtId="0" fontId="4" fillId="25" borderId="1" xfId="2" applyFill="1" applyBorder="1"/>
    <xf numFmtId="0" fontId="35" fillId="25" borderId="15" xfId="7" applyFont="1" applyFill="1" applyBorder="1" applyAlignment="1">
      <alignment horizontal="center" vertical="center" wrapText="1"/>
    </xf>
    <xf numFmtId="0" fontId="35" fillId="25" borderId="36" xfId="7" applyFont="1" applyFill="1" applyBorder="1" applyAlignment="1">
      <alignment horizontal="center" vertical="top" wrapText="1"/>
    </xf>
    <xf numFmtId="0" fontId="4" fillId="25" borderId="15" xfId="2" applyFill="1" applyBorder="1" applyAlignment="1">
      <alignment horizontal="center" vertical="center" wrapText="1"/>
    </xf>
    <xf numFmtId="0" fontId="35" fillId="25" borderId="11" xfId="7" applyFont="1" applyFill="1" applyBorder="1" applyAlignment="1">
      <alignment vertical="top" wrapText="1"/>
    </xf>
    <xf numFmtId="0" fontId="35" fillId="25" borderId="13" xfId="2" applyFont="1" applyFill="1" applyBorder="1" applyAlignment="1">
      <alignment vertical="top" wrapText="1"/>
    </xf>
    <xf numFmtId="0" fontId="35" fillId="25" borderId="11" xfId="2" applyFont="1" applyFill="1" applyBorder="1" applyAlignment="1">
      <alignment horizontal="left" vertical="top" wrapText="1"/>
    </xf>
    <xf numFmtId="0" fontId="35" fillId="25" borderId="36" xfId="7" applyFont="1" applyFill="1" applyBorder="1" applyAlignment="1">
      <alignment horizontal="left" vertical="top" wrapText="1"/>
    </xf>
    <xf numFmtId="0" fontId="34" fillId="25" borderId="0" xfId="2" applyFont="1" applyFill="1" applyAlignment="1">
      <alignment wrapText="1"/>
    </xf>
    <xf numFmtId="0" fontId="34" fillId="25" borderId="0" xfId="2" applyFont="1" applyFill="1"/>
    <xf numFmtId="0" fontId="35" fillId="25" borderId="15" xfId="2" applyFont="1" applyFill="1" applyBorder="1" applyAlignment="1">
      <alignment horizontal="center" vertical="center" wrapText="1"/>
    </xf>
    <xf numFmtId="0" fontId="35" fillId="25" borderId="11" xfId="2" applyFont="1" applyFill="1" applyBorder="1" applyAlignment="1">
      <alignment vertical="top" wrapText="1"/>
    </xf>
    <xf numFmtId="0" fontId="35" fillId="25" borderId="1" xfId="2" applyFont="1" applyFill="1" applyBorder="1" applyAlignment="1">
      <alignment horizontal="center" vertical="center" wrapText="1"/>
    </xf>
    <xf numFmtId="0" fontId="35" fillId="25" borderId="15" xfId="2" applyFont="1" applyFill="1" applyBorder="1" applyAlignment="1">
      <alignment horizontal="left" vertical="top" wrapText="1"/>
    </xf>
    <xf numFmtId="1" fontId="35" fillId="25" borderId="27" xfId="2" applyNumberFormat="1" applyFont="1" applyFill="1" applyBorder="1" applyAlignment="1">
      <alignment horizontal="left" vertical="top" wrapText="1"/>
    </xf>
    <xf numFmtId="0" fontId="35" fillId="25" borderId="15" xfId="1" applyFont="1" applyFill="1" applyBorder="1" applyAlignment="1">
      <alignment horizontal="left" vertical="top" wrapText="1"/>
    </xf>
    <xf numFmtId="0" fontId="35" fillId="25" borderId="36" xfId="2" applyFont="1" applyFill="1" applyBorder="1" applyAlignment="1">
      <alignment horizontal="left" vertical="top" wrapText="1"/>
    </xf>
    <xf numFmtId="1" fontId="35" fillId="25" borderId="36" xfId="2" applyNumberFormat="1" applyFont="1" applyFill="1" applyBorder="1" applyAlignment="1">
      <alignment horizontal="left" vertical="top" wrapText="1"/>
    </xf>
    <xf numFmtId="0" fontId="37" fillId="25" borderId="1" xfId="2" applyFont="1" applyFill="1" applyBorder="1" applyAlignment="1">
      <alignment horizontal="left" vertical="top"/>
    </xf>
    <xf numFmtId="0" fontId="35" fillId="25" borderId="1" xfId="2" applyFont="1" applyFill="1" applyBorder="1"/>
    <xf numFmtId="0" fontId="35" fillId="25" borderId="12" xfId="2" applyFont="1" applyFill="1" applyBorder="1" applyAlignment="1">
      <alignment horizontal="center" vertical="center" wrapText="1"/>
    </xf>
    <xf numFmtId="0" fontId="37" fillId="25" borderId="18" xfId="2" applyFont="1" applyFill="1" applyBorder="1" applyAlignment="1">
      <alignment horizontal="left" vertical="top"/>
    </xf>
    <xf numFmtId="0" fontId="35" fillId="25" borderId="0" xfId="2" applyFont="1" applyFill="1" applyBorder="1"/>
    <xf numFmtId="0" fontId="35" fillId="25" borderId="36" xfId="2" applyFont="1" applyFill="1" applyBorder="1" applyAlignment="1">
      <alignment horizontal="center" vertical="top" wrapText="1"/>
    </xf>
    <xf numFmtId="0" fontId="36" fillId="25" borderId="15" xfId="7" applyFont="1" applyFill="1" applyBorder="1" applyAlignment="1">
      <alignment horizontal="center" vertical="center" wrapText="1"/>
    </xf>
    <xf numFmtId="0" fontId="36" fillId="25" borderId="12" xfId="7" applyFont="1" applyFill="1" applyBorder="1" applyAlignment="1">
      <alignment horizontal="left" vertical="top" wrapText="1"/>
    </xf>
    <xf numFmtId="0" fontId="36" fillId="25" borderId="15" xfId="7" applyFont="1" applyFill="1" applyBorder="1" applyAlignment="1">
      <alignment horizontal="left" vertical="top" wrapText="1"/>
    </xf>
    <xf numFmtId="0" fontId="36" fillId="25" borderId="36" xfId="7" applyFont="1" applyFill="1" applyBorder="1" applyAlignment="1">
      <alignment horizontal="center" vertical="top" wrapText="1"/>
    </xf>
    <xf numFmtId="0" fontId="36" fillId="25" borderId="11" xfId="7" applyFont="1" applyFill="1" applyBorder="1" applyAlignment="1">
      <alignment vertical="top" wrapText="1"/>
    </xf>
    <xf numFmtId="0" fontId="36" fillId="25" borderId="13" xfId="7" applyFont="1" applyFill="1" applyBorder="1" applyAlignment="1">
      <alignment vertical="top" wrapText="1"/>
    </xf>
    <xf numFmtId="0" fontId="36" fillId="25" borderId="36" xfId="7" applyFont="1" applyFill="1" applyBorder="1" applyAlignment="1">
      <alignment horizontal="left" vertical="top" wrapText="1"/>
    </xf>
    <xf numFmtId="0" fontId="36" fillId="25" borderId="15" xfId="2" applyFont="1" applyFill="1" applyBorder="1" applyAlignment="1">
      <alignment horizontal="center" vertical="center" wrapText="1"/>
    </xf>
    <xf numFmtId="0" fontId="36" fillId="25" borderId="15" xfId="2" applyFont="1" applyFill="1" applyBorder="1" applyAlignment="1">
      <alignment horizontal="left" vertical="top" wrapText="1"/>
    </xf>
    <xf numFmtId="0" fontId="36" fillId="25" borderId="36" xfId="2" applyFont="1" applyFill="1" applyBorder="1" applyAlignment="1">
      <alignment horizontal="center" vertical="top" wrapText="1"/>
    </xf>
    <xf numFmtId="0" fontId="36" fillId="25" borderId="11" xfId="2" applyFont="1" applyFill="1" applyBorder="1" applyAlignment="1">
      <alignment vertical="top" wrapText="1"/>
    </xf>
    <xf numFmtId="0" fontId="36" fillId="25" borderId="13" xfId="2" applyFont="1" applyFill="1" applyBorder="1" applyAlignment="1">
      <alignment vertical="top" wrapText="1"/>
    </xf>
    <xf numFmtId="0" fontId="36" fillId="25" borderId="36" xfId="2" applyFont="1" applyFill="1" applyBorder="1" applyAlignment="1">
      <alignment horizontal="left" vertical="top" wrapText="1"/>
    </xf>
    <xf numFmtId="0" fontId="36" fillId="25" borderId="11" xfId="7" applyFont="1" applyFill="1" applyBorder="1" applyAlignment="1">
      <alignment horizontal="left" vertical="top" wrapText="1"/>
    </xf>
    <xf numFmtId="0" fontId="1" fillId="25" borderId="15" xfId="7" applyFont="1" applyFill="1" applyBorder="1" applyAlignment="1">
      <alignment horizontal="center" vertical="center" wrapText="1"/>
    </xf>
    <xf numFmtId="0" fontId="1" fillId="25" borderId="15" xfId="2" applyFont="1" applyFill="1" applyBorder="1" applyAlignment="1">
      <alignment horizontal="left" vertical="top" wrapText="1"/>
    </xf>
    <xf numFmtId="0" fontId="1" fillId="25" borderId="36" xfId="2" applyFont="1" applyFill="1" applyBorder="1" applyAlignment="1">
      <alignment horizontal="center" vertical="top" wrapText="1"/>
    </xf>
    <xf numFmtId="0" fontId="1" fillId="25" borderId="11" xfId="2" applyFont="1" applyFill="1" applyBorder="1" applyAlignment="1">
      <alignment vertical="top" wrapText="1"/>
    </xf>
    <xf numFmtId="0" fontId="1" fillId="25" borderId="13" xfId="2" applyFont="1" applyFill="1" applyBorder="1" applyAlignment="1">
      <alignment vertical="top" wrapText="1"/>
    </xf>
    <xf numFmtId="0" fontId="1" fillId="25" borderId="36" xfId="7" applyFont="1" applyFill="1" applyBorder="1" applyAlignment="1">
      <alignment horizontal="left" vertical="top" wrapText="1"/>
    </xf>
    <xf numFmtId="1" fontId="1" fillId="25" borderId="27" xfId="2" applyNumberFormat="1" applyFont="1" applyFill="1" applyBorder="1" applyAlignment="1">
      <alignment horizontal="left" vertical="top" wrapText="1"/>
    </xf>
    <xf numFmtId="0" fontId="1" fillId="25" borderId="11" xfId="2" applyFont="1" applyFill="1" applyBorder="1" applyAlignment="1">
      <alignment horizontal="left" vertical="top" wrapText="1"/>
    </xf>
    <xf numFmtId="0" fontId="1" fillId="25" borderId="15" xfId="1" applyFont="1" applyFill="1" applyBorder="1" applyAlignment="1">
      <alignment horizontal="left" vertical="top" wrapText="1"/>
    </xf>
    <xf numFmtId="0" fontId="1" fillId="25" borderId="36" xfId="2" applyFont="1" applyFill="1" applyBorder="1" applyAlignment="1">
      <alignment horizontal="left" vertical="top" wrapText="1"/>
    </xf>
    <xf numFmtId="1" fontId="1" fillId="25" borderId="36" xfId="2" applyNumberFormat="1" applyFont="1" applyFill="1" applyBorder="1" applyAlignment="1">
      <alignment horizontal="left" vertical="top" wrapText="1"/>
    </xf>
    <xf numFmtId="0" fontId="1" fillId="25" borderId="18" xfId="2" applyFont="1" applyFill="1" applyBorder="1" applyAlignment="1">
      <alignment horizontal="left" vertical="top" wrapText="1"/>
    </xf>
    <xf numFmtId="0" fontId="1" fillId="25" borderId="13" xfId="2" applyFont="1" applyFill="1" applyBorder="1" applyAlignment="1">
      <alignment horizontal="left" vertical="top" wrapText="1"/>
    </xf>
    <xf numFmtId="0" fontId="1" fillId="25" borderId="51" xfId="2" applyFont="1" applyFill="1" applyBorder="1" applyAlignment="1">
      <alignment vertical="center" wrapText="1"/>
    </xf>
    <xf numFmtId="0" fontId="1" fillId="25" borderId="51" xfId="2" applyFont="1" applyFill="1" applyBorder="1" applyAlignment="1">
      <alignment vertical="center"/>
    </xf>
    <xf numFmtId="0" fontId="4" fillId="25" borderId="15" xfId="2" applyFill="1" applyBorder="1" applyAlignment="1">
      <alignment horizontal="left" vertical="top" wrapText="1"/>
    </xf>
    <xf numFmtId="0" fontId="4" fillId="25" borderId="36" xfId="2" applyFill="1" applyBorder="1" applyAlignment="1">
      <alignment horizontal="center" vertical="top" wrapText="1"/>
    </xf>
    <xf numFmtId="0" fontId="4" fillId="25" borderId="11" xfId="2" applyFill="1" applyBorder="1" applyAlignment="1">
      <alignment vertical="top" wrapText="1"/>
    </xf>
    <xf numFmtId="0" fontId="4" fillId="25" borderId="13" xfId="2" applyFill="1" applyBorder="1" applyAlignment="1">
      <alignment vertical="top" wrapText="1"/>
    </xf>
    <xf numFmtId="0" fontId="4" fillId="25" borderId="18" xfId="2" applyFill="1" applyBorder="1" applyAlignment="1">
      <alignment horizontal="left" vertical="top" wrapText="1"/>
    </xf>
    <xf numFmtId="0" fontId="4" fillId="25" borderId="13" xfId="2" applyFill="1" applyBorder="1" applyAlignment="1">
      <alignment horizontal="left" vertical="top" wrapText="1"/>
    </xf>
    <xf numFmtId="0" fontId="4" fillId="25" borderId="51" xfId="2" applyFill="1" applyBorder="1" applyAlignment="1">
      <alignment horizontal="left" vertical="top" wrapText="1"/>
    </xf>
    <xf numFmtId="0" fontId="4" fillId="25" borderId="51" xfId="2" applyFill="1" applyBorder="1" applyAlignment="1">
      <alignment vertical="center"/>
    </xf>
    <xf numFmtId="0" fontId="4" fillId="25" borderId="0" xfId="2" applyFill="1"/>
    <xf numFmtId="0" fontId="4" fillId="25" borderId="1" xfId="2" applyFill="1" applyBorder="1" applyAlignment="1">
      <alignment horizontal="center" vertical="center" wrapText="1"/>
    </xf>
    <xf numFmtId="0" fontId="11" fillId="25" borderId="1" xfId="2" applyFont="1" applyFill="1" applyBorder="1" applyAlignment="1">
      <alignment horizontal="left" vertical="top"/>
    </xf>
    <xf numFmtId="0" fontId="4" fillId="25" borderId="12" xfId="2" applyFill="1" applyBorder="1" applyAlignment="1">
      <alignment horizontal="center" vertical="center" wrapText="1"/>
    </xf>
    <xf numFmtId="0" fontId="35" fillId="25" borderId="18" xfId="7" applyFont="1" applyFill="1" applyBorder="1" applyAlignment="1">
      <alignment horizontal="left" vertical="top" wrapText="1"/>
    </xf>
    <xf numFmtId="0" fontId="35" fillId="25" borderId="11" xfId="7" applyFont="1" applyFill="1" applyBorder="1" applyAlignment="1">
      <alignment horizontal="left" vertical="top" wrapText="1"/>
    </xf>
    <xf numFmtId="0" fontId="35" fillId="25" borderId="13" xfId="7" applyFont="1" applyFill="1" applyBorder="1" applyAlignment="1">
      <alignment horizontal="left" vertical="top" wrapText="1"/>
    </xf>
    <xf numFmtId="0" fontId="35" fillId="25" borderId="51" xfId="7" applyFont="1" applyFill="1" applyBorder="1" applyAlignment="1">
      <alignment vertical="center"/>
    </xf>
    <xf numFmtId="0" fontId="35" fillId="25" borderId="0" xfId="7" applyFont="1" applyFill="1" applyBorder="1" applyAlignment="1">
      <alignment vertical="center"/>
    </xf>
    <xf numFmtId="0" fontId="35" fillId="25" borderId="0" xfId="7" applyFont="1" applyFill="1" applyBorder="1"/>
    <xf numFmtId="0" fontId="35" fillId="25" borderId="18" xfId="2" applyFont="1" applyFill="1" applyBorder="1" applyAlignment="1">
      <alignment horizontal="left" vertical="top" wrapText="1"/>
    </xf>
    <xf numFmtId="0" fontId="35" fillId="25" borderId="13" xfId="2" applyFont="1" applyFill="1" applyBorder="1" applyAlignment="1">
      <alignment horizontal="left" vertical="top" wrapText="1"/>
    </xf>
    <xf numFmtId="0" fontId="35" fillId="25" borderId="51" xfId="2" applyFont="1" applyFill="1" applyBorder="1" applyAlignment="1">
      <alignment horizontal="left" vertical="top" wrapText="1"/>
    </xf>
    <xf numFmtId="0" fontId="35" fillId="25" borderId="51" xfId="2" applyFont="1" applyFill="1" applyBorder="1" applyAlignment="1">
      <alignment vertical="center"/>
    </xf>
    <xf numFmtId="0" fontId="35" fillId="25" borderId="0" xfId="2" applyFont="1" applyFill="1"/>
    <xf numFmtId="0" fontId="1" fillId="25" borderId="36" xfId="7" applyFont="1" applyFill="1" applyBorder="1" applyAlignment="1">
      <alignment horizontal="center" vertical="top" wrapText="1"/>
    </xf>
    <xf numFmtId="0" fontId="35" fillId="25" borderId="14" xfId="2" applyFont="1" applyFill="1" applyBorder="1" applyAlignment="1">
      <alignment vertical="top" wrapText="1"/>
    </xf>
    <xf numFmtId="1" fontId="36" fillId="25" borderId="27" xfId="2" applyNumberFormat="1" applyFont="1" applyFill="1" applyBorder="1" applyAlignment="1">
      <alignment horizontal="left" vertical="top" wrapText="1"/>
    </xf>
    <xf numFmtId="0" fontId="35" fillId="25" borderId="1" xfId="2" applyFont="1" applyFill="1" applyBorder="1" applyAlignment="1">
      <alignment vertical="top" wrapText="1"/>
    </xf>
    <xf numFmtId="0" fontId="35" fillId="25" borderId="1" xfId="2" applyFont="1" applyFill="1" applyBorder="1" applyAlignment="1">
      <alignment horizontal="center" vertical="center"/>
    </xf>
    <xf numFmtId="0" fontId="35" fillId="25" borderId="47" xfId="2" applyFont="1" applyFill="1" applyBorder="1" applyAlignment="1">
      <alignment horizontal="left" vertical="top" wrapText="1"/>
    </xf>
    <xf numFmtId="0" fontId="35" fillId="25" borderId="16" xfId="2" applyFont="1" applyFill="1" applyBorder="1" applyAlignment="1">
      <alignment horizontal="left" vertical="top" wrapText="1"/>
    </xf>
    <xf numFmtId="0" fontId="35" fillId="25" borderId="0" xfId="2" applyFont="1" applyFill="1" applyAlignment="1">
      <alignment wrapText="1"/>
    </xf>
    <xf numFmtId="0" fontId="35" fillId="25" borderId="15" xfId="7" applyFont="1" applyFill="1" applyBorder="1" applyAlignment="1">
      <alignment horizontal="left" vertical="top" wrapText="1"/>
    </xf>
    <xf numFmtId="0" fontId="35" fillId="25" borderId="102" xfId="7" applyFont="1" applyFill="1" applyBorder="1" applyAlignment="1">
      <alignment horizontal="left" vertical="top" wrapText="1"/>
    </xf>
    <xf numFmtId="0" fontId="4" fillId="26" borderId="12" xfId="0" applyFont="1" applyFill="1" applyBorder="1" applyAlignment="1">
      <alignment vertical="top" wrapText="1"/>
    </xf>
    <xf numFmtId="0" fontId="4" fillId="25" borderId="12" xfId="0" applyFont="1" applyFill="1" applyBorder="1" applyAlignment="1">
      <alignment vertical="top" wrapText="1"/>
    </xf>
    <xf numFmtId="0" fontId="35" fillId="25" borderId="12" xfId="0" applyFont="1" applyFill="1" applyBorder="1" applyAlignment="1">
      <alignment vertical="top" wrapText="1"/>
    </xf>
    <xf numFmtId="0" fontId="35" fillId="25" borderId="12" xfId="0" applyFont="1" applyFill="1" applyBorder="1" applyAlignment="1">
      <alignment horizontal="left" vertical="top" wrapText="1"/>
    </xf>
    <xf numFmtId="0" fontId="1" fillId="25" borderId="15" xfId="7" applyFont="1" applyFill="1" applyBorder="1" applyAlignment="1">
      <alignment horizontal="left" vertical="top" wrapText="1"/>
    </xf>
    <xf numFmtId="0" fontId="1" fillId="25" borderId="1" xfId="2" applyFont="1" applyFill="1" applyBorder="1" applyAlignment="1">
      <alignment horizontal="left" vertical="top" wrapText="1"/>
    </xf>
    <xf numFmtId="0" fontId="4" fillId="0" borderId="104" xfId="2" applyBorder="1" applyAlignment="1">
      <alignment vertical="top" wrapText="1"/>
    </xf>
    <xf numFmtId="0" fontId="35" fillId="25" borderId="1" xfId="2" applyFont="1" applyFill="1" applyBorder="1" applyAlignment="1">
      <alignment horizontal="center" vertical="top" wrapText="1"/>
    </xf>
    <xf numFmtId="0" fontId="28" fillId="0" borderId="15" xfId="2" applyFont="1" applyBorder="1" applyAlignment="1">
      <alignment horizontal="left" vertical="top" wrapText="1"/>
    </xf>
    <xf numFmtId="0" fontId="28" fillId="14" borderId="12" xfId="2" applyFont="1" applyFill="1" applyBorder="1" applyAlignment="1">
      <alignment horizontal="left" vertical="top" wrapText="1"/>
    </xf>
    <xf numFmtId="1" fontId="4" fillId="0" borderId="34" xfId="2" applyNumberFormat="1" applyBorder="1" applyAlignment="1">
      <alignment horizontal="left" vertical="top" wrapText="1"/>
    </xf>
    <xf numFmtId="0" fontId="4" fillId="0" borderId="1" xfId="2" applyBorder="1" applyAlignment="1">
      <alignment horizontal="left" vertical="top"/>
    </xf>
    <xf numFmtId="0" fontId="4" fillId="0" borderId="16" xfId="2" applyBorder="1" applyAlignment="1">
      <alignment horizontal="center" vertical="top" wrapText="1"/>
    </xf>
    <xf numFmtId="0" fontId="4" fillId="0" borderId="17" xfId="2" applyBorder="1" applyAlignment="1">
      <alignment horizontal="center" vertical="top" wrapText="1"/>
    </xf>
    <xf numFmtId="0" fontId="4" fillId="0" borderId="12" xfId="2" applyBorder="1" applyAlignment="1">
      <alignment wrapText="1"/>
    </xf>
    <xf numFmtId="1" fontId="28" fillId="0" borderId="36" xfId="2" applyNumberFormat="1" applyFont="1" applyBorder="1" applyAlignment="1">
      <alignment horizontal="left" vertical="top" wrapText="1"/>
    </xf>
    <xf numFmtId="164" fontId="19" fillId="0" borderId="105" xfId="9" applyNumberFormat="1" applyFont="1" applyBorder="1" applyAlignment="1">
      <alignment horizontal="center" vertical="center" wrapText="1"/>
    </xf>
    <xf numFmtId="165" fontId="19" fillId="0" borderId="106" xfId="9" applyNumberFormat="1" applyFont="1" applyBorder="1" applyAlignment="1">
      <alignment horizontal="center" vertical="center" wrapText="1"/>
    </xf>
    <xf numFmtId="0" fontId="4" fillId="25" borderId="16" xfId="2" applyFill="1" applyBorder="1"/>
    <xf numFmtId="0" fontId="35" fillId="25" borderId="16" xfId="2" applyFont="1" applyFill="1" applyBorder="1"/>
    <xf numFmtId="0" fontId="9" fillId="0" borderId="0" xfId="2" applyFont="1" applyBorder="1" applyAlignment="1">
      <alignment vertical="center"/>
    </xf>
    <xf numFmtId="0" fontId="9" fillId="0" borderId="0" xfId="2" applyFont="1" applyBorder="1"/>
    <xf numFmtId="0" fontId="28" fillId="0" borderId="0" xfId="2" applyFont="1" applyBorder="1"/>
    <xf numFmtId="0" fontId="1" fillId="25" borderId="0" xfId="2" applyFont="1" applyFill="1" applyBorder="1" applyAlignment="1">
      <alignment wrapText="1"/>
    </xf>
    <xf numFmtId="0" fontId="1" fillId="25" borderId="0" xfId="2" applyFont="1" applyFill="1" applyBorder="1"/>
    <xf numFmtId="0" fontId="28" fillId="25" borderId="0" xfId="2" applyFont="1" applyFill="1" applyBorder="1"/>
    <xf numFmtId="0" fontId="4" fillId="0" borderId="0" xfId="2" applyBorder="1" applyAlignment="1">
      <alignment wrapText="1"/>
    </xf>
    <xf numFmtId="0" fontId="1" fillId="14" borderId="0" xfId="2" applyFont="1" applyFill="1" applyBorder="1" applyAlignment="1">
      <alignment wrapText="1"/>
    </xf>
    <xf numFmtId="0" fontId="1" fillId="14" borderId="0" xfId="2" applyFont="1" applyFill="1" applyBorder="1"/>
    <xf numFmtId="0" fontId="4" fillId="14" borderId="0" xfId="2" applyFill="1" applyBorder="1"/>
    <xf numFmtId="0" fontId="28" fillId="14" borderId="0" xfId="2" applyFont="1" applyFill="1" applyBorder="1"/>
    <xf numFmtId="0" fontId="4" fillId="13" borderId="0" xfId="2" applyFill="1" applyBorder="1"/>
    <xf numFmtId="0" fontId="35" fillId="25" borderId="0" xfId="2" applyFont="1" applyFill="1" applyBorder="1" applyAlignment="1">
      <alignment wrapText="1"/>
    </xf>
    <xf numFmtId="0" fontId="11" fillId="14" borderId="0" xfId="2" applyFont="1" applyFill="1" applyBorder="1" applyAlignment="1">
      <alignment vertical="top"/>
    </xf>
    <xf numFmtId="0" fontId="11" fillId="14" borderId="0" xfId="2" applyFont="1" applyFill="1" applyBorder="1" applyAlignment="1">
      <alignment horizontal="left" vertical="top"/>
    </xf>
    <xf numFmtId="0" fontId="4" fillId="14" borderId="0" xfId="2" applyFill="1" applyBorder="1" applyAlignment="1">
      <alignment vertical="center"/>
    </xf>
    <xf numFmtId="0" fontId="1" fillId="25" borderId="0" xfId="2" applyFont="1" applyFill="1" applyBorder="1" applyAlignment="1">
      <alignment vertical="center" wrapText="1"/>
    </xf>
    <xf numFmtId="0" fontId="1" fillId="25" borderId="0" xfId="2" applyFont="1" applyFill="1" applyBorder="1" applyAlignment="1">
      <alignment vertical="center"/>
    </xf>
    <xf numFmtId="0" fontId="28" fillId="14" borderId="0" xfId="2" applyFont="1" applyFill="1" applyBorder="1" applyAlignment="1">
      <alignment vertical="center"/>
    </xf>
    <xf numFmtId="0" fontId="4" fillId="25" borderId="0" xfId="2" applyFill="1" applyBorder="1" applyAlignment="1">
      <alignment vertical="center"/>
    </xf>
    <xf numFmtId="0" fontId="35" fillId="25" borderId="0" xfId="2" applyFont="1" applyFill="1" applyBorder="1" applyAlignment="1">
      <alignment vertical="center"/>
    </xf>
    <xf numFmtId="0" fontId="4" fillId="0" borderId="0" xfId="2" applyBorder="1" applyAlignment="1">
      <alignment horizontal="left" vertical="top"/>
    </xf>
    <xf numFmtId="0" fontId="28" fillId="25" borderId="0" xfId="2" applyFont="1" applyFill="1" applyBorder="1" applyAlignment="1">
      <alignment vertical="center"/>
    </xf>
    <xf numFmtId="0" fontId="4" fillId="0" borderId="0" xfId="2" applyBorder="1" applyAlignment="1">
      <alignment vertical="center" wrapText="1"/>
    </xf>
    <xf numFmtId="0" fontId="1" fillId="14" borderId="0" xfId="2" applyFont="1" applyFill="1" applyBorder="1" applyAlignment="1">
      <alignment vertical="center" wrapText="1"/>
    </xf>
    <xf numFmtId="0" fontId="1" fillId="14" borderId="0" xfId="2" applyFont="1" applyFill="1" applyBorder="1" applyAlignment="1">
      <alignment vertical="center"/>
    </xf>
    <xf numFmtId="0" fontId="4" fillId="13" borderId="0" xfId="2" applyFill="1" applyBorder="1" applyAlignment="1">
      <alignment vertical="center"/>
    </xf>
    <xf numFmtId="0" fontId="35" fillId="25" borderId="0" xfId="2" applyFont="1" applyFill="1" applyBorder="1" applyAlignment="1">
      <alignment vertical="center" wrapText="1"/>
    </xf>
    <xf numFmtId="0" fontId="37" fillId="25" borderId="9" xfId="2" applyFont="1" applyFill="1" applyBorder="1" applyAlignment="1">
      <alignment horizontal="left" vertical="top"/>
    </xf>
    <xf numFmtId="0" fontId="37" fillId="25" borderId="107" xfId="2" applyFont="1" applyFill="1" applyBorder="1" applyAlignment="1">
      <alignment horizontal="left" vertical="top"/>
    </xf>
    <xf numFmtId="0" fontId="11" fillId="25" borderId="9" xfId="2" applyFont="1" applyFill="1" applyBorder="1" applyAlignment="1">
      <alignment horizontal="left" vertical="top"/>
    </xf>
    <xf numFmtId="0" fontId="11" fillId="25" borderId="107" xfId="2" applyFont="1" applyFill="1" applyBorder="1" applyAlignment="1">
      <alignment horizontal="left" vertical="top"/>
    </xf>
    <xf numFmtId="0" fontId="11" fillId="14" borderId="9" xfId="2" applyFont="1" applyFill="1" applyBorder="1" applyAlignment="1">
      <alignment horizontal="left" vertical="top"/>
    </xf>
    <xf numFmtId="1" fontId="4" fillId="3" borderId="34" xfId="2" applyNumberFormat="1" applyFill="1" applyBorder="1" applyAlignment="1">
      <alignment horizontal="left" vertical="top" wrapText="1"/>
    </xf>
    <xf numFmtId="0" fontId="4" fillId="0" borderId="54" xfId="2" applyBorder="1" applyAlignment="1">
      <alignment horizontal="left" vertical="top"/>
    </xf>
    <xf numFmtId="0" fontId="4" fillId="0" borderId="16" xfId="2" applyBorder="1" applyAlignment="1">
      <alignment horizontal="left" vertical="top"/>
    </xf>
    <xf numFmtId="0" fontId="4" fillId="14" borderId="1" xfId="2" applyFill="1" applyBorder="1" applyAlignment="1">
      <alignment horizontal="left" vertical="top" wrapText="1"/>
    </xf>
    <xf numFmtId="0" fontId="38" fillId="25" borderId="1" xfId="2" applyFont="1" applyFill="1" applyBorder="1" applyAlignment="1">
      <alignment horizontal="left" vertical="top" wrapText="1"/>
    </xf>
    <xf numFmtId="0" fontId="28" fillId="0" borderId="12" xfId="2" applyFont="1" applyBorder="1" applyAlignment="1">
      <alignment vertical="top" wrapText="1"/>
    </xf>
    <xf numFmtId="0" fontId="4" fillId="0" borderId="1" xfId="2" applyBorder="1" applyAlignment="1">
      <alignment vertical="center" wrapText="1"/>
    </xf>
    <xf numFmtId="0" fontId="32" fillId="14" borderId="47" xfId="7" applyFill="1" applyBorder="1" applyAlignment="1">
      <alignment horizontal="left" vertical="top" wrapText="1"/>
    </xf>
    <xf numFmtId="0" fontId="1" fillId="0" borderId="0" xfId="4" applyFill="1"/>
    <xf numFmtId="1" fontId="1" fillId="0" borderId="0" xfId="4" applyNumberFormat="1" applyFill="1"/>
    <xf numFmtId="0" fontId="4" fillId="25" borderId="54" xfId="2" applyFill="1" applyBorder="1" applyAlignment="1">
      <alignment horizontal="left" vertical="top" wrapText="1"/>
    </xf>
    <xf numFmtId="0" fontId="4" fillId="25" borderId="16" xfId="2" applyFill="1" applyBorder="1" applyAlignment="1">
      <alignment horizontal="left" vertical="top" wrapText="1"/>
    </xf>
    <xf numFmtId="0" fontId="4" fillId="0" borderId="18" xfId="2" applyBorder="1" applyAlignment="1">
      <alignment vertical="top" wrapText="1"/>
    </xf>
    <xf numFmtId="0" fontId="4" fillId="14" borderId="51" xfId="2" applyFill="1" applyBorder="1" applyAlignment="1">
      <alignment horizontal="center" vertical="top" wrapText="1"/>
    </xf>
    <xf numFmtId="164" fontId="19" fillId="0" borderId="92" xfId="9" applyNumberFormat="1" applyFont="1" applyBorder="1" applyAlignment="1">
      <alignment horizontal="center" vertical="center" wrapText="1"/>
    </xf>
    <xf numFmtId="165" fontId="19" fillId="0" borderId="92" xfId="9" applyNumberFormat="1" applyFont="1" applyBorder="1" applyAlignment="1">
      <alignment horizontal="center" vertical="center" wrapText="1"/>
    </xf>
    <xf numFmtId="0" fontId="19" fillId="0" borderId="92" xfId="9" applyFont="1" applyBorder="1" applyAlignment="1">
      <alignment horizontal="left" vertical="center" wrapText="1" indent="1" readingOrder="1"/>
    </xf>
    <xf numFmtId="0" fontId="4" fillId="0" borderId="32" xfId="2" applyBorder="1"/>
    <xf numFmtId="164" fontId="19" fillId="0" borderId="65" xfId="9" applyNumberFormat="1" applyFont="1" applyBorder="1" applyAlignment="1">
      <alignment horizontal="center" vertical="center" wrapText="1"/>
    </xf>
    <xf numFmtId="165" fontId="19" fillId="0" borderId="66" xfId="9" applyNumberFormat="1" applyFont="1" applyBorder="1" applyAlignment="1">
      <alignment horizontal="center" vertical="center" wrapText="1"/>
    </xf>
    <xf numFmtId="0" fontId="19" fillId="0" borderId="67" xfId="9" applyFont="1" applyBorder="1" applyAlignment="1">
      <alignment horizontal="left" vertical="center" wrapText="1" indent="1" readingOrder="1"/>
    </xf>
    <xf numFmtId="0" fontId="16" fillId="0" borderId="0" xfId="0" applyFont="1" applyAlignment="1">
      <alignment horizontal="center" vertical="center"/>
    </xf>
    <xf numFmtId="0" fontId="4" fillId="0" borderId="14" xfId="2" applyBorder="1" applyAlignment="1">
      <alignment horizontal="left" vertical="top" wrapText="1"/>
    </xf>
    <xf numFmtId="0" fontId="4" fillId="0" borderId="49" xfId="2" applyBorder="1" applyAlignment="1">
      <alignment horizontal="left" vertical="top" wrapText="1"/>
    </xf>
    <xf numFmtId="0" fontId="4" fillId="0" borderId="12" xfId="2" applyBorder="1" applyAlignment="1">
      <alignment horizontal="left" vertical="top" wrapText="1"/>
    </xf>
    <xf numFmtId="0" fontId="4" fillId="0" borderId="14" xfId="2" applyBorder="1" applyAlignment="1">
      <alignment horizontal="center" vertical="top" wrapText="1"/>
    </xf>
    <xf numFmtId="0" fontId="4" fillId="0" borderId="49" xfId="2" applyBorder="1" applyAlignment="1">
      <alignment horizontal="center" vertical="top" wrapText="1"/>
    </xf>
    <xf numFmtId="0" fontId="35" fillId="25" borderId="14" xfId="2" applyFont="1" applyFill="1" applyBorder="1" applyAlignment="1">
      <alignment horizontal="center" vertical="top" wrapText="1"/>
    </xf>
    <xf numFmtId="0" fontId="4" fillId="25" borderId="12" xfId="2" applyFill="1" applyBorder="1" applyAlignment="1">
      <alignment horizontal="left" vertical="top" wrapText="1"/>
    </xf>
    <xf numFmtId="0" fontId="4" fillId="25" borderId="1" xfId="2" applyFill="1" applyBorder="1" applyAlignment="1">
      <alignment horizontal="left" vertical="top" wrapText="1"/>
    </xf>
    <xf numFmtId="0" fontId="4" fillId="0" borderId="1" xfId="2" applyBorder="1" applyAlignment="1">
      <alignment horizontal="left" vertical="top" wrapText="1"/>
    </xf>
    <xf numFmtId="0" fontId="4" fillId="0" borderId="1" xfId="2" applyBorder="1" applyAlignment="1">
      <alignment horizontal="center" vertical="top" wrapText="1"/>
    </xf>
    <xf numFmtId="0" fontId="28" fillId="0" borderId="14" xfId="2" applyFont="1" applyBorder="1" applyAlignment="1">
      <alignment horizontal="left" vertical="top" wrapText="1"/>
    </xf>
    <xf numFmtId="0" fontId="28" fillId="0" borderId="12" xfId="2" applyFont="1" applyBorder="1" applyAlignment="1">
      <alignment horizontal="left" vertical="top" wrapText="1"/>
    </xf>
    <xf numFmtId="0" fontId="35" fillId="25" borderId="12" xfId="2" applyFont="1" applyFill="1" applyBorder="1" applyAlignment="1">
      <alignment horizontal="left" vertical="top" wrapText="1"/>
    </xf>
    <xf numFmtId="0" fontId="35" fillId="25" borderId="1" xfId="2" applyFont="1" applyFill="1" applyBorder="1" applyAlignment="1">
      <alignment horizontal="left" vertical="top" wrapText="1"/>
    </xf>
    <xf numFmtId="0" fontId="4" fillId="14" borderId="12" xfId="2" applyFill="1" applyBorder="1" applyAlignment="1">
      <alignment horizontal="left" vertical="top" wrapText="1"/>
    </xf>
    <xf numFmtId="0" fontId="4" fillId="0" borderId="99" xfId="2" applyBorder="1" applyAlignment="1">
      <alignment horizontal="left" vertical="top" wrapText="1"/>
    </xf>
    <xf numFmtId="0" fontId="4" fillId="0" borderId="47" xfId="2" applyBorder="1" applyAlignment="1">
      <alignment horizontal="left" vertical="top" wrapText="1"/>
    </xf>
    <xf numFmtId="0" fontId="4" fillId="0" borderId="15" xfId="2" applyBorder="1" applyAlignment="1">
      <alignment horizontal="left" vertical="top" wrapText="1"/>
    </xf>
    <xf numFmtId="0" fontId="4" fillId="0" borderId="47" xfId="2" applyBorder="1" applyAlignment="1">
      <alignment vertical="top" wrapText="1"/>
    </xf>
    <xf numFmtId="0" fontId="4" fillId="0" borderId="99" xfId="2" applyBorder="1" applyAlignment="1">
      <alignment vertical="top" wrapText="1"/>
    </xf>
    <xf numFmtId="0" fontId="4" fillId="0" borderId="14" xfId="2" applyBorder="1" applyAlignment="1">
      <alignment vertical="top" wrapText="1"/>
    </xf>
    <xf numFmtId="0" fontId="4" fillId="0" borderId="49" xfId="2" applyBorder="1" applyAlignment="1">
      <alignment vertical="top" wrapText="1"/>
    </xf>
    <xf numFmtId="0" fontId="4" fillId="0" borderId="12" xfId="2" applyBorder="1" applyAlignment="1">
      <alignment vertical="top" wrapText="1"/>
    </xf>
    <xf numFmtId="0" fontId="35" fillId="25" borderId="49" xfId="2" applyFont="1" applyFill="1" applyBorder="1" applyAlignment="1">
      <alignment horizontal="left" vertical="top" wrapText="1"/>
    </xf>
    <xf numFmtId="0" fontId="4" fillId="0" borderId="46" xfId="2" applyBorder="1" applyAlignment="1">
      <alignment horizontal="left" vertical="top" wrapText="1"/>
    </xf>
    <xf numFmtId="0" fontId="4" fillId="0" borderId="18" xfId="2" applyBorder="1" applyAlignment="1">
      <alignment horizontal="left" vertical="top" wrapText="1"/>
    </xf>
    <xf numFmtId="0" fontId="36" fillId="25" borderId="12" xfId="2" applyFont="1" applyFill="1" applyBorder="1" applyAlignment="1">
      <alignment horizontal="left" vertical="top" wrapText="1"/>
    </xf>
    <xf numFmtId="0" fontId="35" fillId="25" borderId="12" xfId="7" applyFont="1" applyFill="1" applyBorder="1" applyAlignment="1">
      <alignment horizontal="left" vertical="top" wrapText="1"/>
    </xf>
    <xf numFmtId="0" fontId="1" fillId="25" borderId="14" xfId="2" applyFont="1" applyFill="1" applyBorder="1" applyAlignment="1">
      <alignment horizontal="left" vertical="top" wrapText="1"/>
    </xf>
    <xf numFmtId="0" fontId="1" fillId="25" borderId="12" xfId="2" applyFont="1" applyFill="1" applyBorder="1" applyAlignment="1">
      <alignment horizontal="left" vertical="top" wrapText="1"/>
    </xf>
    <xf numFmtId="0" fontId="9" fillId="14" borderId="0" xfId="2" applyFont="1" applyFill="1" applyBorder="1" applyAlignment="1">
      <alignment horizontal="center" vertical="center" wrapText="1"/>
    </xf>
    <xf numFmtId="0" fontId="1" fillId="25" borderId="0" xfId="2" applyFont="1" applyFill="1" applyAlignment="1">
      <alignment wrapText="1"/>
    </xf>
    <xf numFmtId="0" fontId="1" fillId="25" borderId="0" xfId="2" applyFont="1" applyFill="1"/>
    <xf numFmtId="0" fontId="35" fillId="26" borderId="12" xfId="0" applyFont="1" applyFill="1" applyBorder="1" applyAlignment="1">
      <alignment vertical="top" wrapText="1"/>
    </xf>
    <xf numFmtId="0" fontId="1" fillId="23" borderId="0" xfId="2" applyFont="1" applyFill="1" applyAlignment="1">
      <alignment wrapText="1"/>
    </xf>
    <xf numFmtId="0" fontId="1" fillId="23" borderId="0" xfId="2" applyFont="1" applyFill="1"/>
    <xf numFmtId="0" fontId="6" fillId="18" borderId="69" xfId="5" applyFont="1" applyFill="1" applyBorder="1" applyAlignment="1">
      <alignment horizontal="center" vertical="center" wrapText="1"/>
    </xf>
    <xf numFmtId="0" fontId="6" fillId="18" borderId="70" xfId="5" applyFont="1" applyFill="1" applyBorder="1" applyAlignment="1">
      <alignment horizontal="center" vertical="center" wrapText="1"/>
    </xf>
    <xf numFmtId="0" fontId="6" fillId="18" borderId="71" xfId="5" applyFont="1" applyFill="1" applyBorder="1" applyAlignment="1">
      <alignment horizontal="center" vertical="center" wrapText="1"/>
    </xf>
    <xf numFmtId="0" fontId="5" fillId="0" borderId="73" xfId="0" applyFont="1" applyBorder="1" applyAlignment="1" applyProtection="1">
      <alignment horizontal="left" vertical="center" wrapText="1"/>
      <protection locked="0"/>
    </xf>
    <xf numFmtId="0" fontId="5" fillId="0" borderId="74" xfId="0" applyFont="1" applyBorder="1" applyAlignment="1" applyProtection="1">
      <alignment horizontal="left" vertical="center" wrapText="1"/>
      <protection locked="0"/>
    </xf>
    <xf numFmtId="0" fontId="4" fillId="0" borderId="76" xfId="0" applyFont="1" applyBorder="1" applyAlignment="1" applyProtection="1">
      <alignment horizontal="left" vertical="center" wrapText="1"/>
      <protection locked="0"/>
    </xf>
    <xf numFmtId="0" fontId="4" fillId="0" borderId="77" xfId="0" applyFont="1" applyBorder="1" applyAlignment="1" applyProtection="1">
      <alignment horizontal="left" vertical="center" wrapText="1"/>
      <protection locked="0"/>
    </xf>
    <xf numFmtId="0" fontId="18" fillId="18" borderId="55" xfId="9" applyFont="1" applyFill="1" applyBorder="1" applyAlignment="1">
      <alignment horizontal="left" vertical="center" wrapText="1"/>
    </xf>
    <xf numFmtId="0" fontId="18" fillId="18" borderId="56" xfId="9" applyFont="1" applyFill="1" applyBorder="1" applyAlignment="1">
      <alignment horizontal="left" vertical="center" wrapText="1"/>
    </xf>
    <xf numFmtId="0" fontId="18" fillId="18" borderId="57" xfId="9" applyFont="1" applyFill="1" applyBorder="1" applyAlignment="1">
      <alignment horizontal="left" vertical="center" wrapText="1"/>
    </xf>
    <xf numFmtId="164" fontId="19" fillId="0" borderId="65" xfId="9" applyNumberFormat="1" applyFont="1" applyBorder="1" applyAlignment="1">
      <alignment horizontal="center" vertical="center" wrapText="1"/>
    </xf>
    <xf numFmtId="164" fontId="19" fillId="0" borderId="68" xfId="9" applyNumberFormat="1" applyFont="1" applyBorder="1" applyAlignment="1">
      <alignment horizontal="center" vertical="center" wrapText="1"/>
    </xf>
    <xf numFmtId="165" fontId="19" fillId="0" borderId="66" xfId="9" applyNumberFormat="1" applyFont="1" applyBorder="1" applyAlignment="1">
      <alignment horizontal="center" vertical="center" wrapText="1"/>
    </xf>
    <xf numFmtId="165" fontId="19" fillId="0" borderId="95" xfId="9" applyNumberFormat="1" applyFont="1" applyBorder="1" applyAlignment="1">
      <alignment horizontal="center" vertical="center" wrapText="1"/>
    </xf>
    <xf numFmtId="0" fontId="19" fillId="0" borderId="67" xfId="9" applyFont="1" applyBorder="1" applyAlignment="1">
      <alignment horizontal="left" vertical="center" wrapText="1" indent="1" readingOrder="1"/>
    </xf>
    <xf numFmtId="0" fontId="19" fillId="0" borderId="96" xfId="9" applyFont="1" applyBorder="1" applyAlignment="1">
      <alignment horizontal="left" vertical="center" wrapText="1" indent="1" readingOrder="1"/>
    </xf>
    <xf numFmtId="0" fontId="18" fillId="18" borderId="55" xfId="5" applyFont="1" applyFill="1" applyBorder="1" applyAlignment="1">
      <alignment horizontal="left" vertical="center" wrapText="1"/>
    </xf>
    <xf numFmtId="0" fontId="18" fillId="18" borderId="56" xfId="5" applyFont="1" applyFill="1" applyBorder="1" applyAlignment="1">
      <alignment horizontal="left" vertical="center" wrapText="1"/>
    </xf>
    <xf numFmtId="0" fontId="18" fillId="18" borderId="57" xfId="5" applyFont="1" applyFill="1" applyBorder="1" applyAlignment="1">
      <alignment horizontal="left" vertical="center" wrapText="1"/>
    </xf>
    <xf numFmtId="0" fontId="16" fillId="0" borderId="0" xfId="0" applyFont="1" applyAlignment="1">
      <alignment horizontal="center" vertical="center" textRotation="90"/>
    </xf>
    <xf numFmtId="0" fontId="16" fillId="0" borderId="0" xfId="0" applyFont="1" applyAlignment="1">
      <alignment horizontal="center" vertical="center"/>
    </xf>
    <xf numFmtId="0" fontId="16" fillId="0" borderId="0" xfId="0" applyFont="1" applyAlignment="1">
      <alignment horizontal="right" vertical="center" textRotation="90"/>
    </xf>
    <xf numFmtId="0" fontId="16" fillId="0" borderId="0" xfId="0" applyFont="1" applyAlignment="1">
      <alignment horizontal="center"/>
    </xf>
    <xf numFmtId="0" fontId="4" fillId="0" borderId="33" xfId="0" applyFont="1" applyBorder="1" applyAlignment="1">
      <alignment horizontal="right"/>
    </xf>
    <xf numFmtId="0" fontId="0" fillId="0" borderId="32" xfId="0" applyBorder="1" applyAlignment="1">
      <alignment horizontal="right"/>
    </xf>
    <xf numFmtId="0" fontId="4" fillId="0" borderId="34" xfId="0" applyFont="1" applyBorder="1" applyAlignment="1">
      <alignment horizontal="right"/>
    </xf>
    <xf numFmtId="0" fontId="4" fillId="0" borderId="35" xfId="0" applyFont="1" applyBorder="1" applyAlignment="1">
      <alignment horizontal="right"/>
    </xf>
    <xf numFmtId="0" fontId="0" fillId="0" borderId="33" xfId="0" applyBorder="1" applyAlignment="1">
      <alignment horizontal="right"/>
    </xf>
    <xf numFmtId="0" fontId="0" fillId="0" borderId="34" xfId="0" applyBorder="1" applyAlignment="1">
      <alignment horizontal="right"/>
    </xf>
    <xf numFmtId="0" fontId="0" fillId="0" borderId="35" xfId="0" applyBorder="1" applyAlignment="1">
      <alignment horizontal="right"/>
    </xf>
    <xf numFmtId="0" fontId="21" fillId="20" borderId="1" xfId="0" applyFont="1" applyFill="1" applyBorder="1" applyAlignment="1">
      <alignment horizontal="center" vertical="center" wrapText="1"/>
    </xf>
    <xf numFmtId="0" fontId="21" fillId="19" borderId="1" xfId="0" applyFont="1" applyFill="1" applyBorder="1" applyAlignment="1">
      <alignment horizontal="left" wrapText="1"/>
    </xf>
    <xf numFmtId="0" fontId="6" fillId="15" borderId="83" xfId="0" applyFont="1" applyFill="1" applyBorder="1" applyAlignment="1">
      <alignment horizontal="center" vertical="center" wrapText="1"/>
    </xf>
    <xf numFmtId="0" fontId="6" fillId="15" borderId="16" xfId="0" applyFont="1" applyFill="1" applyBorder="1" applyAlignment="1">
      <alignment horizontal="center" vertical="center" wrapText="1"/>
    </xf>
    <xf numFmtId="0" fontId="10" fillId="0" borderId="0" xfId="0" applyFont="1" applyAlignment="1">
      <alignment horizontal="center" vertical="center" wrapText="1"/>
    </xf>
    <xf numFmtId="0" fontId="18" fillId="18" borderId="55" xfId="4" applyFont="1" applyFill="1" applyBorder="1" applyAlignment="1">
      <alignment horizontal="left" vertical="center" wrapText="1"/>
    </xf>
    <xf numFmtId="0" fontId="18" fillId="18" borderId="56" xfId="4" applyFont="1" applyFill="1" applyBorder="1" applyAlignment="1">
      <alignment horizontal="left" vertical="center" wrapText="1"/>
    </xf>
    <xf numFmtId="0" fontId="18" fillId="18" borderId="57" xfId="4" applyFont="1" applyFill="1" applyBorder="1" applyAlignment="1">
      <alignment horizontal="left" vertical="center" wrapText="1"/>
    </xf>
    <xf numFmtId="0" fontId="4" fillId="0" borderId="14" xfId="2" applyBorder="1" applyAlignment="1">
      <alignment horizontal="left" vertical="top" wrapText="1"/>
    </xf>
    <xf numFmtId="0" fontId="4" fillId="0" borderId="12" xfId="2" applyBorder="1" applyAlignment="1">
      <alignment horizontal="left" vertical="top" wrapText="1"/>
    </xf>
    <xf numFmtId="0" fontId="4" fillId="0" borderId="14" xfId="2" applyBorder="1" applyAlignment="1">
      <alignment horizontal="center" vertical="top" wrapText="1"/>
    </xf>
    <xf numFmtId="0" fontId="4" fillId="0" borderId="12" xfId="2" applyBorder="1" applyAlignment="1">
      <alignment horizontal="center" vertical="top" wrapText="1"/>
    </xf>
    <xf numFmtId="0" fontId="4" fillId="24" borderId="49" xfId="2" applyFill="1" applyBorder="1" applyAlignment="1">
      <alignment horizontal="left" vertical="top" wrapText="1"/>
    </xf>
    <xf numFmtId="0" fontId="4" fillId="24" borderId="12" xfId="2" applyFill="1" applyBorder="1" applyAlignment="1">
      <alignment horizontal="left" vertical="top" wrapText="1"/>
    </xf>
    <xf numFmtId="0" fontId="4" fillId="0" borderId="49" xfId="2" applyBorder="1" applyAlignment="1">
      <alignment horizontal="left" vertical="top" wrapText="1"/>
    </xf>
    <xf numFmtId="0" fontId="4" fillId="0" borderId="49" xfId="2" applyBorder="1" applyAlignment="1">
      <alignment horizontal="center" vertical="top" wrapText="1"/>
    </xf>
    <xf numFmtId="0" fontId="28" fillId="0" borderId="14" xfId="2" applyFont="1" applyBorder="1" applyAlignment="1">
      <alignment horizontal="left" vertical="top" wrapText="1"/>
    </xf>
    <xf numFmtId="0" fontId="35" fillId="25" borderId="14" xfId="2" applyFont="1" applyFill="1" applyBorder="1" applyAlignment="1">
      <alignment horizontal="center" vertical="top" wrapText="1"/>
    </xf>
    <xf numFmtId="0" fontId="35" fillId="25" borderId="12" xfId="2" applyFont="1" applyFill="1" applyBorder="1" applyAlignment="1">
      <alignment horizontal="center" vertical="top" wrapText="1"/>
    </xf>
    <xf numFmtId="0" fontId="35" fillId="25" borderId="1" xfId="2" applyFont="1" applyFill="1" applyBorder="1" applyAlignment="1">
      <alignment horizontal="left" vertical="top" wrapText="1"/>
    </xf>
    <xf numFmtId="0" fontId="35" fillId="25" borderId="14" xfId="2" applyFont="1" applyFill="1" applyBorder="1" applyAlignment="1">
      <alignment horizontal="left" vertical="top" wrapText="1"/>
    </xf>
    <xf numFmtId="0" fontId="35" fillId="25" borderId="90" xfId="2" applyFont="1" applyFill="1" applyBorder="1" applyAlignment="1">
      <alignment horizontal="left" vertical="top" wrapText="1"/>
    </xf>
    <xf numFmtId="0" fontId="35" fillId="25" borderId="12" xfId="2" applyFont="1" applyFill="1" applyBorder="1" applyAlignment="1">
      <alignment horizontal="left" vertical="top" wrapText="1"/>
    </xf>
    <xf numFmtId="0" fontId="4" fillId="25" borderId="14" xfId="2" applyFill="1" applyBorder="1" applyAlignment="1">
      <alignment horizontal="left" vertical="top" wrapText="1"/>
    </xf>
    <xf numFmtId="0" fontId="4" fillId="25" borderId="12" xfId="2" applyFill="1" applyBorder="1" applyAlignment="1">
      <alignment horizontal="left" vertical="top" wrapText="1"/>
    </xf>
    <xf numFmtId="0" fontId="4" fillId="25" borderId="14" xfId="2" applyFill="1" applyBorder="1" applyAlignment="1">
      <alignment horizontal="center" vertical="top" wrapText="1"/>
    </xf>
    <xf numFmtId="0" fontId="4" fillId="25" borderId="12" xfId="2" applyFill="1" applyBorder="1" applyAlignment="1">
      <alignment horizontal="center" vertical="top" wrapText="1"/>
    </xf>
    <xf numFmtId="0" fontId="35" fillId="25" borderId="49" xfId="2" applyFont="1" applyFill="1" applyBorder="1" applyAlignment="1">
      <alignment horizontal="left" vertical="top" wrapText="1"/>
    </xf>
    <xf numFmtId="0" fontId="9" fillId="14" borderId="32" xfId="2" applyFont="1" applyFill="1" applyBorder="1" applyAlignment="1">
      <alignment horizontal="center" vertical="center" wrapText="1"/>
    </xf>
    <xf numFmtId="0" fontId="9" fillId="14" borderId="0" xfId="2" applyFont="1" applyFill="1" applyBorder="1" applyAlignment="1">
      <alignment horizontal="center" vertical="center" wrapText="1"/>
    </xf>
    <xf numFmtId="0" fontId="4" fillId="14" borderId="14" xfId="2" applyFill="1" applyBorder="1" applyAlignment="1">
      <alignment horizontal="center" vertical="top" wrapText="1"/>
    </xf>
    <xf numFmtId="0" fontId="4" fillId="14" borderId="12" xfId="2" applyFill="1" applyBorder="1" applyAlignment="1">
      <alignment horizontal="center" vertical="top" wrapText="1"/>
    </xf>
    <xf numFmtId="0" fontId="35" fillId="25" borderId="49" xfId="2" applyFont="1" applyFill="1" applyBorder="1" applyAlignment="1">
      <alignment horizontal="center" vertical="top" wrapText="1"/>
    </xf>
    <xf numFmtId="0" fontId="4" fillId="25" borderId="49" xfId="2" applyFill="1" applyBorder="1" applyAlignment="1">
      <alignment horizontal="center" vertical="top" wrapText="1"/>
    </xf>
    <xf numFmtId="0" fontId="4" fillId="0" borderId="86" xfId="2" applyBorder="1" applyAlignment="1">
      <alignment horizontal="left" vertical="top" wrapText="1"/>
    </xf>
    <xf numFmtId="0" fontId="32" fillId="24" borderId="12" xfId="7" applyBorder="1" applyAlignment="1">
      <alignment horizontal="center" vertical="top" wrapText="1"/>
    </xf>
    <xf numFmtId="0" fontId="4" fillId="0" borderId="86" xfId="2" applyBorder="1" applyAlignment="1">
      <alignment horizontal="center" vertical="top" wrapText="1"/>
    </xf>
    <xf numFmtId="0" fontId="4" fillId="0" borderId="1" xfId="2" applyBorder="1" applyAlignment="1">
      <alignment horizontal="left" vertical="top" wrapText="1"/>
    </xf>
    <xf numFmtId="0" fontId="4" fillId="0" borderId="1" xfId="2" applyBorder="1" applyAlignment="1">
      <alignment horizontal="center" vertical="top" wrapText="1"/>
    </xf>
    <xf numFmtId="0" fontId="1" fillId="25" borderId="14" xfId="2" applyFont="1" applyFill="1" applyBorder="1" applyAlignment="1">
      <alignment horizontal="left" vertical="top" wrapText="1"/>
    </xf>
    <xf numFmtId="0" fontId="1" fillId="25" borderId="49" xfId="2" applyFont="1" applyFill="1" applyBorder="1" applyAlignment="1">
      <alignment horizontal="left" vertical="top" wrapText="1"/>
    </xf>
    <xf numFmtId="0" fontId="1" fillId="25" borderId="12" xfId="2" applyFont="1" applyFill="1" applyBorder="1" applyAlignment="1">
      <alignment horizontal="left" vertical="top" wrapText="1"/>
    </xf>
    <xf numFmtId="0" fontId="1" fillId="25" borderId="14" xfId="2" applyFont="1" applyFill="1" applyBorder="1" applyAlignment="1">
      <alignment horizontal="center" vertical="top" wrapText="1"/>
    </xf>
    <xf numFmtId="0" fontId="1" fillId="25" borderId="49" xfId="2" applyFont="1" applyFill="1" applyBorder="1" applyAlignment="1">
      <alignment horizontal="center" vertical="top" wrapText="1"/>
    </xf>
    <xf numFmtId="0" fontId="1" fillId="25" borderId="12" xfId="2" applyFont="1" applyFill="1" applyBorder="1" applyAlignment="1">
      <alignment horizontal="center" vertical="top" wrapText="1"/>
    </xf>
    <xf numFmtId="0" fontId="4" fillId="0" borderId="90" xfId="2" applyBorder="1" applyAlignment="1">
      <alignment horizontal="center" vertical="top" wrapText="1"/>
    </xf>
    <xf numFmtId="0" fontId="28" fillId="0" borderId="12" xfId="2" applyFont="1" applyBorder="1" applyAlignment="1">
      <alignment horizontal="left" vertical="top" wrapText="1"/>
    </xf>
    <xf numFmtId="0" fontId="35" fillId="25" borderId="14" xfId="7" applyFont="1" applyFill="1" applyBorder="1" applyAlignment="1">
      <alignment horizontal="left" vertical="top" wrapText="1"/>
    </xf>
    <xf numFmtId="0" fontId="4" fillId="0" borderId="90" xfId="2" applyBorder="1" applyAlignment="1">
      <alignment horizontal="left" vertical="top" wrapText="1"/>
    </xf>
    <xf numFmtId="0" fontId="4" fillId="25" borderId="1" xfId="2" applyFill="1" applyBorder="1" applyAlignment="1">
      <alignment horizontal="left" vertical="top" wrapText="1"/>
    </xf>
    <xf numFmtId="0" fontId="4" fillId="25" borderId="1" xfId="2" applyFill="1" applyBorder="1" applyAlignment="1">
      <alignment horizontal="center" vertical="top" wrapText="1"/>
    </xf>
    <xf numFmtId="0" fontId="36" fillId="25" borderId="14" xfId="2" applyFont="1" applyFill="1" applyBorder="1" applyAlignment="1">
      <alignment horizontal="left" vertical="top" wrapText="1"/>
    </xf>
    <xf numFmtId="0" fontId="36" fillId="25" borderId="12" xfId="2" applyFont="1" applyFill="1" applyBorder="1" applyAlignment="1">
      <alignment horizontal="left" vertical="top" wrapText="1"/>
    </xf>
    <xf numFmtId="0" fontId="36" fillId="25" borderId="14" xfId="7" applyFont="1" applyFill="1" applyBorder="1" applyAlignment="1">
      <alignment horizontal="left" vertical="top" wrapText="1"/>
    </xf>
    <xf numFmtId="0" fontId="35" fillId="25" borderId="14" xfId="7" applyFont="1" applyFill="1" applyBorder="1" applyAlignment="1">
      <alignment horizontal="center" vertical="top" wrapText="1"/>
    </xf>
    <xf numFmtId="0" fontId="35" fillId="25" borderId="12" xfId="7" applyFont="1" applyFill="1" applyBorder="1" applyAlignment="1">
      <alignment horizontal="center" vertical="top" wrapText="1"/>
    </xf>
    <xf numFmtId="0" fontId="36" fillId="25" borderId="14" xfId="2" applyFont="1" applyFill="1" applyBorder="1" applyAlignment="1">
      <alignment horizontal="center" vertical="top" wrapText="1"/>
    </xf>
    <xf numFmtId="0" fontId="36" fillId="25" borderId="12" xfId="2" applyFont="1" applyFill="1" applyBorder="1" applyAlignment="1">
      <alignment horizontal="center" vertical="top" wrapText="1"/>
    </xf>
    <xf numFmtId="0" fontId="9" fillId="0" borderId="61" xfId="2" applyFont="1" applyBorder="1" applyAlignment="1">
      <alignment horizontal="center" vertical="center" wrapText="1"/>
    </xf>
    <xf numFmtId="0" fontId="9" fillId="0" borderId="52" xfId="2" applyFont="1" applyBorder="1" applyAlignment="1">
      <alignment horizontal="center" vertical="center" wrapText="1"/>
    </xf>
    <xf numFmtId="0" fontId="36" fillId="25" borderId="14" xfId="7" applyFont="1" applyFill="1" applyBorder="1" applyAlignment="1">
      <alignment horizontal="center" vertical="top" wrapText="1"/>
    </xf>
    <xf numFmtId="0" fontId="36" fillId="25" borderId="12" xfId="7" applyFont="1" applyFill="1" applyBorder="1" applyAlignment="1">
      <alignment horizontal="center" vertical="top" wrapText="1"/>
    </xf>
    <xf numFmtId="0" fontId="9" fillId="13" borderId="37" xfId="2" applyFont="1" applyFill="1" applyBorder="1" applyAlignment="1">
      <alignment horizontal="center" vertical="center" wrapText="1"/>
    </xf>
    <xf numFmtId="0" fontId="4" fillId="13" borderId="38" xfId="2" applyFill="1" applyBorder="1" applyAlignment="1">
      <alignment horizontal="center" vertical="center" wrapText="1"/>
    </xf>
    <xf numFmtId="0" fontId="4" fillId="13" borderId="45" xfId="2" applyFill="1" applyBorder="1" applyAlignment="1">
      <alignment horizontal="center" vertical="center" wrapText="1"/>
    </xf>
    <xf numFmtId="0" fontId="9" fillId="0" borderId="108" xfId="2" applyFont="1" applyBorder="1" applyAlignment="1">
      <alignment horizontal="center" vertical="center"/>
    </xf>
    <xf numFmtId="0" fontId="9" fillId="0" borderId="109" xfId="2" applyFont="1" applyBorder="1" applyAlignment="1">
      <alignment horizontal="center" vertical="center"/>
    </xf>
    <xf numFmtId="0" fontId="9" fillId="0" borderId="24" xfId="2" applyFont="1" applyBorder="1" applyAlignment="1">
      <alignment horizontal="center" vertical="center" wrapText="1"/>
    </xf>
    <xf numFmtId="0" fontId="9" fillId="0" borderId="23" xfId="2" applyFont="1" applyBorder="1" applyAlignment="1">
      <alignment horizontal="center" vertical="center" wrapText="1"/>
    </xf>
    <xf numFmtId="0" fontId="9" fillId="0" borderId="42" xfId="2" applyFont="1" applyBorder="1" applyAlignment="1">
      <alignment horizontal="center" vertical="center" wrapText="1"/>
    </xf>
    <xf numFmtId="0" fontId="9" fillId="0" borderId="47" xfId="2" applyFont="1" applyBorder="1" applyAlignment="1">
      <alignment horizontal="center" vertical="center" wrapText="1"/>
    </xf>
    <xf numFmtId="0" fontId="9" fillId="0" borderId="24" xfId="2" applyFont="1" applyBorder="1" applyAlignment="1">
      <alignment horizontal="center" vertical="center" textRotation="180"/>
    </xf>
    <xf numFmtId="0" fontId="9" fillId="0" borderId="22" xfId="2" applyFont="1" applyBorder="1" applyAlignment="1">
      <alignment horizontal="center" vertical="center" textRotation="180"/>
    </xf>
    <xf numFmtId="0" fontId="9" fillId="0" borderId="53" xfId="2" applyFont="1" applyBorder="1" applyAlignment="1">
      <alignment horizontal="center" vertical="center" textRotation="180"/>
    </xf>
    <xf numFmtId="0" fontId="9" fillId="0" borderId="31" xfId="2" applyFont="1" applyBorder="1" applyAlignment="1">
      <alignment horizontal="center" vertical="center" textRotation="180"/>
    </xf>
    <xf numFmtId="0" fontId="9" fillId="0" borderId="37" xfId="2" applyFont="1" applyBorder="1" applyAlignment="1">
      <alignment horizontal="center" vertical="center" wrapText="1"/>
    </xf>
    <xf numFmtId="0" fontId="9" fillId="0" borderId="38" xfId="2" applyFont="1" applyBorder="1" applyAlignment="1">
      <alignment horizontal="center" vertical="center" wrapText="1"/>
    </xf>
    <xf numFmtId="0" fontId="9" fillId="0" borderId="39" xfId="2" applyFont="1" applyBorder="1" applyAlignment="1">
      <alignment horizontal="center" vertical="center" wrapText="1"/>
    </xf>
    <xf numFmtId="1" fontId="9" fillId="0" borderId="43" xfId="2" applyNumberFormat="1" applyFont="1" applyBorder="1" applyAlignment="1">
      <alignment horizontal="center" vertical="center" textRotation="180"/>
    </xf>
    <xf numFmtId="1" fontId="9" fillId="0" borderId="28" xfId="2" applyNumberFormat="1" applyFont="1" applyBorder="1" applyAlignment="1">
      <alignment horizontal="center" vertical="center" textRotation="180"/>
    </xf>
    <xf numFmtId="0" fontId="9" fillId="0" borderId="30" xfId="2" applyFont="1" applyBorder="1" applyAlignment="1">
      <alignment horizontal="center" vertical="center" wrapText="1"/>
    </xf>
    <xf numFmtId="0" fontId="9" fillId="0" borderId="17" xfId="2" applyFont="1" applyBorder="1" applyAlignment="1">
      <alignment horizontal="center" vertical="center" wrapText="1"/>
    </xf>
    <xf numFmtId="0" fontId="9" fillId="0" borderId="6" xfId="2" applyFont="1" applyBorder="1" applyAlignment="1">
      <alignment horizontal="center" vertical="center" textRotation="180" wrapText="1"/>
    </xf>
    <xf numFmtId="0" fontId="9" fillId="0" borderId="14" xfId="2" applyFont="1" applyBorder="1" applyAlignment="1">
      <alignment horizontal="center" vertical="center" textRotation="180" wrapText="1"/>
    </xf>
    <xf numFmtId="0" fontId="9" fillId="0" borderId="42" xfId="2" applyFont="1" applyBorder="1" applyAlignment="1">
      <alignment horizontal="center" vertical="center" textRotation="180" wrapText="1"/>
    </xf>
    <xf numFmtId="0" fontId="9" fillId="0" borderId="47" xfId="2" applyFont="1" applyBorder="1" applyAlignment="1">
      <alignment horizontal="center" vertical="center" textRotation="180" wrapText="1"/>
    </xf>
    <xf numFmtId="0" fontId="9" fillId="0" borderId="40" xfId="2" applyFont="1" applyBorder="1" applyAlignment="1">
      <alignment horizontal="center" vertical="center"/>
    </xf>
    <xf numFmtId="0" fontId="9" fillId="0" borderId="41" xfId="2" applyFont="1" applyBorder="1" applyAlignment="1">
      <alignment horizontal="center" vertical="center"/>
    </xf>
    <xf numFmtId="0" fontId="9" fillId="0" borderId="64" xfId="2" applyFont="1" applyBorder="1" applyAlignment="1">
      <alignment horizontal="center" vertical="center"/>
    </xf>
    <xf numFmtId="0" fontId="9" fillId="0" borderId="86" xfId="2" applyFont="1" applyBorder="1" applyAlignment="1">
      <alignment horizontal="center" vertical="center" wrapText="1"/>
    </xf>
    <xf numFmtId="0" fontId="9" fillId="0" borderId="90" xfId="2" applyFont="1" applyBorder="1" applyAlignment="1">
      <alignment horizontal="center" vertical="center" wrapText="1"/>
    </xf>
    <xf numFmtId="0" fontId="9" fillId="0" borderId="36" xfId="2" applyFont="1" applyBorder="1" applyAlignment="1">
      <alignment horizontal="center" vertical="center" textRotation="180"/>
    </xf>
    <xf numFmtId="0" fontId="9" fillId="0" borderId="88" xfId="2" applyFont="1" applyBorder="1" applyAlignment="1">
      <alignment horizontal="center" vertical="center" wrapText="1"/>
    </xf>
    <xf numFmtId="0" fontId="9" fillId="0" borderId="89" xfId="2" applyFont="1" applyBorder="1" applyAlignment="1">
      <alignment horizontal="center" vertical="center" wrapText="1"/>
    </xf>
    <xf numFmtId="0" fontId="9" fillId="0" borderId="43" xfId="2" applyFont="1" applyBorder="1" applyAlignment="1">
      <alignment horizontal="center" vertical="center" wrapText="1"/>
    </xf>
    <xf numFmtId="0" fontId="9" fillId="0" borderId="87" xfId="2" applyFont="1" applyBorder="1" applyAlignment="1">
      <alignment horizontal="center" vertical="center" wrapText="1"/>
    </xf>
    <xf numFmtId="0" fontId="35" fillId="0" borderId="14" xfId="2" applyFont="1" applyBorder="1" applyAlignment="1">
      <alignment horizontal="left" vertical="top" wrapText="1"/>
    </xf>
    <xf numFmtId="0" fontId="28" fillId="0" borderId="14" xfId="2" applyFont="1" applyBorder="1" applyAlignment="1">
      <alignment horizontal="center" vertical="top" wrapText="1"/>
    </xf>
    <xf numFmtId="0" fontId="28" fillId="0" borderId="12" xfId="2" applyFont="1" applyBorder="1" applyAlignment="1">
      <alignment horizontal="center" vertical="top" wrapText="1"/>
    </xf>
    <xf numFmtId="0" fontId="35" fillId="25" borderId="12" xfId="7" applyFont="1" applyFill="1" applyBorder="1" applyAlignment="1">
      <alignment horizontal="left" vertical="top" wrapText="1"/>
    </xf>
    <xf numFmtId="0" fontId="4" fillId="14" borderId="14" xfId="2" applyFill="1" applyBorder="1" applyAlignment="1">
      <alignment horizontal="left" vertical="top" wrapText="1"/>
    </xf>
    <xf numFmtId="0" fontId="4" fillId="14" borderId="12" xfId="2" applyFill="1" applyBorder="1" applyAlignment="1">
      <alignment horizontal="left" vertical="top" wrapText="1"/>
    </xf>
    <xf numFmtId="0" fontId="0" fillId="0" borderId="14" xfId="0" applyBorder="1" applyAlignment="1">
      <alignment horizontal="left" vertical="top"/>
    </xf>
    <xf numFmtId="0" fontId="0" fillId="0" borderId="12" xfId="0" applyBorder="1" applyAlignment="1">
      <alignment horizontal="left" vertical="top"/>
    </xf>
    <xf numFmtId="0" fontId="35" fillId="25" borderId="86" xfId="2" applyFont="1" applyFill="1" applyBorder="1" applyAlignment="1">
      <alignment horizontal="left" vertical="top" wrapText="1"/>
    </xf>
    <xf numFmtId="0" fontId="35" fillId="25" borderId="86" xfId="2" applyFont="1" applyFill="1" applyBorder="1" applyAlignment="1">
      <alignment horizontal="center" vertical="top" wrapText="1"/>
    </xf>
    <xf numFmtId="0" fontId="4" fillId="25" borderId="86" xfId="2" applyFill="1" applyBorder="1" applyAlignment="1">
      <alignment horizontal="center" vertical="top" wrapText="1"/>
    </xf>
    <xf numFmtId="0" fontId="4" fillId="25" borderId="86" xfId="2" applyFill="1" applyBorder="1" applyAlignment="1">
      <alignment horizontal="left" vertical="top" wrapText="1"/>
    </xf>
    <xf numFmtId="0" fontId="4" fillId="25" borderId="49" xfId="2" applyFill="1" applyBorder="1" applyAlignment="1">
      <alignment horizontal="left" vertical="top" wrapText="1"/>
    </xf>
    <xf numFmtId="0" fontId="35" fillId="25" borderId="90" xfId="2" applyFont="1" applyFill="1" applyBorder="1" applyAlignment="1">
      <alignment horizontal="center" vertical="top" wrapText="1"/>
    </xf>
    <xf numFmtId="0" fontId="36" fillId="0" borderId="12" xfId="2" applyFont="1" applyBorder="1" applyAlignment="1">
      <alignment horizontal="left" vertical="top" wrapText="1"/>
    </xf>
    <xf numFmtId="0" fontId="35" fillId="0" borderId="12" xfId="2" applyFont="1" applyBorder="1" applyAlignment="1">
      <alignment horizontal="left" vertical="top" wrapText="1"/>
    </xf>
    <xf numFmtId="0" fontId="32" fillId="24" borderId="12" xfId="7" applyBorder="1" applyAlignment="1">
      <alignment horizontal="left" vertical="top" wrapText="1"/>
    </xf>
    <xf numFmtId="0" fontId="35" fillId="25" borderId="99" xfId="2" applyFont="1" applyFill="1" applyBorder="1" applyAlignment="1">
      <alignment horizontal="left" vertical="top" wrapText="1"/>
    </xf>
    <xf numFmtId="0" fontId="4" fillId="0" borderId="47" xfId="2" applyBorder="1" applyAlignment="1">
      <alignment horizontal="left" vertical="top" wrapText="1"/>
    </xf>
    <xf numFmtId="0" fontId="4" fillId="0" borderId="15" xfId="2" applyBorder="1" applyAlignment="1">
      <alignment horizontal="left" vertical="top" wrapText="1"/>
    </xf>
    <xf numFmtId="0" fontId="4" fillId="0" borderId="99" xfId="2" applyBorder="1" applyAlignment="1">
      <alignment horizontal="left" vertical="top" wrapText="1"/>
    </xf>
    <xf numFmtId="0" fontId="4" fillId="25" borderId="14" xfId="0" applyFont="1" applyFill="1" applyBorder="1" applyAlignment="1">
      <alignment vertical="top" wrapText="1"/>
    </xf>
    <xf numFmtId="0" fontId="4" fillId="25" borderId="49" xfId="0" applyFont="1" applyFill="1" applyBorder="1" applyAlignment="1">
      <alignment vertical="top" wrapText="1"/>
    </xf>
    <xf numFmtId="0" fontId="4" fillId="25" borderId="103" xfId="0" applyFont="1" applyFill="1" applyBorder="1" applyAlignment="1">
      <alignment vertical="top" wrapText="1"/>
    </xf>
    <xf numFmtId="0" fontId="4" fillId="0" borderId="14" xfId="2" applyBorder="1" applyAlignment="1">
      <alignment vertical="top" wrapText="1"/>
    </xf>
    <xf numFmtId="0" fontId="4" fillId="0" borderId="12" xfId="2" applyBorder="1" applyAlignment="1">
      <alignment vertical="top" wrapText="1"/>
    </xf>
    <xf numFmtId="0" fontId="4" fillId="0" borderId="91" xfId="2" applyBorder="1" applyAlignment="1">
      <alignment horizontal="left" vertical="top" wrapText="1"/>
    </xf>
    <xf numFmtId="0" fontId="4" fillId="0" borderId="46" xfId="2" applyBorder="1" applyAlignment="1">
      <alignment horizontal="left" vertical="top" wrapText="1"/>
    </xf>
    <xf numFmtId="0" fontId="4" fillId="0" borderId="18" xfId="2" applyBorder="1" applyAlignment="1">
      <alignment horizontal="left" vertical="top" wrapText="1"/>
    </xf>
    <xf numFmtId="0" fontId="4" fillId="0" borderId="101" xfId="2" applyBorder="1" applyAlignment="1">
      <alignment horizontal="left" vertical="top" wrapText="1"/>
    </xf>
    <xf numFmtId="0" fontId="4" fillId="0" borderId="100" xfId="2" applyBorder="1" applyAlignment="1">
      <alignment horizontal="left" vertical="top" wrapText="1"/>
    </xf>
    <xf numFmtId="0" fontId="4" fillId="0" borderId="99" xfId="2" applyBorder="1" applyAlignment="1">
      <alignment horizontal="center" vertical="top" wrapText="1"/>
    </xf>
    <xf numFmtId="0" fontId="4" fillId="0" borderId="15" xfId="2" applyBorder="1" applyAlignment="1">
      <alignment horizontal="center" vertical="top" wrapText="1"/>
    </xf>
    <xf numFmtId="0" fontId="4" fillId="0" borderId="49" xfId="2" applyBorder="1" applyAlignment="1">
      <alignment vertical="top" wrapText="1"/>
    </xf>
    <xf numFmtId="0" fontId="35" fillId="25" borderId="14" xfId="0" applyFont="1" applyFill="1" applyBorder="1" applyAlignment="1">
      <alignment vertical="top" wrapText="1"/>
    </xf>
    <xf numFmtId="0" fontId="35" fillId="25" borderId="49" xfId="0" applyFont="1" applyFill="1" applyBorder="1" applyAlignment="1">
      <alignment vertical="top" wrapText="1"/>
    </xf>
    <xf numFmtId="0" fontId="35" fillId="25" borderId="103" xfId="0" applyFont="1" applyFill="1" applyBorder="1" applyAlignment="1">
      <alignment vertical="top" wrapText="1"/>
    </xf>
    <xf numFmtId="0" fontId="4" fillId="0" borderId="47" xfId="2" applyBorder="1" applyAlignment="1">
      <alignment vertical="top" wrapText="1"/>
    </xf>
    <xf numFmtId="0" fontId="4" fillId="0" borderId="99" xfId="2" applyBorder="1" applyAlignment="1">
      <alignment vertical="top" wrapText="1"/>
    </xf>
    <xf numFmtId="0" fontId="4" fillId="0" borderId="15" xfId="2" applyBorder="1" applyAlignment="1">
      <alignment vertical="top" wrapText="1"/>
    </xf>
    <xf numFmtId="0" fontId="4" fillId="0" borderId="47" xfId="2" applyBorder="1" applyAlignment="1">
      <alignment horizontal="center" vertical="top" wrapText="1"/>
    </xf>
    <xf numFmtId="0" fontId="35" fillId="25" borderId="100" xfId="2" applyFont="1" applyFill="1" applyBorder="1" applyAlignment="1">
      <alignment horizontal="left" vertical="top" wrapText="1"/>
    </xf>
    <xf numFmtId="0" fontId="4" fillId="0" borderId="98" xfId="2" applyBorder="1" applyAlignment="1">
      <alignment horizontal="left" vertical="top" wrapText="1"/>
    </xf>
    <xf numFmtId="0" fontId="27" fillId="0" borderId="44" xfId="2" applyFont="1" applyBorder="1" applyAlignment="1">
      <alignment horizontal="left" vertical="top" wrapText="1"/>
    </xf>
    <xf numFmtId="0" fontId="27" fillId="0" borderId="11" xfId="2" applyFont="1" applyBorder="1" applyAlignment="1">
      <alignment horizontal="left" vertical="top" wrapText="1"/>
    </xf>
    <xf numFmtId="0" fontId="27" fillId="0" borderId="49" xfId="2" applyFont="1" applyBorder="1" applyAlignment="1">
      <alignment horizontal="left" vertical="top" wrapText="1"/>
    </xf>
    <xf numFmtId="0" fontId="27" fillId="0" borderId="12" xfId="2" applyFont="1" applyBorder="1" applyAlignment="1">
      <alignment horizontal="left" vertical="top" wrapText="1"/>
    </xf>
    <xf numFmtId="0" fontId="4" fillId="25" borderId="90" xfId="2" applyFill="1" applyBorder="1" applyAlignment="1">
      <alignment horizontal="left" vertical="top" wrapText="1"/>
    </xf>
    <xf numFmtId="0" fontId="32" fillId="24" borderId="1" xfId="7" applyBorder="1" applyAlignment="1">
      <alignment horizontal="center" vertical="top" wrapText="1"/>
    </xf>
  </cellXfs>
  <cellStyles count="10">
    <cellStyle name="Comma 2" xfId="3" xr:uid="{00000000-0005-0000-0000-000002000000}"/>
    <cellStyle name="Hyperlink" xfId="8" builtinId="8"/>
    <cellStyle name="Neutral" xfId="1" builtinId="28"/>
    <cellStyle name="Neutral 2" xfId="6" xr:uid="{00000000-0005-0000-0000-000005000000}"/>
    <cellStyle name="Normal" xfId="0" builtinId="0"/>
    <cellStyle name="Normal 2" xfId="2" xr:uid="{00000000-0005-0000-0000-000007000000}"/>
    <cellStyle name="Normal 3" xfId="7" xr:uid="{00000000-0005-0000-0000-000008000000}"/>
    <cellStyle name="Normal 4" xfId="4" xr:uid="{00000000-0005-0000-0000-000009000000}"/>
    <cellStyle name="Normal 4 2" xfId="5" xr:uid="{00000000-0005-0000-0000-00000A000000}"/>
    <cellStyle name="Normal 4 3" xfId="9" xr:uid="{09E854F1-26D4-4A59-989D-CE7B3339215D}"/>
  </cellStyles>
  <dxfs count="2967">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10"/>
        </patternFill>
      </fill>
    </dxf>
    <dxf>
      <font>
        <b/>
        <i val="0"/>
        <condense val="0"/>
        <extend val="0"/>
      </font>
      <fill>
        <patternFill>
          <bgColor indexed="52"/>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1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10"/>
        </patternFill>
      </fill>
    </dxf>
    <dxf>
      <font>
        <b/>
        <i val="0"/>
        <condense val="0"/>
        <extend val="0"/>
      </font>
      <fill>
        <patternFill>
          <bgColor indexed="52"/>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1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indexed="52"/>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1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52"/>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52"/>
        </patternFill>
      </fill>
    </dxf>
    <dxf>
      <font>
        <strike val="0"/>
      </font>
      <fill>
        <patternFill>
          <bgColor rgb="FF00B050"/>
        </patternFill>
      </fill>
    </dxf>
    <dxf>
      <font>
        <b/>
        <i val="0"/>
        <condense val="0"/>
        <extend val="0"/>
      </font>
      <fill>
        <patternFill>
          <bgColor indexed="52"/>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indexed="43"/>
        </patternFill>
      </fill>
    </dxf>
    <dxf>
      <font>
        <b/>
        <i val="0"/>
        <condense val="0"/>
        <extend val="0"/>
      </font>
      <fill>
        <patternFill>
          <bgColor indexed="10"/>
        </patternFill>
      </fill>
    </dxf>
    <dxf>
      <font>
        <b/>
        <i val="0"/>
        <condense val="0"/>
        <extend val="0"/>
      </font>
      <fill>
        <patternFill>
          <bgColor indexed="52"/>
        </patternFill>
      </fill>
    </dxf>
    <dxf>
      <font>
        <strike val="0"/>
      </font>
      <fill>
        <patternFill>
          <bgColor rgb="FF00B050"/>
        </patternFill>
      </fill>
    </dxf>
    <dxf>
      <font>
        <b/>
        <i val="0"/>
        <condense val="0"/>
        <extend val="0"/>
      </font>
      <fill>
        <patternFill>
          <bgColor indexed="43"/>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indexed="1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b/>
        <i val="0"/>
        <condense val="0"/>
        <extend val="0"/>
      </font>
      <fill>
        <patternFill>
          <bgColor rgb="FFFFFF00"/>
        </patternFill>
      </fill>
    </dxf>
    <dxf>
      <font>
        <strike val="0"/>
      </font>
      <fill>
        <patternFill>
          <bgColor rgb="FF00B050"/>
        </patternFill>
      </fill>
    </dxf>
    <dxf>
      <font>
        <strike val="0"/>
      </font>
      <fill>
        <patternFill>
          <bgColor rgb="FF00B050"/>
        </patternFill>
      </fill>
    </dxf>
    <dxf>
      <font>
        <strike val="0"/>
      </font>
      <fill>
        <patternFill>
          <bgColor rgb="FF00B050"/>
        </patternFill>
      </fill>
    </dxf>
    <dxf>
      <font>
        <b/>
        <i val="0"/>
        <condense val="0"/>
        <extend val="0"/>
      </font>
      <fill>
        <patternFill>
          <bgColor indexed="10"/>
        </patternFill>
      </fill>
    </dxf>
    <dxf>
      <font>
        <b/>
        <i val="0"/>
        <condense val="0"/>
        <extend val="0"/>
      </font>
      <fill>
        <patternFill>
          <bgColor rgb="FFFFFF00"/>
        </patternFill>
      </fill>
    </dxf>
    <dxf>
      <font>
        <strike val="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solid">
          <fgColor indexed="64"/>
          <bgColor indexed="9"/>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Arial"/>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Arial"/>
        <scheme val="none"/>
      </font>
      <fill>
        <patternFill patternType="solid">
          <fgColor indexed="64"/>
          <bgColor rgb="FF3D6DA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6"/>
        <color auto="1"/>
        <name val="Arial"/>
        <scheme val="none"/>
      </font>
      <numFmt numFmtId="30" formatCode="@"/>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rgb="FFF2900E"/>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center" textRotation="0" wrapText="1" indent="0" justifyLastLine="0" shrinkToFit="0" readingOrder="0"/>
      <border diagonalUp="0" diagonalDown="0">
        <left style="thin">
          <color theme="1" tint="0.499984740745262"/>
        </left>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vertical="center" textRotation="0" indent="0" justifyLastLine="0" shrinkToFit="0" readingOrder="0"/>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vertical="center" textRotation="0" wrapText="1" indent="0" justifyLastLine="0" shrinkToFit="0" readingOrder="0"/>
      <border diagonalUp="0" diagonalDown="0">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top style="thin">
          <color theme="1" tint="0.499984740745262"/>
        </top>
      </border>
    </dxf>
    <dxf>
      <border diagonalUp="0" diagonalDown="0">
        <left style="medium">
          <color theme="1" tint="0.499984740745262"/>
        </left>
        <right style="medium">
          <color theme="1" tint="0.499984740745262"/>
        </right>
        <top style="medium">
          <color theme="1" tint="0.499984740745262"/>
        </top>
        <bottom style="medium">
          <color theme="1" tint="0.499984740745262"/>
        </bottom>
      </border>
    </dxf>
    <dxf>
      <alignment horizontal="left" vertical="center" textRotation="0" indent="0" justifyLastLine="0" shrinkToFit="0" readingOrder="0"/>
    </dxf>
    <dxf>
      <border>
        <bottom style="thin">
          <color theme="1" tint="0.499984740745262"/>
        </bottom>
      </border>
    </dxf>
    <dxf>
      <alignment horizontal="left" vertical="center" textRotation="0" indent="0" justifyLastLine="0" shrinkToFit="0" readingOrder="0"/>
      <border diagonalUp="0" diagonalDown="0">
        <left style="thin">
          <color theme="1" tint="0.499984740745262"/>
        </left>
        <right style="thin">
          <color theme="1" tint="0.499984740745262"/>
        </right>
        <top/>
        <bottom/>
        <vertical style="thin">
          <color theme="1" tint="0.499984740745262"/>
        </vertical>
        <horizontal style="thin">
          <color theme="1" tint="0.499984740745262"/>
        </horizontal>
      </border>
    </dxf>
    <dxf>
      <border>
        <bottom style="thin">
          <color theme="0" tint="-4.9989318521683403E-2"/>
        </bottom>
      </border>
    </dxf>
    <dxf>
      <fill>
        <patternFill patternType="none">
          <fgColor indexed="64"/>
          <bgColor auto="1"/>
        </patternFill>
      </fill>
      <border>
        <bottom style="thin">
          <color theme="0" tint="-4.9989318521683403E-2"/>
        </bottom>
      </border>
    </dxf>
    <dxf>
      <font>
        <b/>
        <color theme="0"/>
      </font>
      <fill>
        <patternFill patternType="none">
          <fgColor auto="1"/>
          <bgColor auto="1"/>
        </patternFill>
      </fill>
      <border>
        <top style="thick">
          <color rgb="FF00B0F0"/>
        </top>
      </border>
    </dxf>
    <dxf>
      <font>
        <b/>
        <i val="0"/>
        <strike val="0"/>
        <color theme="3"/>
      </font>
      <fill>
        <patternFill patternType="solid">
          <fgColor theme="0"/>
          <bgColor theme="0"/>
        </patternFill>
      </fill>
      <border>
        <bottom style="thick">
          <color rgb="FF00B0F0"/>
        </bottom>
      </border>
    </dxf>
    <dxf>
      <font>
        <color theme="1"/>
      </font>
      <fill>
        <patternFill patternType="none">
          <fgColor indexed="64"/>
          <bgColor auto="1"/>
        </patternFill>
      </fill>
      <border>
        <vertical style="thin">
          <color theme="0"/>
        </vertical>
        <horizontal style="thin">
          <color theme="0"/>
        </horizontal>
      </border>
    </dxf>
  </dxfs>
  <tableStyles count="1" defaultTableStyle="TableStyleMedium9" defaultPivotStyle="PivotStyleLight16">
    <tableStyle name="POLARION" pivot="0" count="5" xr9:uid="{00000000-0011-0000-FFFF-FFFF00000000}">
      <tableStyleElement type="wholeTable" dxfId="2966"/>
      <tableStyleElement type="headerRow" dxfId="2965"/>
      <tableStyleElement type="totalRow" dxfId="2964"/>
      <tableStyleElement type="firstRowStripe" dxfId="2963"/>
      <tableStyleElement type="secondRowStripe" dxfId="296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FFFF99"/>
      <color rgb="FFF05026"/>
      <color rgb="FF00B050"/>
      <color rgb="FFC0C0C0"/>
      <color rgb="FF68D242"/>
      <color rgb="FFF2900E"/>
      <color rgb="FF3D6DA1"/>
      <color rgb="FF314672"/>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8.xml.rels><?xml version="1.0" encoding="UTF-8" standalone="yes"?>
<Relationships xmlns="http://schemas.openxmlformats.org/package/2006/relationships"><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oneCellAnchor>
    <xdr:from>
      <xdr:col>2</xdr:col>
      <xdr:colOff>1393548</xdr:colOff>
      <xdr:row>1</xdr:row>
      <xdr:rowOff>27746</xdr:rowOff>
    </xdr:from>
    <xdr:ext cx="2038350" cy="6572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9598" y="227771"/>
          <a:ext cx="203835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6624276</xdr:colOff>
      <xdr:row>1</xdr:row>
      <xdr:rowOff>115614</xdr:rowOff>
    </xdr:from>
    <xdr:ext cx="1967274" cy="643759"/>
    <xdr:pic>
      <xdr:nvPicPr>
        <xdr:cNvPr id="2" name="Picture 2">
          <a:extLst>
            <a:ext uri="{FF2B5EF4-FFF2-40B4-BE49-F238E27FC236}">
              <a16:creationId xmlns:a16="http://schemas.microsoft.com/office/drawing/2014/main" id="{5047A99B-F3F1-44E7-8B82-1612BEA09B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5401" y="315639"/>
          <a:ext cx="1967274" cy="64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1652219</xdr:colOff>
      <xdr:row>1</xdr:row>
      <xdr:rowOff>28208</xdr:rowOff>
    </xdr:from>
    <xdr:ext cx="1967274" cy="643759"/>
    <xdr:pic>
      <xdr:nvPicPr>
        <xdr:cNvPr id="2" name="Picture 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7694" y="228233"/>
          <a:ext cx="1967274" cy="6437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5371117</xdr:colOff>
      <xdr:row>0</xdr:row>
      <xdr:rowOff>181852</xdr:rowOff>
    </xdr:from>
    <xdr:ext cx="1469156" cy="480757"/>
    <xdr:pic>
      <xdr:nvPicPr>
        <xdr:cNvPr id="2" name="Picture 2">
          <a:extLst>
            <a:ext uri="{FF2B5EF4-FFF2-40B4-BE49-F238E27FC236}">
              <a16:creationId xmlns:a16="http://schemas.microsoft.com/office/drawing/2014/main" id="{473183A2-57A8-45BD-B075-A13979397F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7769" y="181852"/>
          <a:ext cx="1469156" cy="4807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414506</xdr:colOff>
      <xdr:row>3</xdr:row>
      <xdr:rowOff>34636</xdr:rowOff>
    </xdr:to>
    <xdr:pic>
      <xdr:nvPicPr>
        <xdr:cNvPr id="3" name="Picture 2">
          <a:extLst>
            <a:ext uri="{FF2B5EF4-FFF2-40B4-BE49-F238E27FC236}">
              <a16:creationId xmlns:a16="http://schemas.microsoft.com/office/drawing/2014/main" id="{B9853558-9C6F-4AC2-B857-04F2911C3E24}"/>
            </a:ext>
          </a:extLst>
        </xdr:cNvPr>
        <xdr:cNvPicPr>
          <a:picLocks noChangeAspect="1"/>
        </xdr:cNvPicPr>
      </xdr:nvPicPr>
      <xdr:blipFill rotWithShape="1">
        <a:blip xmlns:r="http://schemas.openxmlformats.org/officeDocument/2006/relationships" r:embed="rId1"/>
        <a:srcRect b="93337"/>
        <a:stretch/>
      </xdr:blipFill>
      <xdr:spPr>
        <a:xfrm>
          <a:off x="0" y="0"/>
          <a:ext cx="12537233" cy="502227"/>
        </a:xfrm>
        <a:prstGeom prst="rect">
          <a:avLst/>
        </a:prstGeom>
      </xdr:spPr>
    </xdr:pic>
    <xdr:clientData/>
  </xdr:twoCellAnchor>
  <xdr:twoCellAnchor editAs="oneCell">
    <xdr:from>
      <xdr:col>0</xdr:col>
      <xdr:colOff>0</xdr:colOff>
      <xdr:row>49</xdr:row>
      <xdr:rowOff>0</xdr:rowOff>
    </xdr:from>
    <xdr:to>
      <xdr:col>22</xdr:col>
      <xdr:colOff>436419</xdr:colOff>
      <xdr:row>53</xdr:row>
      <xdr:rowOff>34636</xdr:rowOff>
    </xdr:to>
    <xdr:pic>
      <xdr:nvPicPr>
        <xdr:cNvPr id="4" name="Picture 3">
          <a:extLst>
            <a:ext uri="{FF2B5EF4-FFF2-40B4-BE49-F238E27FC236}">
              <a16:creationId xmlns:a16="http://schemas.microsoft.com/office/drawing/2014/main" id="{74054BB2-8EBC-4471-9589-E32A10FEED93}"/>
            </a:ext>
          </a:extLst>
        </xdr:cNvPr>
        <xdr:cNvPicPr>
          <a:picLocks noChangeAspect="1"/>
        </xdr:cNvPicPr>
      </xdr:nvPicPr>
      <xdr:blipFill rotWithShape="1">
        <a:blip xmlns:r="http://schemas.openxmlformats.org/officeDocument/2006/relationships" r:embed="rId2"/>
        <a:srcRect b="91769"/>
        <a:stretch/>
      </xdr:blipFill>
      <xdr:spPr>
        <a:xfrm>
          <a:off x="0" y="7637318"/>
          <a:ext cx="13771419" cy="658091"/>
        </a:xfrm>
        <a:prstGeom prst="rect">
          <a:avLst/>
        </a:prstGeom>
      </xdr:spPr>
    </xdr:pic>
    <xdr:clientData/>
  </xdr:twoCellAnchor>
  <xdr:twoCellAnchor editAs="oneCell">
    <xdr:from>
      <xdr:col>22</xdr:col>
      <xdr:colOff>30816</xdr:colOff>
      <xdr:row>0</xdr:row>
      <xdr:rowOff>1</xdr:rowOff>
    </xdr:from>
    <xdr:to>
      <xdr:col>42</xdr:col>
      <xdr:colOff>459442</xdr:colOff>
      <xdr:row>3</xdr:row>
      <xdr:rowOff>69274</xdr:rowOff>
    </xdr:to>
    <xdr:pic>
      <xdr:nvPicPr>
        <xdr:cNvPr id="5" name="Picture 4">
          <a:extLst>
            <a:ext uri="{FF2B5EF4-FFF2-40B4-BE49-F238E27FC236}">
              <a16:creationId xmlns:a16="http://schemas.microsoft.com/office/drawing/2014/main" id="{917C49B3-2F83-49E1-BD32-D9E51FE7FE8C}"/>
            </a:ext>
          </a:extLst>
        </xdr:cNvPr>
        <xdr:cNvPicPr>
          <a:picLocks noChangeAspect="1"/>
        </xdr:cNvPicPr>
      </xdr:nvPicPr>
      <xdr:blipFill rotWithShape="1">
        <a:blip xmlns:r="http://schemas.openxmlformats.org/officeDocument/2006/relationships" r:embed="rId3"/>
        <a:srcRect b="92100"/>
        <a:stretch/>
      </xdr:blipFill>
      <xdr:spPr>
        <a:xfrm>
          <a:off x="13365816" y="1"/>
          <a:ext cx="12551353" cy="536864"/>
        </a:xfrm>
        <a:prstGeom prst="rect">
          <a:avLst/>
        </a:prstGeom>
      </xdr:spPr>
    </xdr:pic>
    <xdr:clientData/>
  </xdr:twoCellAnchor>
  <xdr:twoCellAnchor editAs="oneCell">
    <xdr:from>
      <xdr:col>26</xdr:col>
      <xdr:colOff>428625</xdr:colOff>
      <xdr:row>49</xdr:row>
      <xdr:rowOff>71437</xdr:rowOff>
    </xdr:from>
    <xdr:to>
      <xdr:col>41</xdr:col>
      <xdr:colOff>142875</xdr:colOff>
      <xdr:row>52</xdr:row>
      <xdr:rowOff>103909</xdr:rowOff>
    </xdr:to>
    <xdr:pic>
      <xdr:nvPicPr>
        <xdr:cNvPr id="6" name="Picture 5">
          <a:extLst>
            <a:ext uri="{FF2B5EF4-FFF2-40B4-BE49-F238E27FC236}">
              <a16:creationId xmlns:a16="http://schemas.microsoft.com/office/drawing/2014/main" id="{299791FE-8F23-4D7B-BB1B-2ED3465A09D4}"/>
            </a:ext>
          </a:extLst>
        </xdr:cNvPr>
        <xdr:cNvPicPr>
          <a:picLocks noChangeAspect="1"/>
        </xdr:cNvPicPr>
      </xdr:nvPicPr>
      <xdr:blipFill rotWithShape="1">
        <a:blip xmlns:r="http://schemas.openxmlformats.org/officeDocument/2006/relationships" r:embed="rId4"/>
        <a:srcRect b="94408"/>
        <a:stretch/>
      </xdr:blipFill>
      <xdr:spPr>
        <a:xfrm>
          <a:off x="16188170" y="7708755"/>
          <a:ext cx="8806296" cy="500063"/>
        </a:xfrm>
        <a:prstGeom prst="rect">
          <a:avLst/>
        </a:prstGeom>
      </xdr:spPr>
    </xdr:pic>
    <xdr:clientData/>
  </xdr:twoCellAnchor>
  <xdr:twoCellAnchor editAs="oneCell">
    <xdr:from>
      <xdr:col>43</xdr:col>
      <xdr:colOff>595312</xdr:colOff>
      <xdr:row>0</xdr:row>
      <xdr:rowOff>0</xdr:rowOff>
    </xdr:from>
    <xdr:to>
      <xdr:col>63</xdr:col>
      <xdr:colOff>99742</xdr:colOff>
      <xdr:row>3</xdr:row>
      <xdr:rowOff>34636</xdr:rowOff>
    </xdr:to>
    <xdr:pic>
      <xdr:nvPicPr>
        <xdr:cNvPr id="7" name="Picture 6">
          <a:extLst>
            <a:ext uri="{FF2B5EF4-FFF2-40B4-BE49-F238E27FC236}">
              <a16:creationId xmlns:a16="http://schemas.microsoft.com/office/drawing/2014/main" id="{F50836D5-DF3D-4192-8EB5-4BB93C399EBB}"/>
            </a:ext>
          </a:extLst>
        </xdr:cNvPr>
        <xdr:cNvPicPr>
          <a:picLocks noChangeAspect="1"/>
        </xdr:cNvPicPr>
      </xdr:nvPicPr>
      <xdr:blipFill rotWithShape="1">
        <a:blip xmlns:r="http://schemas.openxmlformats.org/officeDocument/2006/relationships" r:embed="rId5"/>
        <a:srcRect b="92492"/>
        <a:stretch/>
      </xdr:blipFill>
      <xdr:spPr>
        <a:xfrm>
          <a:off x="26659176" y="0"/>
          <a:ext cx="11627157" cy="502227"/>
        </a:xfrm>
        <a:prstGeom prst="rect">
          <a:avLst/>
        </a:prstGeom>
      </xdr:spPr>
    </xdr:pic>
    <xdr:clientData/>
  </xdr:twoCellAnchor>
  <xdr:twoCellAnchor editAs="oneCell">
    <xdr:from>
      <xdr:col>48</xdr:col>
      <xdr:colOff>47625</xdr:colOff>
      <xdr:row>48</xdr:row>
      <xdr:rowOff>119063</xdr:rowOff>
    </xdr:from>
    <xdr:to>
      <xdr:col>58</xdr:col>
      <xdr:colOff>571500</xdr:colOff>
      <xdr:row>51</xdr:row>
      <xdr:rowOff>121228</xdr:rowOff>
    </xdr:to>
    <xdr:pic>
      <xdr:nvPicPr>
        <xdr:cNvPr id="8" name="Picture 7">
          <a:extLst>
            <a:ext uri="{FF2B5EF4-FFF2-40B4-BE49-F238E27FC236}">
              <a16:creationId xmlns:a16="http://schemas.microsoft.com/office/drawing/2014/main" id="{5FC277FD-DB41-4BC1-A6A4-A924C2BBE073}"/>
            </a:ext>
          </a:extLst>
        </xdr:cNvPr>
        <xdr:cNvPicPr>
          <a:picLocks noChangeAspect="1"/>
        </xdr:cNvPicPr>
      </xdr:nvPicPr>
      <xdr:blipFill rotWithShape="1">
        <a:blip xmlns:r="http://schemas.openxmlformats.org/officeDocument/2006/relationships" r:embed="rId6"/>
        <a:srcRect b="94718"/>
        <a:stretch/>
      </xdr:blipFill>
      <xdr:spPr>
        <a:xfrm>
          <a:off x="29142170" y="7600518"/>
          <a:ext cx="6585239" cy="469755"/>
        </a:xfrm>
        <a:prstGeom prst="rect">
          <a:avLst/>
        </a:prstGeom>
      </xdr:spPr>
    </xdr:pic>
    <xdr:clientData/>
  </xdr:twoCellAnchor>
  <xdr:twoCellAnchor editAs="oneCell">
    <xdr:from>
      <xdr:col>0</xdr:col>
      <xdr:colOff>121228</xdr:colOff>
      <xdr:row>3</xdr:row>
      <xdr:rowOff>34636</xdr:rowOff>
    </xdr:from>
    <xdr:to>
      <xdr:col>20</xdr:col>
      <xdr:colOff>350882</xdr:colOff>
      <xdr:row>50</xdr:row>
      <xdr:rowOff>4283</xdr:rowOff>
    </xdr:to>
    <xdr:pic>
      <xdr:nvPicPr>
        <xdr:cNvPr id="2" name="Picture 1">
          <a:extLst>
            <a:ext uri="{FF2B5EF4-FFF2-40B4-BE49-F238E27FC236}">
              <a16:creationId xmlns:a16="http://schemas.microsoft.com/office/drawing/2014/main" id="{84EBE007-E979-41A3-A191-019E3A4CCF90}"/>
            </a:ext>
          </a:extLst>
        </xdr:cNvPr>
        <xdr:cNvPicPr>
          <a:picLocks noChangeAspect="1"/>
        </xdr:cNvPicPr>
      </xdr:nvPicPr>
      <xdr:blipFill>
        <a:blip xmlns:r="http://schemas.openxmlformats.org/officeDocument/2006/relationships" r:embed="rId7"/>
        <a:stretch>
          <a:fillRect/>
        </a:stretch>
      </xdr:blipFill>
      <xdr:spPr>
        <a:xfrm>
          <a:off x="121228" y="502227"/>
          <a:ext cx="12352381" cy="7295238"/>
        </a:xfrm>
        <a:prstGeom prst="rect">
          <a:avLst/>
        </a:prstGeom>
      </xdr:spPr>
    </xdr:pic>
    <xdr:clientData/>
  </xdr:twoCellAnchor>
  <xdr:twoCellAnchor editAs="oneCell">
    <xdr:from>
      <xdr:col>0</xdr:col>
      <xdr:colOff>173181</xdr:colOff>
      <xdr:row>53</xdr:row>
      <xdr:rowOff>69272</xdr:rowOff>
    </xdr:from>
    <xdr:to>
      <xdr:col>22</xdr:col>
      <xdr:colOff>259772</xdr:colOff>
      <xdr:row>102</xdr:row>
      <xdr:rowOff>52687</xdr:rowOff>
    </xdr:to>
    <xdr:pic>
      <xdr:nvPicPr>
        <xdr:cNvPr id="9" name="Picture 8">
          <a:extLst>
            <a:ext uri="{FF2B5EF4-FFF2-40B4-BE49-F238E27FC236}">
              <a16:creationId xmlns:a16="http://schemas.microsoft.com/office/drawing/2014/main" id="{CF86E763-3510-42AA-BEC3-FF9EC60E58BA}"/>
            </a:ext>
          </a:extLst>
        </xdr:cNvPr>
        <xdr:cNvPicPr>
          <a:picLocks noChangeAspect="1"/>
        </xdr:cNvPicPr>
      </xdr:nvPicPr>
      <xdr:blipFill>
        <a:blip xmlns:r="http://schemas.openxmlformats.org/officeDocument/2006/relationships" r:embed="rId8"/>
        <a:stretch>
          <a:fillRect/>
        </a:stretch>
      </xdr:blipFill>
      <xdr:spPr>
        <a:xfrm>
          <a:off x="173181" y="8330045"/>
          <a:ext cx="13421591" cy="7620733"/>
        </a:xfrm>
        <a:prstGeom prst="rect">
          <a:avLst/>
        </a:prstGeom>
      </xdr:spPr>
    </xdr:pic>
    <xdr:clientData/>
  </xdr:twoCellAnchor>
  <xdr:twoCellAnchor editAs="oneCell">
    <xdr:from>
      <xdr:col>22</xdr:col>
      <xdr:colOff>100089</xdr:colOff>
      <xdr:row>3</xdr:row>
      <xdr:rowOff>86592</xdr:rowOff>
    </xdr:from>
    <xdr:to>
      <xdr:col>42</xdr:col>
      <xdr:colOff>398318</xdr:colOff>
      <xdr:row>46</xdr:row>
      <xdr:rowOff>46405</xdr:rowOff>
    </xdr:to>
    <xdr:pic>
      <xdr:nvPicPr>
        <xdr:cNvPr id="10" name="Picture 9">
          <a:extLst>
            <a:ext uri="{FF2B5EF4-FFF2-40B4-BE49-F238E27FC236}">
              <a16:creationId xmlns:a16="http://schemas.microsoft.com/office/drawing/2014/main" id="{5E0AEC95-D1B3-4EE4-A5C8-2122D566F8D2}"/>
            </a:ext>
          </a:extLst>
        </xdr:cNvPr>
        <xdr:cNvPicPr>
          <a:picLocks noChangeAspect="1"/>
        </xdr:cNvPicPr>
      </xdr:nvPicPr>
      <xdr:blipFill>
        <a:blip xmlns:r="http://schemas.openxmlformats.org/officeDocument/2006/relationships" r:embed="rId9"/>
        <a:stretch>
          <a:fillRect/>
        </a:stretch>
      </xdr:blipFill>
      <xdr:spPr>
        <a:xfrm>
          <a:off x="13435089" y="554183"/>
          <a:ext cx="12420956" cy="6661949"/>
        </a:xfrm>
        <a:prstGeom prst="rect">
          <a:avLst/>
        </a:prstGeom>
      </xdr:spPr>
    </xdr:pic>
    <xdr:clientData/>
  </xdr:twoCellAnchor>
  <xdr:twoCellAnchor editAs="oneCell">
    <xdr:from>
      <xdr:col>26</xdr:col>
      <xdr:colOff>498407</xdr:colOff>
      <xdr:row>52</xdr:row>
      <xdr:rowOff>121229</xdr:rowOff>
    </xdr:from>
    <xdr:to>
      <xdr:col>41</xdr:col>
      <xdr:colOff>52536</xdr:colOff>
      <xdr:row>107</xdr:row>
      <xdr:rowOff>17318</xdr:rowOff>
    </xdr:to>
    <xdr:pic>
      <xdr:nvPicPr>
        <xdr:cNvPr id="11" name="Picture 10">
          <a:extLst>
            <a:ext uri="{FF2B5EF4-FFF2-40B4-BE49-F238E27FC236}">
              <a16:creationId xmlns:a16="http://schemas.microsoft.com/office/drawing/2014/main" id="{4B14124F-74B3-4274-8554-ACDB721716F3}"/>
            </a:ext>
          </a:extLst>
        </xdr:cNvPr>
        <xdr:cNvPicPr>
          <a:picLocks noChangeAspect="1"/>
        </xdr:cNvPicPr>
      </xdr:nvPicPr>
      <xdr:blipFill>
        <a:blip xmlns:r="http://schemas.openxmlformats.org/officeDocument/2006/relationships" r:embed="rId10"/>
        <a:stretch>
          <a:fillRect/>
        </a:stretch>
      </xdr:blipFill>
      <xdr:spPr>
        <a:xfrm>
          <a:off x="16257952" y="8226138"/>
          <a:ext cx="8646175" cy="8468589"/>
        </a:xfrm>
        <a:prstGeom prst="rect">
          <a:avLst/>
        </a:prstGeom>
      </xdr:spPr>
    </xdr:pic>
    <xdr:clientData/>
  </xdr:twoCellAnchor>
  <xdr:twoCellAnchor editAs="oneCell">
    <xdr:from>
      <xdr:col>44</xdr:col>
      <xdr:colOff>34636</xdr:colOff>
      <xdr:row>3</xdr:row>
      <xdr:rowOff>17319</xdr:rowOff>
    </xdr:from>
    <xdr:to>
      <xdr:col>63</xdr:col>
      <xdr:colOff>69273</xdr:colOff>
      <xdr:row>44</xdr:row>
      <xdr:rowOff>84875</xdr:rowOff>
    </xdr:to>
    <xdr:pic>
      <xdr:nvPicPr>
        <xdr:cNvPr id="12" name="Picture 11">
          <a:extLst>
            <a:ext uri="{FF2B5EF4-FFF2-40B4-BE49-F238E27FC236}">
              <a16:creationId xmlns:a16="http://schemas.microsoft.com/office/drawing/2014/main" id="{53F5A5AA-1ABA-4FB1-AC56-1D8BDC8D7196}"/>
            </a:ext>
          </a:extLst>
        </xdr:cNvPr>
        <xdr:cNvPicPr>
          <a:picLocks noChangeAspect="1"/>
        </xdr:cNvPicPr>
      </xdr:nvPicPr>
      <xdr:blipFill>
        <a:blip xmlns:r="http://schemas.openxmlformats.org/officeDocument/2006/relationships" r:embed="rId11"/>
        <a:stretch>
          <a:fillRect/>
        </a:stretch>
      </xdr:blipFill>
      <xdr:spPr>
        <a:xfrm>
          <a:off x="26704636" y="484910"/>
          <a:ext cx="11551228" cy="6457965"/>
        </a:xfrm>
        <a:prstGeom prst="rect">
          <a:avLst/>
        </a:prstGeom>
      </xdr:spPr>
    </xdr:pic>
    <xdr:clientData/>
  </xdr:twoCellAnchor>
  <xdr:twoCellAnchor editAs="oneCell">
    <xdr:from>
      <xdr:col>48</xdr:col>
      <xdr:colOff>138546</xdr:colOff>
      <xdr:row>51</xdr:row>
      <xdr:rowOff>86591</xdr:rowOff>
    </xdr:from>
    <xdr:to>
      <xdr:col>58</xdr:col>
      <xdr:colOff>526829</xdr:colOff>
      <xdr:row>108</xdr:row>
      <xdr:rowOff>69272</xdr:rowOff>
    </xdr:to>
    <xdr:pic>
      <xdr:nvPicPr>
        <xdr:cNvPr id="13" name="Picture 12">
          <a:extLst>
            <a:ext uri="{FF2B5EF4-FFF2-40B4-BE49-F238E27FC236}">
              <a16:creationId xmlns:a16="http://schemas.microsoft.com/office/drawing/2014/main" id="{83F82E44-A0B3-4F9B-9DA3-71AFB58175FC}"/>
            </a:ext>
          </a:extLst>
        </xdr:cNvPr>
        <xdr:cNvPicPr>
          <a:picLocks noChangeAspect="1"/>
        </xdr:cNvPicPr>
      </xdr:nvPicPr>
      <xdr:blipFill>
        <a:blip xmlns:r="http://schemas.openxmlformats.org/officeDocument/2006/relationships" r:embed="rId12"/>
        <a:stretch>
          <a:fillRect/>
        </a:stretch>
      </xdr:blipFill>
      <xdr:spPr>
        <a:xfrm>
          <a:off x="29233091" y="8035636"/>
          <a:ext cx="6449647" cy="8866909"/>
        </a:xfrm>
        <a:prstGeom prst="rect">
          <a:avLst/>
        </a:prstGeom>
      </xdr:spPr>
    </xdr:pic>
    <xdr:clientData/>
  </xdr:twoCellAnchor>
  <xdr:twoCellAnchor editAs="oneCell">
    <xdr:from>
      <xdr:col>2</xdr:col>
      <xdr:colOff>152400</xdr:colOff>
      <xdr:row>117</xdr:row>
      <xdr:rowOff>76201</xdr:rowOff>
    </xdr:from>
    <xdr:to>
      <xdr:col>19</xdr:col>
      <xdr:colOff>200025</xdr:colOff>
      <xdr:row>123</xdr:row>
      <xdr:rowOff>1</xdr:rowOff>
    </xdr:to>
    <xdr:pic>
      <xdr:nvPicPr>
        <xdr:cNvPr id="14" name="Picture 13">
          <a:extLst>
            <a:ext uri="{FF2B5EF4-FFF2-40B4-BE49-F238E27FC236}">
              <a16:creationId xmlns:a16="http://schemas.microsoft.com/office/drawing/2014/main" id="{5668A13D-34AA-46DD-A479-185ABFC33E6E}"/>
            </a:ext>
          </a:extLst>
        </xdr:cNvPr>
        <xdr:cNvPicPr>
          <a:picLocks noChangeAspect="1"/>
        </xdr:cNvPicPr>
      </xdr:nvPicPr>
      <xdr:blipFill rotWithShape="1">
        <a:blip xmlns:r="http://schemas.openxmlformats.org/officeDocument/2006/relationships" r:embed="rId13"/>
        <a:srcRect b="91074"/>
        <a:stretch/>
      </xdr:blipFill>
      <xdr:spPr>
        <a:xfrm>
          <a:off x="1371600" y="17907001"/>
          <a:ext cx="10410825" cy="838200"/>
        </a:xfrm>
        <a:prstGeom prst="rect">
          <a:avLst/>
        </a:prstGeom>
      </xdr:spPr>
    </xdr:pic>
    <xdr:clientData/>
  </xdr:twoCellAnchor>
  <xdr:twoCellAnchor editAs="oneCell">
    <xdr:from>
      <xdr:col>1</xdr:col>
      <xdr:colOff>0</xdr:colOff>
      <xdr:row>122</xdr:row>
      <xdr:rowOff>114300</xdr:rowOff>
    </xdr:from>
    <xdr:to>
      <xdr:col>22</xdr:col>
      <xdr:colOff>266700</xdr:colOff>
      <xdr:row>178</xdr:row>
      <xdr:rowOff>19828</xdr:rowOff>
    </xdr:to>
    <xdr:pic>
      <xdr:nvPicPr>
        <xdr:cNvPr id="15" name="Picture 14">
          <a:extLst>
            <a:ext uri="{FF2B5EF4-FFF2-40B4-BE49-F238E27FC236}">
              <a16:creationId xmlns:a16="http://schemas.microsoft.com/office/drawing/2014/main" id="{3B3E31B0-B44A-4E91-BD68-E53C8468DB0B}"/>
            </a:ext>
          </a:extLst>
        </xdr:cNvPr>
        <xdr:cNvPicPr>
          <a:picLocks noChangeAspect="1"/>
        </xdr:cNvPicPr>
      </xdr:nvPicPr>
      <xdr:blipFill rotWithShape="1">
        <a:blip xmlns:r="http://schemas.openxmlformats.org/officeDocument/2006/relationships" r:embed="rId13"/>
        <a:srcRect t="28401"/>
        <a:stretch/>
      </xdr:blipFill>
      <xdr:spPr>
        <a:xfrm>
          <a:off x="609600" y="18707100"/>
          <a:ext cx="13068300" cy="84399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142874</xdr:rowOff>
    </xdr:from>
    <xdr:ext cx="13708042" cy="9010651"/>
    <xdr:pic>
      <xdr:nvPicPr>
        <xdr:cNvPr id="2" name="Picture 1">
          <a:extLst>
            <a:ext uri="{FF2B5EF4-FFF2-40B4-BE49-F238E27FC236}">
              <a16:creationId xmlns:a16="http://schemas.microsoft.com/office/drawing/2014/main" id="{50638A22-0E76-48D7-B911-5B3EF7E297C6}"/>
            </a:ext>
          </a:extLst>
        </xdr:cNvPr>
        <xdr:cNvPicPr>
          <a:picLocks noChangeAspect="1"/>
        </xdr:cNvPicPr>
      </xdr:nvPicPr>
      <xdr:blipFill>
        <a:blip xmlns:r="http://schemas.openxmlformats.org/officeDocument/2006/relationships" r:embed="rId1"/>
        <a:stretch>
          <a:fillRect/>
        </a:stretch>
      </xdr:blipFill>
      <xdr:spPr>
        <a:xfrm>
          <a:off x="0" y="142874"/>
          <a:ext cx="13708042" cy="9010651"/>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474590</xdr:colOff>
      <xdr:row>51</xdr:row>
      <xdr:rowOff>18015</xdr:rowOff>
    </xdr:to>
    <xdr:pic>
      <xdr:nvPicPr>
        <xdr:cNvPr id="2" name="Picture 1">
          <a:extLst>
            <a:ext uri="{FF2B5EF4-FFF2-40B4-BE49-F238E27FC236}">
              <a16:creationId xmlns:a16="http://schemas.microsoft.com/office/drawing/2014/main" id="{8769FAA4-DC82-4ADE-B889-06E7F9FF8E46}"/>
            </a:ext>
          </a:extLst>
        </xdr:cNvPr>
        <xdr:cNvPicPr>
          <a:picLocks noChangeAspect="1"/>
        </xdr:cNvPicPr>
      </xdr:nvPicPr>
      <xdr:blipFill>
        <a:blip xmlns:r="http://schemas.openxmlformats.org/officeDocument/2006/relationships" r:embed="rId1"/>
        <a:stretch>
          <a:fillRect/>
        </a:stretch>
      </xdr:blipFill>
      <xdr:spPr>
        <a:xfrm>
          <a:off x="0" y="0"/>
          <a:ext cx="13276190" cy="82761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236343</xdr:colOff>
      <xdr:row>44</xdr:row>
      <xdr:rowOff>94348</xdr:rowOff>
    </xdr:to>
    <xdr:pic>
      <xdr:nvPicPr>
        <xdr:cNvPr id="3" name="Picture 2">
          <a:extLst>
            <a:ext uri="{FF2B5EF4-FFF2-40B4-BE49-F238E27FC236}">
              <a16:creationId xmlns:a16="http://schemas.microsoft.com/office/drawing/2014/main" id="{E1997F07-736D-4E80-9954-EC758C948777}"/>
            </a:ext>
          </a:extLst>
        </xdr:cNvPr>
        <xdr:cNvPicPr>
          <a:picLocks noChangeAspect="1"/>
        </xdr:cNvPicPr>
      </xdr:nvPicPr>
      <xdr:blipFill>
        <a:blip xmlns:r="http://schemas.openxmlformats.org/officeDocument/2006/relationships" r:embed="rId1"/>
        <a:stretch>
          <a:fillRect/>
        </a:stretch>
      </xdr:blipFill>
      <xdr:spPr>
        <a:xfrm>
          <a:off x="0" y="0"/>
          <a:ext cx="14257143" cy="72190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01\HDE%20World\Polarion\4.%20Polarion-Exported-Docs\20180625-Product-PRDs\SmartByPass-P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ic Report"/>
      <sheetName val="Polarion"/>
      <sheetName val="_polarion"/>
      <sheetName val="SmartByPass-PRD"/>
      <sheetName val="Data Validation"/>
    </sheetNames>
    <sheetDataSet>
      <sheetData sheetId="0" refreshError="1"/>
      <sheetData sheetId="1" refreshError="1"/>
      <sheetData sheetId="2"/>
      <sheetData sheetId="3" refreshError="1"/>
      <sheetData sheetId="4"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54" displayName="Table154" ref="B6:D7" totalsRowShown="0" headerRowDxfId="2961" dataDxfId="2959" headerRowBorderDxfId="2960" tableBorderDxfId="2958" totalsRowBorderDxfId="2957">
  <autoFilter ref="B6:D7" xr:uid="{00000000-0009-0000-0100-000001000000}"/>
  <tableColumns count="3">
    <tableColumn id="2" xr3:uid="{00000000-0010-0000-0000-000002000000}" name="PS19 QPI" dataDxfId="2956"/>
    <tableColumn id="3" xr3:uid="{00000000-0010-0000-0000-000003000000}" name="PS19 Technical Experts" dataDxfId="2955"/>
    <tableColumn id="4" xr3:uid="{00000000-0010-0000-0000-000004000000}" name="Smart Wires Reviewer" dataDxfId="2954"/>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3:E8" totalsRowShown="0" headerRowDxfId="2953" headerRowBorderDxfId="2952" tableBorderDxfId="2951" totalsRowBorderDxfId="2950">
  <autoFilter ref="B3:E8" xr:uid="{00000000-0009-0000-0100-000002000000}"/>
  <tableColumns count="4">
    <tableColumn id="1" xr3:uid="{00000000-0010-0000-0100-000001000000}" name="Score" dataDxfId="2949"/>
    <tableColumn id="2" xr3:uid="{00000000-0010-0000-0100-000002000000}" name="Criteria" dataDxfId="2948"/>
    <tableColumn id="4" xr3:uid="{00000000-0010-0000-0100-000004000000}" name="Notes" dataDxfId="2947"/>
    <tableColumn id="3" xr3:uid="{00000000-0010-0000-0100-000003000000}" name="Example" dataDxfId="2946"/>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G3:J8" totalsRowShown="0" headerRowDxfId="2945" headerRowBorderDxfId="2944" tableBorderDxfId="2943" totalsRowBorderDxfId="2942">
  <autoFilter ref="G3:J8" xr:uid="{00000000-0009-0000-0100-000004000000}"/>
  <tableColumns count="4">
    <tableColumn id="1" xr3:uid="{00000000-0010-0000-0200-000001000000}" name="Score" dataDxfId="2941"/>
    <tableColumn id="2" xr3:uid="{00000000-0010-0000-0200-000002000000}" name="Notes" dataDxfId="2940"/>
    <tableColumn id="3" xr3:uid="{00000000-0010-0000-0200-000003000000}" name="Probability Description" dataDxfId="2939"/>
    <tableColumn id="4" xr3:uid="{00000000-0010-0000-0200-000004000000}" name="Probability" dataDxfId="293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5" displayName="Table5" ref="G12:H16" totalsRowShown="0" headerRowDxfId="2937" headerRowBorderDxfId="2936" tableBorderDxfId="2935" totalsRowBorderDxfId="2934">
  <autoFilter ref="G12:H16" xr:uid="{00000000-0009-0000-0100-000003000000}"/>
  <tableColumns count="2">
    <tableColumn id="1" xr3:uid="{00000000-0010-0000-0300-000001000000}" name="RPN Conditions" dataDxfId="2933" dataCellStyle="Normal 2"/>
    <tableColumn id="2" xr3:uid="{00000000-0010-0000-0300-000002000000}" name="Color" dataDxfId="293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5.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s://app.box.com/folder/168763324353" TargetMode="External"/><Relationship Id="rId7" Type="http://schemas.openxmlformats.org/officeDocument/2006/relationships/hyperlink" Target="https://app.box.com/folder/161100747972" TargetMode="External"/><Relationship Id="rId2" Type="http://schemas.openxmlformats.org/officeDocument/2006/relationships/hyperlink" Target="https://smartwires.box.com/s/5tt5feef97k14bngxkafyrergevg23lh" TargetMode="External"/><Relationship Id="rId1" Type="http://schemas.openxmlformats.org/officeDocument/2006/relationships/hyperlink" Target="https://app.box.com/folder/168421961688" TargetMode="External"/><Relationship Id="rId6" Type="http://schemas.openxmlformats.org/officeDocument/2006/relationships/hyperlink" Target="https://app.box.com/folder/168421942488" TargetMode="External"/><Relationship Id="rId5" Type="http://schemas.openxmlformats.org/officeDocument/2006/relationships/hyperlink" Target="https://app.box.com/folder/168421942488" TargetMode="External"/><Relationship Id="rId4" Type="http://schemas.openxmlformats.org/officeDocument/2006/relationships/hyperlink" Target="https://app.box.com/folder/168421942488" TargetMode="External"/><Relationship Id="rId9"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9"/>
  <sheetViews>
    <sheetView showGridLines="0" workbookViewId="0">
      <selection activeCell="C11" sqref="C11"/>
    </sheetView>
  </sheetViews>
  <sheetFormatPr defaultColWidth="8.85546875" defaultRowHeight="15" x14ac:dyDescent="0.25"/>
  <cols>
    <col min="1" max="1" width="8.85546875" style="91"/>
    <col min="2" max="2" width="31.42578125" style="91" bestFit="1" customWidth="1"/>
    <col min="3" max="3" width="31.5703125" style="91" customWidth="1"/>
    <col min="4" max="4" width="83.42578125" style="91" customWidth="1"/>
    <col min="5" max="5" width="8.85546875" style="91"/>
    <col min="6" max="6" width="10.140625" style="91" bestFit="1" customWidth="1"/>
    <col min="7" max="7" width="18.42578125" style="91" bestFit="1" customWidth="1"/>
    <col min="8" max="16384" width="8.85546875" style="91"/>
  </cols>
  <sheetData>
    <row r="1" spans="1:9" ht="15.75" thickBot="1" x14ac:dyDescent="0.3">
      <c r="A1" s="88"/>
      <c r="B1" s="89"/>
      <c r="C1" s="89"/>
      <c r="D1" s="90"/>
      <c r="E1" s="88"/>
      <c r="F1" s="88"/>
      <c r="G1" s="88"/>
      <c r="H1" s="88"/>
      <c r="I1" s="88"/>
    </row>
    <row r="2" spans="1:9" ht="56.1" customHeight="1" thickBot="1" x14ac:dyDescent="0.3">
      <c r="A2" s="88"/>
      <c r="B2" s="439"/>
      <c r="C2" s="440"/>
      <c r="D2" s="441"/>
      <c r="E2" s="88"/>
      <c r="F2" s="88"/>
      <c r="G2" s="88"/>
      <c r="H2" s="88"/>
      <c r="I2" s="88"/>
    </row>
    <row r="3" spans="1:9" ht="32.1" customHeight="1" x14ac:dyDescent="0.25">
      <c r="A3" s="88"/>
      <c r="B3" s="92" t="s">
        <v>0</v>
      </c>
      <c r="C3" s="442" t="s">
        <v>1</v>
      </c>
      <c r="D3" s="443"/>
      <c r="E3" s="88"/>
      <c r="F3" s="88"/>
      <c r="G3" s="88"/>
      <c r="H3" s="88"/>
      <c r="I3" s="88"/>
    </row>
    <row r="4" spans="1:9" ht="15.75" customHeight="1" thickBot="1" x14ac:dyDescent="0.3">
      <c r="A4" s="88"/>
      <c r="B4" s="93" t="s">
        <v>2</v>
      </c>
      <c r="C4" s="444" t="s">
        <v>3</v>
      </c>
      <c r="D4" s="445"/>
      <c r="E4" s="88"/>
      <c r="F4" s="88"/>
      <c r="G4" s="88"/>
      <c r="H4" s="88"/>
      <c r="I4" s="88"/>
    </row>
    <row r="5" spans="1:9" customFormat="1" ht="12.75" x14ac:dyDescent="0.2"/>
    <row r="6" spans="1:9" ht="24" customHeight="1" x14ac:dyDescent="0.25">
      <c r="B6" s="94" t="s">
        <v>4</v>
      </c>
      <c r="C6" s="95" t="s">
        <v>5</v>
      </c>
      <c r="D6" s="96" t="s">
        <v>6</v>
      </c>
    </row>
    <row r="7" spans="1:9" ht="24.75" customHeight="1" x14ac:dyDescent="0.25">
      <c r="B7" s="97" t="s">
        <v>7</v>
      </c>
      <c r="C7" s="97" t="s">
        <v>8</v>
      </c>
      <c r="D7" s="97" t="s">
        <v>9</v>
      </c>
    </row>
    <row r="8" spans="1:9" ht="24.75" customHeight="1" x14ac:dyDescent="0.25"/>
    <row r="9" spans="1:9" ht="24.75" customHeight="1" x14ac:dyDescent="0.25"/>
  </sheetData>
  <mergeCells count="3">
    <mergeCell ref="B2:D2"/>
    <mergeCell ref="C3:D3"/>
    <mergeCell ref="C4:D4"/>
  </mergeCells>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EBB78-6B45-4961-96DA-A583157C8365}">
  <sheetPr codeName="Sheet11"/>
  <dimension ref="A1:G61"/>
  <sheetViews>
    <sheetView showGridLines="0" workbookViewId="0">
      <selection activeCell="B1" sqref="B1"/>
    </sheetView>
  </sheetViews>
  <sheetFormatPr defaultColWidth="0" defaultRowHeight="15" customHeight="1" zeroHeight="1" x14ac:dyDescent="0.25"/>
  <cols>
    <col min="1" max="1" width="2.140625" style="182" customWidth="1"/>
    <col min="2" max="2" width="9.7109375" style="182" bestFit="1" customWidth="1"/>
    <col min="3" max="3" width="8.85546875" style="182" customWidth="1"/>
    <col min="4" max="4" width="127.140625" style="182" customWidth="1"/>
    <col min="5" max="5" width="3" style="182" customWidth="1"/>
    <col min="6" max="7" width="0" style="182" hidden="1" customWidth="1"/>
    <col min="8" max="16384" width="8.85546875" style="182" hidden="1"/>
  </cols>
  <sheetData>
    <row r="1" spans="2:4" ht="15.75" thickBot="1" x14ac:dyDescent="0.3"/>
    <row r="2" spans="2:4" ht="18.75" thickBot="1" x14ac:dyDescent="0.3">
      <c r="B2" s="446" t="s">
        <v>10</v>
      </c>
      <c r="C2" s="447"/>
      <c r="D2" s="448"/>
    </row>
    <row r="3" spans="2:4" ht="39" customHeight="1" thickBot="1" x14ac:dyDescent="0.3">
      <c r="B3" s="183" t="s">
        <v>11</v>
      </c>
      <c r="C3" s="184" t="s">
        <v>12</v>
      </c>
      <c r="D3" s="185" t="s">
        <v>13</v>
      </c>
    </row>
    <row r="4" spans="2:4" x14ac:dyDescent="0.25">
      <c r="B4" s="449">
        <v>44215</v>
      </c>
      <c r="C4" s="451">
        <v>1</v>
      </c>
      <c r="D4" s="453" t="s">
        <v>14</v>
      </c>
    </row>
    <row r="5" spans="2:4" ht="15.75" thickBot="1" x14ac:dyDescent="0.3">
      <c r="B5" s="450"/>
      <c r="C5" s="452"/>
      <c r="D5" s="454"/>
    </row>
    <row r="6" spans="2:4" ht="15.75" thickBot="1" x14ac:dyDescent="0.3">
      <c r="B6" s="399">
        <v>44259</v>
      </c>
      <c r="C6" s="186">
        <v>1.1000000000000001</v>
      </c>
      <c r="D6" s="187" t="s">
        <v>15</v>
      </c>
    </row>
    <row r="7" spans="2:4" ht="15.75" thickBot="1" x14ac:dyDescent="0.3">
      <c r="B7" s="399">
        <v>44582</v>
      </c>
      <c r="C7" s="400">
        <v>1.2</v>
      </c>
      <c r="D7" s="187" t="s">
        <v>16</v>
      </c>
    </row>
    <row r="8" spans="2:4" ht="15.75" thickBot="1" x14ac:dyDescent="0.3">
      <c r="B8" s="399">
        <v>44594</v>
      </c>
      <c r="C8" s="400">
        <v>1.3</v>
      </c>
      <c r="D8" s="187" t="s">
        <v>17</v>
      </c>
    </row>
    <row r="9" spans="2:4" ht="15.75" thickBot="1" x14ac:dyDescent="0.3">
      <c r="B9" s="399">
        <v>44599</v>
      </c>
      <c r="C9" s="186">
        <v>1.4</v>
      </c>
      <c r="D9" s="401" t="s">
        <v>18</v>
      </c>
    </row>
    <row r="10" spans="2:4" ht="15.75" thickBot="1" x14ac:dyDescent="0.3">
      <c r="B10" s="399">
        <v>44638</v>
      </c>
      <c r="C10" s="186">
        <v>1.5</v>
      </c>
      <c r="D10" s="401" t="s">
        <v>19</v>
      </c>
    </row>
    <row r="11" spans="2:4" ht="15.75" thickBot="1" x14ac:dyDescent="0.3">
      <c r="B11" s="399">
        <v>44771</v>
      </c>
      <c r="C11" s="400">
        <v>1.6</v>
      </c>
      <c r="D11" s="187" t="s">
        <v>20</v>
      </c>
    </row>
    <row r="12" spans="2:4" ht="15.75" thickBot="1" x14ac:dyDescent="0.3">
      <c r="B12" s="399">
        <v>44774</v>
      </c>
      <c r="C12" s="400">
        <v>1.7</v>
      </c>
      <c r="D12" s="187" t="s">
        <v>21</v>
      </c>
    </row>
    <row r="13" spans="2:4" ht="15.75" thickBot="1" x14ac:dyDescent="0.3">
      <c r="B13" s="399">
        <v>44824</v>
      </c>
      <c r="C13" s="186">
        <v>1.8</v>
      </c>
      <c r="D13" s="401" t="s">
        <v>22</v>
      </c>
    </row>
    <row r="14" spans="2:4" ht="15.75" thickBot="1" x14ac:dyDescent="0.3">
      <c r="B14" s="399">
        <v>44832</v>
      </c>
      <c r="C14" s="186">
        <v>1.9</v>
      </c>
      <c r="D14" s="187" t="s">
        <v>21</v>
      </c>
    </row>
    <row r="15" spans="2:4" ht="15.75" thickBot="1" x14ac:dyDescent="0.3">
      <c r="B15" s="399">
        <v>44840</v>
      </c>
      <c r="C15" s="400">
        <v>2</v>
      </c>
      <c r="D15" s="401" t="s">
        <v>23</v>
      </c>
    </row>
    <row r="16" spans="2:4" ht="15.75" thickBot="1" x14ac:dyDescent="0.3">
      <c r="B16" s="399">
        <v>44848</v>
      </c>
      <c r="C16" s="186">
        <v>2.1</v>
      </c>
      <c r="D16" s="187" t="s">
        <v>21</v>
      </c>
    </row>
    <row r="17" spans="2:4" ht="15.75" thickBot="1" x14ac:dyDescent="0.3">
      <c r="B17" s="344">
        <v>44853</v>
      </c>
      <c r="C17" s="345">
        <v>2.2000000000000002</v>
      </c>
      <c r="D17" s="401" t="s">
        <v>23</v>
      </c>
    </row>
    <row r="18" spans="2:4" ht="15.75" thickBot="1" x14ac:dyDescent="0.3">
      <c r="B18" s="344">
        <v>44883</v>
      </c>
      <c r="C18" s="345">
        <v>2.2999999999999998</v>
      </c>
      <c r="D18" s="401" t="s">
        <v>24</v>
      </c>
    </row>
    <row r="19" spans="2:4" x14ac:dyDescent="0.25">
      <c r="B19" s="395"/>
      <c r="C19" s="396"/>
      <c r="D19" s="397"/>
    </row>
    <row r="20" spans="2:4" x14ac:dyDescent="0.25"/>
    <row r="21" spans="2:4" x14ac:dyDescent="0.25"/>
    <row r="22" spans="2:4" x14ac:dyDescent="0.25"/>
    <row r="23" spans="2:4" x14ac:dyDescent="0.25"/>
    <row r="24" spans="2:4" x14ac:dyDescent="0.25"/>
    <row r="25" spans="2:4" x14ac:dyDescent="0.25"/>
    <row r="26" spans="2:4" x14ac:dyDescent="0.25"/>
    <row r="27" spans="2:4" x14ac:dyDescent="0.25"/>
    <row r="28" spans="2:4" x14ac:dyDescent="0.25"/>
    <row r="29" spans="2:4" x14ac:dyDescent="0.25"/>
    <row r="30" spans="2:4" x14ac:dyDescent="0.25"/>
    <row r="31" spans="2:4" x14ac:dyDescent="0.25"/>
    <row r="32" spans="2:4"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sheetData>
  <mergeCells count="4">
    <mergeCell ref="B2:D2"/>
    <mergeCell ref="B4:B5"/>
    <mergeCell ref="C4:C5"/>
    <mergeCell ref="D4:D5"/>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I63"/>
  <sheetViews>
    <sheetView showGridLines="0" workbookViewId="0"/>
  </sheetViews>
  <sheetFormatPr defaultColWidth="0" defaultRowHeight="0" customHeight="1" zeroHeight="1" x14ac:dyDescent="0.25"/>
  <cols>
    <col min="1" max="1" width="2.140625" style="91" customWidth="1"/>
    <col min="2" max="2" width="26.28515625" style="91" customWidth="1"/>
    <col min="3" max="3" width="39" style="91" customWidth="1"/>
    <col min="4" max="4" width="26.28515625" style="91" customWidth="1"/>
    <col min="5" max="5" width="45.28515625" style="91" customWidth="1"/>
    <col min="6" max="6" width="3" style="91" customWidth="1"/>
    <col min="7" max="9" width="0" style="91" hidden="1" customWidth="1"/>
    <col min="10" max="16384" width="8.85546875" style="91" hidden="1"/>
  </cols>
  <sheetData>
    <row r="1" spans="2:5" ht="15.75" thickBot="1" x14ac:dyDescent="0.3"/>
    <row r="2" spans="2:5" ht="54.75" customHeight="1" thickBot="1" x14ac:dyDescent="0.3">
      <c r="B2" s="455" t="s">
        <v>25</v>
      </c>
      <c r="C2" s="456"/>
      <c r="D2" s="456"/>
      <c r="E2" s="457"/>
    </row>
    <row r="3" spans="2:5" ht="15.75" thickBot="1" x14ac:dyDescent="0.3">
      <c r="B3" s="98" t="s">
        <v>26</v>
      </c>
      <c r="C3" s="99" t="s">
        <v>13</v>
      </c>
      <c r="D3" s="98" t="s">
        <v>26</v>
      </c>
      <c r="E3" s="99" t="s">
        <v>13</v>
      </c>
    </row>
    <row r="4" spans="2:5" ht="15.75" thickBot="1" x14ac:dyDescent="0.3">
      <c r="B4" s="100" t="s">
        <v>27</v>
      </c>
      <c r="C4" s="100" t="s">
        <v>28</v>
      </c>
      <c r="D4" s="101" t="s">
        <v>29</v>
      </c>
      <c r="E4" s="100" t="s">
        <v>30</v>
      </c>
    </row>
    <row r="5" spans="2:5" ht="15.75" thickBot="1" x14ac:dyDescent="0.3">
      <c r="B5" s="112" t="s">
        <v>31</v>
      </c>
      <c r="C5" s="112" t="s">
        <v>32</v>
      </c>
      <c r="D5" s="101" t="s">
        <v>33</v>
      </c>
      <c r="E5" s="100" t="s">
        <v>34</v>
      </c>
    </row>
    <row r="6" spans="2:5" ht="15.75" thickBot="1" x14ac:dyDescent="0.3">
      <c r="B6" s="100" t="s">
        <v>35</v>
      </c>
      <c r="C6" s="100" t="s">
        <v>36</v>
      </c>
      <c r="D6" s="101" t="s">
        <v>37</v>
      </c>
      <c r="E6" s="100" t="s">
        <v>38</v>
      </c>
    </row>
    <row r="7" spans="2:5" ht="15.75" thickBot="1" x14ac:dyDescent="0.3">
      <c r="B7" s="100" t="s">
        <v>39</v>
      </c>
      <c r="C7" s="100" t="s">
        <v>40</v>
      </c>
      <c r="D7" s="101" t="s">
        <v>41</v>
      </c>
      <c r="E7" s="100" t="s">
        <v>42</v>
      </c>
    </row>
    <row r="8" spans="2:5" ht="15.75" thickBot="1" x14ac:dyDescent="0.3">
      <c r="B8" s="100" t="s">
        <v>43</v>
      </c>
      <c r="C8" s="100" t="s">
        <v>44</v>
      </c>
      <c r="D8" s="101" t="s">
        <v>45</v>
      </c>
      <c r="E8" s="100" t="s">
        <v>46</v>
      </c>
    </row>
    <row r="9" spans="2:5" ht="15.75" thickBot="1" x14ac:dyDescent="0.3">
      <c r="B9" s="100" t="s">
        <v>47</v>
      </c>
      <c r="C9" s="100" t="s">
        <v>48</v>
      </c>
      <c r="D9" s="101" t="s">
        <v>49</v>
      </c>
      <c r="E9" s="100" t="s">
        <v>50</v>
      </c>
    </row>
    <row r="10" spans="2:5" ht="15.75" thickBot="1" x14ac:dyDescent="0.3">
      <c r="B10" s="112" t="s">
        <v>51</v>
      </c>
      <c r="C10" s="112" t="s">
        <v>52</v>
      </c>
      <c r="D10" s="101"/>
      <c r="E10" s="100"/>
    </row>
    <row r="11" spans="2:5" ht="15.75" thickBot="1" x14ac:dyDescent="0.3">
      <c r="B11" s="100" t="s">
        <v>53</v>
      </c>
      <c r="C11" s="100" t="s">
        <v>54</v>
      </c>
      <c r="D11" s="101"/>
      <c r="E11" s="100"/>
    </row>
    <row r="12" spans="2:5" ht="15.75" thickBot="1" x14ac:dyDescent="0.3">
      <c r="B12" s="112" t="s">
        <v>55</v>
      </c>
      <c r="C12" s="112" t="s">
        <v>56</v>
      </c>
      <c r="D12" s="101"/>
      <c r="E12" s="100"/>
    </row>
    <row r="13" spans="2:5" ht="15.75" thickBot="1" x14ac:dyDescent="0.3">
      <c r="B13" s="100" t="s">
        <v>57</v>
      </c>
      <c r="C13" s="100" t="s">
        <v>58</v>
      </c>
      <c r="D13" s="101"/>
      <c r="E13" s="100"/>
    </row>
    <row r="14" spans="2:5" ht="15.75" thickBot="1" x14ac:dyDescent="0.3">
      <c r="B14" s="112" t="s">
        <v>59</v>
      </c>
      <c r="C14" s="112" t="s">
        <v>60</v>
      </c>
      <c r="D14" s="101"/>
      <c r="E14" s="100"/>
    </row>
    <row r="15" spans="2:5" ht="15.75" thickBot="1" x14ac:dyDescent="0.3">
      <c r="B15" s="100" t="s">
        <v>61</v>
      </c>
      <c r="C15" s="100" t="s">
        <v>62</v>
      </c>
      <c r="D15" s="101"/>
      <c r="E15" s="100"/>
    </row>
    <row r="16" spans="2:5" ht="15.75" thickBot="1" x14ac:dyDescent="0.3">
      <c r="B16" s="100" t="s">
        <v>63</v>
      </c>
      <c r="C16" s="100" t="s">
        <v>64</v>
      </c>
      <c r="D16" s="101"/>
      <c r="E16" s="100"/>
    </row>
    <row r="17" spans="2:5" ht="15.75" thickBot="1" x14ac:dyDescent="0.3">
      <c r="B17" s="100" t="s">
        <v>65</v>
      </c>
      <c r="C17" s="100" t="s">
        <v>66</v>
      </c>
      <c r="D17" s="101"/>
      <c r="E17" s="100"/>
    </row>
    <row r="18" spans="2:5" ht="15.75" thickBot="1" x14ac:dyDescent="0.3">
      <c r="B18" s="112" t="s">
        <v>67</v>
      </c>
      <c r="C18" s="112" t="s">
        <v>68</v>
      </c>
      <c r="D18" s="101"/>
      <c r="E18" s="100"/>
    </row>
    <row r="19" spans="2:5" ht="15.75" thickBot="1" x14ac:dyDescent="0.3">
      <c r="B19" s="100" t="s">
        <v>29</v>
      </c>
      <c r="C19" s="100" t="s">
        <v>30</v>
      </c>
      <c r="D19" s="101"/>
      <c r="E19" s="100"/>
    </row>
    <row r="20" spans="2:5" ht="15.75" thickBot="1" x14ac:dyDescent="0.3">
      <c r="B20" s="112" t="s">
        <v>69</v>
      </c>
      <c r="C20" s="112" t="s">
        <v>70</v>
      </c>
      <c r="D20" s="101"/>
      <c r="E20" s="100"/>
    </row>
    <row r="21" spans="2:5" ht="15.75" thickBot="1" x14ac:dyDescent="0.3">
      <c r="B21" s="100" t="s">
        <v>71</v>
      </c>
      <c r="C21" s="100" t="s">
        <v>72</v>
      </c>
      <c r="D21" s="101"/>
      <c r="E21" s="100"/>
    </row>
    <row r="22" spans="2:5" ht="15.75" thickBot="1" x14ac:dyDescent="0.3">
      <c r="B22" s="100" t="s">
        <v>73</v>
      </c>
      <c r="C22" s="100" t="s">
        <v>74</v>
      </c>
      <c r="D22" s="101"/>
      <c r="E22" s="100"/>
    </row>
    <row r="23" spans="2:5" ht="15.75" thickBot="1" x14ac:dyDescent="0.3">
      <c r="B23" s="100" t="s">
        <v>75</v>
      </c>
      <c r="C23" s="100" t="s">
        <v>76</v>
      </c>
      <c r="D23" s="101"/>
      <c r="E23" s="100"/>
    </row>
    <row r="24" spans="2:5" ht="15.75" thickBot="1" x14ac:dyDescent="0.3">
      <c r="B24" s="112" t="s">
        <v>77</v>
      </c>
      <c r="C24" s="112" t="s">
        <v>78</v>
      </c>
      <c r="D24" s="101"/>
      <c r="E24" s="100"/>
    </row>
    <row r="25" spans="2:5" ht="15.75" thickBot="1" x14ac:dyDescent="0.3">
      <c r="B25" s="100" t="s">
        <v>79</v>
      </c>
      <c r="C25" s="100" t="s">
        <v>80</v>
      </c>
      <c r="D25" s="101"/>
      <c r="E25" s="100"/>
    </row>
    <row r="26" spans="2:5" ht="15.75" thickBot="1" x14ac:dyDescent="0.3">
      <c r="B26" s="112" t="s">
        <v>81</v>
      </c>
      <c r="C26" s="112" t="s">
        <v>82</v>
      </c>
      <c r="D26" s="101"/>
      <c r="E26" s="100"/>
    </row>
    <row r="27" spans="2:5" ht="15.75" thickBot="1" x14ac:dyDescent="0.3">
      <c r="B27" s="112" t="s">
        <v>83</v>
      </c>
      <c r="C27" s="112" t="s">
        <v>84</v>
      </c>
      <c r="D27" s="101"/>
      <c r="E27" s="100"/>
    </row>
    <row r="28" spans="2:5" ht="15.75" thickBot="1" x14ac:dyDescent="0.3">
      <c r="B28" s="112" t="s">
        <v>85</v>
      </c>
      <c r="C28" s="112" t="s">
        <v>86</v>
      </c>
      <c r="D28" s="101"/>
      <c r="E28" s="100"/>
    </row>
    <row r="29" spans="2:5" ht="15.75" thickBot="1" x14ac:dyDescent="0.3">
      <c r="B29" s="100" t="s">
        <v>87</v>
      </c>
      <c r="C29" s="100" t="s">
        <v>88</v>
      </c>
      <c r="D29" s="101"/>
      <c r="E29" s="100"/>
    </row>
    <row r="30" spans="2:5" ht="15.75" thickBot="1" x14ac:dyDescent="0.3">
      <c r="B30" s="112" t="s">
        <v>89</v>
      </c>
      <c r="C30" s="112" t="s">
        <v>90</v>
      </c>
      <c r="D30" s="101"/>
      <c r="E30" s="100"/>
    </row>
    <row r="31" spans="2:5" ht="15.75" thickBot="1" x14ac:dyDescent="0.3">
      <c r="B31" s="112" t="s">
        <v>91</v>
      </c>
      <c r="C31" s="112" t="s">
        <v>92</v>
      </c>
      <c r="D31" s="101"/>
      <c r="E31" s="100"/>
    </row>
    <row r="32" spans="2:5" ht="15.75" thickBot="1" x14ac:dyDescent="0.3">
      <c r="B32" s="112" t="s">
        <v>93</v>
      </c>
      <c r="C32" s="112" t="s">
        <v>94</v>
      </c>
      <c r="D32" s="101"/>
      <c r="E32" s="100"/>
    </row>
    <row r="33" spans="2:5" ht="15.75" thickBot="1" x14ac:dyDescent="0.3">
      <c r="B33" s="100" t="s">
        <v>95</v>
      </c>
      <c r="C33" s="100" t="s">
        <v>96</v>
      </c>
      <c r="D33" s="101"/>
      <c r="E33" s="100"/>
    </row>
    <row r="34" spans="2:5" ht="15.75" thickBot="1" x14ac:dyDescent="0.3">
      <c r="B34" s="112" t="s">
        <v>97</v>
      </c>
      <c r="C34" s="112" t="s">
        <v>98</v>
      </c>
      <c r="D34" s="101"/>
      <c r="E34" s="100"/>
    </row>
    <row r="35" spans="2:5" ht="15.75" thickBot="1" x14ac:dyDescent="0.3">
      <c r="B35" s="100" t="s">
        <v>99</v>
      </c>
      <c r="C35" s="100" t="s">
        <v>100</v>
      </c>
      <c r="D35" s="101"/>
      <c r="E35" s="100"/>
    </row>
    <row r="36" spans="2:5" ht="15.75" thickBot="1" x14ac:dyDescent="0.3">
      <c r="B36" s="100" t="s">
        <v>101</v>
      </c>
      <c r="C36" s="100" t="s">
        <v>102</v>
      </c>
      <c r="D36" s="101"/>
      <c r="E36" s="100"/>
    </row>
    <row r="37" spans="2:5" ht="15.75" thickBot="1" x14ac:dyDescent="0.3">
      <c r="B37" s="100" t="s">
        <v>103</v>
      </c>
      <c r="C37" s="100" t="s">
        <v>104</v>
      </c>
      <c r="D37" s="101"/>
      <c r="E37" s="100"/>
    </row>
    <row r="38" spans="2:5" ht="15.75" thickBot="1" x14ac:dyDescent="0.3">
      <c r="B38" s="100"/>
      <c r="C38" s="100"/>
      <c r="D38" s="101"/>
      <c r="E38" s="100"/>
    </row>
    <row r="39" spans="2:5" ht="15.75" thickBot="1" x14ac:dyDescent="0.3">
      <c r="B39" s="100"/>
      <c r="C39" s="100"/>
      <c r="D39" s="101"/>
      <c r="E39" s="100"/>
    </row>
    <row r="40" spans="2:5" ht="15.75" thickBot="1" x14ac:dyDescent="0.3">
      <c r="B40" s="100"/>
      <c r="C40" s="100"/>
      <c r="D40" s="101"/>
      <c r="E40" s="100"/>
    </row>
    <row r="41" spans="2:5" ht="15.75" thickBot="1" x14ac:dyDescent="0.3">
      <c r="B41" s="100"/>
      <c r="C41" s="100"/>
      <c r="D41" s="101"/>
      <c r="E41" s="100"/>
    </row>
    <row r="42" spans="2:5" ht="15.75" thickBot="1" x14ac:dyDescent="0.3">
      <c r="B42" s="100"/>
      <c r="C42" s="100"/>
      <c r="D42" s="101"/>
      <c r="E42" s="100"/>
    </row>
    <row r="43" spans="2:5" ht="15.75" thickBot="1" x14ac:dyDescent="0.3">
      <c r="B43" s="100"/>
      <c r="C43" s="100"/>
      <c r="D43" s="101"/>
      <c r="E43" s="100"/>
    </row>
    <row r="44" spans="2:5" ht="15.75" thickBot="1" x14ac:dyDescent="0.3">
      <c r="B44" s="100"/>
      <c r="C44" s="100"/>
      <c r="D44" s="101"/>
      <c r="E44" s="100"/>
    </row>
    <row r="45" spans="2:5" ht="15" x14ac:dyDescent="0.25">
      <c r="B45"/>
      <c r="C45"/>
      <c r="D45"/>
      <c r="E45"/>
    </row>
    <row r="46" spans="2:5" ht="15" x14ac:dyDescent="0.25">
      <c r="B46"/>
      <c r="C46"/>
      <c r="D46"/>
      <c r="E46"/>
    </row>
    <row r="47" spans="2:5" ht="15" x14ac:dyDescent="0.25">
      <c r="B47"/>
      <c r="C47"/>
      <c r="D47"/>
      <c r="E47"/>
    </row>
    <row r="48" spans="2:5" ht="15" x14ac:dyDescent="0.25">
      <c r="B48"/>
      <c r="C48"/>
      <c r="D48"/>
      <c r="E48"/>
    </row>
    <row r="49" spans="2:5" ht="15" x14ac:dyDescent="0.25">
      <c r="B49"/>
      <c r="C49"/>
      <c r="D49"/>
      <c r="E49"/>
    </row>
    <row r="50" spans="2:5" ht="15" x14ac:dyDescent="0.25">
      <c r="B50"/>
      <c r="C50"/>
      <c r="D50"/>
      <c r="E50"/>
    </row>
    <row r="51" spans="2:5" ht="15" x14ac:dyDescent="0.25">
      <c r="B51"/>
      <c r="C51"/>
      <c r="D51"/>
      <c r="E51"/>
    </row>
    <row r="52" spans="2:5" ht="15" x14ac:dyDescent="0.25">
      <c r="B52"/>
      <c r="C52"/>
      <c r="D52"/>
      <c r="E52"/>
    </row>
    <row r="53" spans="2:5" ht="15" x14ac:dyDescent="0.25">
      <c r="B53"/>
      <c r="C53"/>
      <c r="D53"/>
      <c r="E53"/>
    </row>
    <row r="54" spans="2:5" ht="15" x14ac:dyDescent="0.25">
      <c r="B54"/>
      <c r="C54"/>
      <c r="D54"/>
      <c r="E54"/>
    </row>
    <row r="55" spans="2:5" ht="15.75" thickBot="1" x14ac:dyDescent="0.3">
      <c r="B55" s="112"/>
      <c r="C55" s="112"/>
      <c r="D55" s="101"/>
      <c r="E55" s="102"/>
    </row>
    <row r="56" spans="2:5" ht="15.75" thickBot="1" x14ac:dyDescent="0.3">
      <c r="B56" s="112"/>
      <c r="C56" s="112"/>
      <c r="D56" s="101"/>
      <c r="E56" s="102"/>
    </row>
    <row r="57" spans="2:5" ht="15.75" thickBot="1" x14ac:dyDescent="0.3">
      <c r="B57" s="112"/>
      <c r="C57" s="112"/>
      <c r="D57" s="101"/>
      <c r="E57" s="102"/>
    </row>
    <row r="58" spans="2:5" ht="15" customHeight="1" x14ac:dyDescent="0.25"/>
    <row r="59" spans="2:5" ht="15" customHeight="1" x14ac:dyDescent="0.25"/>
    <row r="60" spans="2:5" ht="15" customHeight="1" x14ac:dyDescent="0.25"/>
    <row r="61" spans="2:5" ht="15" customHeight="1" x14ac:dyDescent="0.25"/>
    <row r="62" spans="2:5" ht="15" customHeight="1" x14ac:dyDescent="0.25"/>
    <row r="63" spans="2:5" ht="15" customHeight="1" x14ac:dyDescent="0.25"/>
  </sheetData>
  <sortState ref="B4:E54">
    <sortCondition ref="B4:B54"/>
  </sortState>
  <mergeCells count="1">
    <mergeCell ref="B2:E2"/>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2:R48"/>
  <sheetViews>
    <sheetView showGridLines="0" workbookViewId="0"/>
  </sheetViews>
  <sheetFormatPr defaultRowHeight="12.75" x14ac:dyDescent="0.2"/>
  <cols>
    <col min="13" max="13" width="12" customWidth="1"/>
    <col min="15" max="15" width="12.7109375" bestFit="1" customWidth="1"/>
  </cols>
  <sheetData>
    <row r="2" spans="2:18" ht="18" x14ac:dyDescent="0.2">
      <c r="D2" s="459" t="s">
        <v>105</v>
      </c>
      <c r="E2" s="459"/>
      <c r="F2" s="459"/>
      <c r="G2" s="459"/>
      <c r="H2" s="459"/>
      <c r="L2" s="459" t="s">
        <v>106</v>
      </c>
      <c r="M2" s="459"/>
      <c r="N2" s="459"/>
      <c r="O2" s="459"/>
      <c r="P2" s="459"/>
      <c r="Q2" s="459"/>
      <c r="R2" s="459"/>
    </row>
    <row r="3" spans="2:18" ht="13.5" thickBot="1" x14ac:dyDescent="0.25"/>
    <row r="4" spans="2:18" ht="45" customHeight="1" thickBot="1" x14ac:dyDescent="0.25">
      <c r="B4" s="460" t="s">
        <v>107</v>
      </c>
      <c r="C4" s="402">
        <v>5</v>
      </c>
      <c r="D4" s="9">
        <f>$C$4*D9</f>
        <v>5</v>
      </c>
      <c r="E4" s="10">
        <f>$C$4*E9</f>
        <v>10</v>
      </c>
      <c r="F4" s="11">
        <f>$C$4*F9</f>
        <v>15</v>
      </c>
      <c r="G4" s="12">
        <f>$C$4*G9</f>
        <v>20</v>
      </c>
      <c r="H4" s="13">
        <f>$C$4*H9</f>
        <v>25</v>
      </c>
      <c r="K4" s="460" t="s">
        <v>107</v>
      </c>
      <c r="L4" s="402">
        <v>5</v>
      </c>
      <c r="M4" s="9" cm="1">
        <f t="array" ref="M4">SUMPRODUCT(--(DFMECA!$I$3:$I$1024=1),--(DFMECA!$L$3:$L$1024=5))</f>
        <v>0</v>
      </c>
      <c r="N4" s="28" cm="1">
        <f t="array" ref="N4">SUMPRODUCT(--(DFMECA!$I$3:$I$1024=2),--(DFMECA!$L$3:$L$1024=5))</f>
        <v>0</v>
      </c>
      <c r="O4" s="11" cm="1">
        <f t="array" ref="O4">SUMPRODUCT(--(DFMECA!I3:I1024=3),--(DFMECA!L3:L1024=5))</f>
        <v>0</v>
      </c>
      <c r="P4" s="12" cm="1">
        <f t="array" ref="P4">SUMPRODUCT(--(DFMECA!I3:I1024=4),--(DFMECA!L3:L1024=5))</f>
        <v>0</v>
      </c>
      <c r="Q4" s="13" cm="1">
        <f t="array" ref="Q4">SUMPRODUCT(--(DFMECA!I3:I1024=5),--(DFMECA!L3:L1024=5))</f>
        <v>0</v>
      </c>
    </row>
    <row r="5" spans="2:18" ht="45" customHeight="1" thickBot="1" x14ac:dyDescent="0.25">
      <c r="B5" s="460"/>
      <c r="C5" s="402">
        <v>4</v>
      </c>
      <c r="D5" s="14">
        <f>$C$5*D9</f>
        <v>4</v>
      </c>
      <c r="E5" s="15">
        <f>$C$5*E9</f>
        <v>8</v>
      </c>
      <c r="F5" s="16">
        <f>$C$5*F9</f>
        <v>12</v>
      </c>
      <c r="G5" s="17">
        <f>$C$5*G9</f>
        <v>16</v>
      </c>
      <c r="H5" s="18">
        <f>$C$5*H9</f>
        <v>20</v>
      </c>
      <c r="K5" s="460"/>
      <c r="L5" s="402">
        <v>4</v>
      </c>
      <c r="M5" s="9" cm="1">
        <f t="array" ref="M5">SUMPRODUCT(--(DFMECA!$I$3:$I$1024=1),--(DFMECA!$L$3:$L$1024=4))</f>
        <v>0</v>
      </c>
      <c r="N5" s="28" cm="1">
        <f t="array" ref="N5">SUMPRODUCT(--(DFMECA!$I$3:$I$1024=2),--(DFMECA!$L$3:$L$1024=4))</f>
        <v>0</v>
      </c>
      <c r="O5" s="16" cm="1">
        <f t="array" ref="O5">SUMPRODUCT(--(DFMECA!I3:I1024=3),--(DFMECA!L3:L1024=4))</f>
        <v>0</v>
      </c>
      <c r="P5" s="17" cm="1">
        <f t="array" ref="P5">SUMPRODUCT(--(DFMECA!I3:I1024=4),--(DFMECA!L3:L1024=4))</f>
        <v>0</v>
      </c>
      <c r="Q5" s="18" cm="1">
        <f t="array" ref="Q5">SUMPRODUCT(--(DFMECA!I3:I1024=5),--(DFMECA!L3:L1024=4))</f>
        <v>0</v>
      </c>
    </row>
    <row r="6" spans="2:18" ht="45" customHeight="1" thickBot="1" x14ac:dyDescent="0.25">
      <c r="B6" s="460"/>
      <c r="C6" s="402">
        <v>3</v>
      </c>
      <c r="D6" s="19">
        <f>$C$6*D9</f>
        <v>3</v>
      </c>
      <c r="E6" s="20">
        <f>$C$6*E9</f>
        <v>6</v>
      </c>
      <c r="F6" s="15">
        <f>$C$6*F9</f>
        <v>9</v>
      </c>
      <c r="G6" s="16">
        <f>$C$6*G9</f>
        <v>12</v>
      </c>
      <c r="H6" s="21">
        <f>$C$6*H9</f>
        <v>15</v>
      </c>
      <c r="K6" s="460"/>
      <c r="L6" s="402">
        <v>3</v>
      </c>
      <c r="M6" s="9" cm="1">
        <f t="array" ref="M6">SUMPRODUCT(--(DFMECA!$I$3:$I$1024=1),--(DFMECA!$L$3:$L$1024=3))</f>
        <v>0</v>
      </c>
      <c r="N6" s="20">
        <f>SUMPRODUCT(--(DFMECA!I3:I1024=2),--(DFMECA!L3:L1024=3))</f>
        <v>0</v>
      </c>
      <c r="O6" s="15" cm="1">
        <f t="array" ref="O6">SUMPRODUCT(--(DFMECA!I3:I1024=3),--(DFMECA!L3:L1024=3))</f>
        <v>0</v>
      </c>
      <c r="P6" s="16" cm="1">
        <f t="array" ref="P6">SUMPRODUCT(--(DFMECA!I3:I1024=4),--(DFMECA!L3:L1024=3))</f>
        <v>0</v>
      </c>
      <c r="Q6" s="21" cm="1">
        <f t="array" ref="Q6">SUMPRODUCT(--(DFMECA!I3:I1024=5),--(DFMECA!L3:L1024=3))</f>
        <v>0</v>
      </c>
    </row>
    <row r="7" spans="2:18" ht="45" customHeight="1" thickBot="1" x14ac:dyDescent="0.25">
      <c r="B7" s="460"/>
      <c r="C7" s="402">
        <v>2</v>
      </c>
      <c r="D7" s="19">
        <f>$C$7*D9</f>
        <v>2</v>
      </c>
      <c r="E7" s="22">
        <f>$C$7*E9</f>
        <v>4</v>
      </c>
      <c r="F7" s="20">
        <f>$C$7*F9</f>
        <v>6</v>
      </c>
      <c r="G7" s="15">
        <f>$C$7*G9</f>
        <v>8</v>
      </c>
      <c r="H7" s="23">
        <f>$C$7*H9</f>
        <v>10</v>
      </c>
      <c r="K7" s="460"/>
      <c r="L7" s="402">
        <v>2</v>
      </c>
      <c r="M7" s="9" cm="1">
        <f t="array" ref="M7">SUMPRODUCT(--(DFMECA!$I$3:$I$1024=1),--(DFMECA!$L$3:$L$1024=2))</f>
        <v>25</v>
      </c>
      <c r="N7" s="20" cm="1">
        <f t="array" ref="N7">SUMPRODUCT(--(DFMECA!$I$3:$I$1024=2),--(DFMECA!$L$3:$L$1024=2))</f>
        <v>47</v>
      </c>
      <c r="O7" s="20" cm="1">
        <f t="array" ref="O7">SUMPRODUCT(--(DFMECA!I3:I1024=3),--(DFMECA!L3:L1024=2))</f>
        <v>8</v>
      </c>
      <c r="P7" s="15" cm="1">
        <f t="array" ref="P7">SUMPRODUCT(--(DFMECA!I3:I1024=4),--(DFMECA!L3:L1024=2))</f>
        <v>4</v>
      </c>
      <c r="Q7" s="23" cm="1">
        <f t="array" ref="Q7">SUMPRODUCT(--(DFMECA!I3:I1024=5),--(DFMECA!L3:L1024=2))</f>
        <v>0</v>
      </c>
    </row>
    <row r="8" spans="2:18" ht="45" customHeight="1" thickBot="1" x14ac:dyDescent="0.25">
      <c r="B8" s="460"/>
      <c r="C8" s="402">
        <v>1</v>
      </c>
      <c r="D8" s="24">
        <f>$C$8*D9</f>
        <v>1</v>
      </c>
      <c r="E8" s="25">
        <f>$C$8*E9</f>
        <v>2</v>
      </c>
      <c r="F8" s="25">
        <f>$C$8*F9</f>
        <v>3</v>
      </c>
      <c r="G8" s="26">
        <f>$C$8*G9</f>
        <v>4</v>
      </c>
      <c r="H8" s="27">
        <f>$C$8*H9</f>
        <v>5</v>
      </c>
      <c r="K8" s="460"/>
      <c r="L8" s="402">
        <v>1</v>
      </c>
      <c r="M8" s="9" cm="1">
        <f t="array" ref="M8">SUMPRODUCT(--(DFMECA!$I$3:$I$1024=1),--(DFMECA!$L$3:$L$1024=1))</f>
        <v>310</v>
      </c>
      <c r="N8" s="20" cm="1">
        <f t="array" ref="N8">SUMPRODUCT(--(DFMECA!$I$3:$I$1024=2),--(DFMECA!$L$3:$L$1024=1))</f>
        <v>422</v>
      </c>
      <c r="O8" s="25" cm="1">
        <f t="array" ref="O8">SUMPRODUCT(--(DFMECA!I3:I1024=3),--(DFMECA!L3:L1024=1))</f>
        <v>77</v>
      </c>
      <c r="P8" s="26" cm="1">
        <f t="array" ref="P8">SUMPRODUCT(--(DFMECA!I3:I1024=4),--(DFMECA!L3:L1024=1))</f>
        <v>94</v>
      </c>
      <c r="Q8" s="27" cm="1">
        <f t="array" ref="Q8">SUMPRODUCT(--(DFMECA!I3:I1024=5),--(DFMECA!L3:L1024=1))</f>
        <v>6</v>
      </c>
    </row>
    <row r="9" spans="2:18" ht="33" customHeight="1" x14ac:dyDescent="0.25">
      <c r="C9" s="3"/>
      <c r="D9" s="402">
        <v>1</v>
      </c>
      <c r="E9" s="402">
        <v>2</v>
      </c>
      <c r="F9" s="402">
        <v>3</v>
      </c>
      <c r="G9" s="402">
        <v>4</v>
      </c>
      <c r="H9" s="402">
        <v>5</v>
      </c>
      <c r="L9" s="29"/>
      <c r="M9" s="402">
        <v>1</v>
      </c>
      <c r="N9" s="402">
        <v>2</v>
      </c>
      <c r="O9" s="402">
        <v>3</v>
      </c>
      <c r="P9" s="402">
        <v>4</v>
      </c>
      <c r="Q9" s="402">
        <v>5</v>
      </c>
    </row>
    <row r="10" spans="2:18" ht="18" x14ac:dyDescent="0.25">
      <c r="D10" s="461" t="s">
        <v>108</v>
      </c>
      <c r="E10" s="461"/>
      <c r="F10" s="461"/>
      <c r="G10" s="461"/>
      <c r="H10" s="461"/>
      <c r="M10" s="461" t="s">
        <v>108</v>
      </c>
      <c r="N10" s="461"/>
      <c r="O10" s="461"/>
      <c r="P10" s="461"/>
      <c r="Q10" s="461"/>
    </row>
    <row r="11" spans="2:18" ht="13.5" thickBot="1" x14ac:dyDescent="0.25"/>
    <row r="12" spans="2:18" x14ac:dyDescent="0.2">
      <c r="M12" s="466" t="s">
        <v>109</v>
      </c>
      <c r="N12" s="463"/>
      <c r="O12" s="463"/>
      <c r="P12" s="463"/>
      <c r="Q12" s="7">
        <f>SUM(M4:M8)+SUM(N4:N8)+SUM(O4:O8)+SUM(P4:P8)+SUM(Q4:Q8)</f>
        <v>993</v>
      </c>
    </row>
    <row r="13" spans="2:18" ht="13.5" thickBot="1" x14ac:dyDescent="0.25">
      <c r="M13" s="467" t="s">
        <v>110</v>
      </c>
      <c r="N13" s="468"/>
      <c r="O13" s="468"/>
      <c r="P13" s="468"/>
      <c r="Q13" s="8">
        <f>SUM(N4:N5)+SUM(O4:O6)+SUM(P4:P7)+SUM(Q4:Q8)</f>
        <v>10</v>
      </c>
    </row>
    <row r="14" spans="2:18" x14ac:dyDescent="0.2">
      <c r="M14" s="46"/>
      <c r="N14" s="46"/>
      <c r="O14" s="46"/>
      <c r="P14" s="46"/>
    </row>
    <row r="15" spans="2:18" x14ac:dyDescent="0.2">
      <c r="M15" s="46"/>
      <c r="N15" s="46"/>
      <c r="O15" s="46"/>
      <c r="P15" s="46"/>
    </row>
    <row r="17" spans="2:17" ht="18" customHeight="1" x14ac:dyDescent="0.25">
      <c r="C17" s="461" t="s">
        <v>111</v>
      </c>
      <c r="D17" s="461"/>
      <c r="E17" s="461"/>
      <c r="F17" s="461"/>
      <c r="G17" s="461"/>
      <c r="H17" s="461"/>
      <c r="L17" s="461" t="s">
        <v>112</v>
      </c>
      <c r="M17" s="461"/>
      <c r="N17" s="461"/>
      <c r="O17" s="461"/>
      <c r="P17" s="461"/>
      <c r="Q17" s="461"/>
    </row>
    <row r="18" spans="2:17" ht="13.5" thickBot="1" x14ac:dyDescent="0.25"/>
    <row r="19" spans="2:17" ht="18.75" thickBot="1" x14ac:dyDescent="0.25">
      <c r="B19" s="458" t="s">
        <v>113</v>
      </c>
      <c r="C19" s="402">
        <v>25</v>
      </c>
      <c r="D19" s="39">
        <f>C19*$D$44</f>
        <v>25</v>
      </c>
      <c r="E19" s="38">
        <f>C19*$E$44</f>
        <v>50</v>
      </c>
      <c r="F19" s="30">
        <f>C19*$F$44</f>
        <v>75</v>
      </c>
      <c r="G19" s="30">
        <f>C19*$G$44</f>
        <v>100</v>
      </c>
      <c r="H19" s="32">
        <f>C19*$H$44</f>
        <v>125</v>
      </c>
      <c r="K19" s="458" t="s">
        <v>113</v>
      </c>
      <c r="L19" s="402">
        <v>25</v>
      </c>
      <c r="M19" s="39" cm="1">
        <f t="array" ref="M19">SUMPRODUCT(--(DFMECA!M3:M1024=25),--(DFMECA!P3:P1024=1))</f>
        <v>0</v>
      </c>
      <c r="N19" s="38" cm="1">
        <f t="array" ref="N19">SUMPRODUCT(--(DFMECA!M3:M1024=25),--(DFMECA!P3:P1024=2))</f>
        <v>0</v>
      </c>
      <c r="O19" s="30" cm="1">
        <f t="array" ref="O19">SUMPRODUCT(--(DFMECA!M3:M1024=25),--(DFMECA!P3:P1024=3))</f>
        <v>0</v>
      </c>
      <c r="P19" s="30" cm="1">
        <f t="array" ref="P19">SUMPRODUCT(--(DFMECA!M3:M1024=25),--(DFMECA!P3:P1024=4))</f>
        <v>0</v>
      </c>
      <c r="Q19" s="32" cm="1">
        <f t="array" ref="Q19">SUMPRODUCT(--(DFMECA!M3:M1024=25),--(DFMECA!P3:P1024=5))</f>
        <v>0</v>
      </c>
    </row>
    <row r="20" spans="2:17" ht="18" x14ac:dyDescent="0.2">
      <c r="B20" s="458"/>
      <c r="C20" s="402">
        <v>24</v>
      </c>
      <c r="D20" s="40">
        <f t="shared" ref="D20:D43" si="0">C20*$D$44</f>
        <v>24</v>
      </c>
      <c r="E20" s="42">
        <f t="shared" ref="E20:E43" si="1">C20*$E$44</f>
        <v>48</v>
      </c>
      <c r="F20" s="31">
        <f t="shared" ref="F20:F43" si="2">C20*$F$44</f>
        <v>72</v>
      </c>
      <c r="G20" s="31">
        <f t="shared" ref="G20:G43" si="3">C20*$G$44</f>
        <v>96</v>
      </c>
      <c r="H20" s="33">
        <f t="shared" ref="H20:H43" si="4">C20*$H$44</f>
        <v>120</v>
      </c>
      <c r="K20" s="458"/>
      <c r="L20" s="402">
        <v>24</v>
      </c>
      <c r="M20" s="39" cm="1">
        <f t="array" ref="M20">SUMPRODUCT(--(DFMECA!M3:M1024=24),--(DFMECA!P3:P1024=1))</f>
        <v>0</v>
      </c>
      <c r="N20" s="42" cm="1">
        <f t="array" ref="N20">SUMPRODUCT(--(DFMECA!M3:M1024=24),--(DFMECA!P3:P1024=2))</f>
        <v>0</v>
      </c>
      <c r="O20" s="31" cm="1">
        <f t="array" ref="O20">SUMPRODUCT(--(DFMECA!M3:M1024=24),--(DFMECA!P3:P1024=3))</f>
        <v>0</v>
      </c>
      <c r="P20" s="31" cm="1">
        <f t="array" ref="P20">SUMPRODUCT(--(DFMECA!M3:M1024=24),--(DFMECA!P3:P1024=4))</f>
        <v>0</v>
      </c>
      <c r="Q20" s="33" cm="1">
        <f t="array" ref="Q20">SUMPRODUCT(--(DFMECA!M3:M1024=24),--(DFMECA!P3:P1024=5))</f>
        <v>0</v>
      </c>
    </row>
    <row r="21" spans="2:17" ht="18" x14ac:dyDescent="0.2">
      <c r="B21" s="458"/>
      <c r="C21" s="402">
        <v>23</v>
      </c>
      <c r="D21" s="40">
        <f t="shared" si="0"/>
        <v>23</v>
      </c>
      <c r="E21" s="42">
        <f t="shared" si="1"/>
        <v>46</v>
      </c>
      <c r="F21" s="34">
        <f t="shared" si="2"/>
        <v>69</v>
      </c>
      <c r="G21" s="31">
        <f t="shared" si="3"/>
        <v>92</v>
      </c>
      <c r="H21" s="33">
        <f t="shared" si="4"/>
        <v>115</v>
      </c>
      <c r="K21" s="458"/>
      <c r="L21" s="402">
        <v>23</v>
      </c>
      <c r="M21" s="40" cm="1">
        <f t="array" ref="M21">SUMPRODUCT(--(DFMECA!M3:M1024=23),--(DFMECA!P3:P1024=1))</f>
        <v>0</v>
      </c>
      <c r="N21" s="42">
        <f>SUMPRODUCT(--(DFMECA!M3:M1024=23),--(DFMECA!P3:P1024=2))</f>
        <v>0</v>
      </c>
      <c r="O21" s="34" cm="1">
        <f t="array" ref="O21">SUMPRODUCT(--(DFMECA!M3:M1024=23),--(DFMECA!P3:P1024=3))</f>
        <v>0</v>
      </c>
      <c r="P21" s="31" cm="1">
        <f t="array" ref="P21">SUMPRODUCT(--(DFMECA!M3:M1024=23),--(DFMECA!P3:P1024=4))</f>
        <v>0</v>
      </c>
      <c r="Q21" s="33" cm="1">
        <f t="array" ref="Q21">SUMPRODUCT(--(DFMECA!M3:M1024=23),--(DFMECA!P3:P1024=5))</f>
        <v>0</v>
      </c>
    </row>
    <row r="22" spans="2:17" ht="18" x14ac:dyDescent="0.2">
      <c r="B22" s="458"/>
      <c r="C22" s="402">
        <v>22</v>
      </c>
      <c r="D22" s="40">
        <f t="shared" si="0"/>
        <v>22</v>
      </c>
      <c r="E22" s="42">
        <f t="shared" si="1"/>
        <v>44</v>
      </c>
      <c r="F22" s="34">
        <f t="shared" si="2"/>
        <v>66</v>
      </c>
      <c r="G22" s="31">
        <f t="shared" si="3"/>
        <v>88</v>
      </c>
      <c r="H22" s="33">
        <f t="shared" si="4"/>
        <v>110</v>
      </c>
      <c r="K22" s="458"/>
      <c r="L22" s="402">
        <v>22</v>
      </c>
      <c r="M22" s="40" cm="1">
        <f t="array" ref="M22">SUMPRODUCT(--(DFMECA!M3:M1024=22),--(DFMECA!P3:P1024=1))</f>
        <v>0</v>
      </c>
      <c r="N22" s="42" cm="1">
        <f t="array" ref="N22">SUMPRODUCT(--(DFMECA!M3:M1024=22),--(DFMECA!P3:P1024=2))</f>
        <v>0</v>
      </c>
      <c r="O22" s="34" cm="1">
        <f t="array" ref="O22">SUMPRODUCT(--(DFMECA!M3:M1024=22),--(DFMECA!P3:P1024=3))</f>
        <v>0</v>
      </c>
      <c r="P22" s="31" cm="1">
        <f t="array" ref="P22">SUMPRODUCT(--(DFMECA!M3:M1024=22),--(DFMECA!P3:P1024=4))</f>
        <v>0</v>
      </c>
      <c r="Q22" s="33" cm="1">
        <f t="array" ref="Q22">SUMPRODUCT(--(DFMECA!M3:M1024=22),--(DFMECA!P3:P1024=5))</f>
        <v>0</v>
      </c>
    </row>
    <row r="23" spans="2:17" ht="18" x14ac:dyDescent="0.2">
      <c r="B23" s="458"/>
      <c r="C23" s="402">
        <v>21</v>
      </c>
      <c r="D23" s="40">
        <f t="shared" si="0"/>
        <v>21</v>
      </c>
      <c r="E23" s="42">
        <f t="shared" si="1"/>
        <v>42</v>
      </c>
      <c r="F23" s="34">
        <f t="shared" si="2"/>
        <v>63</v>
      </c>
      <c r="G23" s="31">
        <f t="shared" si="3"/>
        <v>84</v>
      </c>
      <c r="H23" s="33">
        <f t="shared" si="4"/>
        <v>105</v>
      </c>
      <c r="K23" s="458"/>
      <c r="L23" s="402">
        <v>21</v>
      </c>
      <c r="M23" s="40" cm="1">
        <f t="array" ref="M23">SUMPRODUCT(--(DFMECA!M3:M1024=21),--(DFMECA!P3:P1024=1))</f>
        <v>0</v>
      </c>
      <c r="N23" s="42" cm="1">
        <f t="array" ref="N23">SUMPRODUCT(--(DFMECA!M3:M1024=21),--(DFMECA!P3:P1024=2))</f>
        <v>0</v>
      </c>
      <c r="O23" s="34" cm="1">
        <f t="array" ref="O23">SUMPRODUCT(--(DFMECA!M3:M1024=21),--(DFMECA!P3:P1024=3))</f>
        <v>0</v>
      </c>
      <c r="P23" s="31" cm="1">
        <f t="array" ref="P23">SUMPRODUCT(--(DFMECA!M3:M1024=21),--(DFMECA!P3:P1024=4))</f>
        <v>0</v>
      </c>
      <c r="Q23" s="33" cm="1">
        <f t="array" ref="Q23">SUMPRODUCT(--(DFMECA!M3:M1024=21),--(DFMECA!P3:P1024=5))</f>
        <v>0</v>
      </c>
    </row>
    <row r="24" spans="2:17" ht="18" x14ac:dyDescent="0.2">
      <c r="B24" s="458"/>
      <c r="C24" s="402">
        <v>20</v>
      </c>
      <c r="D24" s="40">
        <f t="shared" si="0"/>
        <v>20</v>
      </c>
      <c r="E24" s="42">
        <f t="shared" si="1"/>
        <v>40</v>
      </c>
      <c r="F24" s="34">
        <f t="shared" si="2"/>
        <v>60</v>
      </c>
      <c r="G24" s="31">
        <f t="shared" si="3"/>
        <v>80</v>
      </c>
      <c r="H24" s="33">
        <f t="shared" si="4"/>
        <v>100</v>
      </c>
      <c r="K24" s="458"/>
      <c r="L24" s="402">
        <v>20</v>
      </c>
      <c r="M24" s="40" cm="1">
        <f t="array" ref="M24">SUMPRODUCT(--(DFMECA!M3:M1024=20),--(DFMECA!P3:P1024=1))</f>
        <v>0</v>
      </c>
      <c r="N24" s="42" cm="1">
        <f t="array" ref="N24">SUMPRODUCT(--(DFMECA!M3:M1024=20),--(DFMECA!P3:P1024=2))</f>
        <v>0</v>
      </c>
      <c r="O24" s="34" cm="1">
        <f t="array" ref="O24">SUMPRODUCT(--(DFMECA!M3:M1024=20),--(DFMECA!P3:P1024=3))</f>
        <v>0</v>
      </c>
      <c r="P24" s="31" cm="1">
        <f t="array" ref="P24">SUMPRODUCT(--(DFMECA!M3:M1024=20),--(DFMECA!P3:P1024=4))</f>
        <v>0</v>
      </c>
      <c r="Q24" s="33" cm="1">
        <f t="array" ref="Q24">SUMPRODUCT(--(DFMECA!M3:M1024=20),--(DFMECA!P3:P1024=5))</f>
        <v>0</v>
      </c>
    </row>
    <row r="25" spans="2:17" ht="18" x14ac:dyDescent="0.2">
      <c r="B25" s="458"/>
      <c r="C25" s="402">
        <v>19</v>
      </c>
      <c r="D25" s="40">
        <f t="shared" si="0"/>
        <v>19</v>
      </c>
      <c r="E25" s="42">
        <f t="shared" si="1"/>
        <v>38</v>
      </c>
      <c r="F25" s="36">
        <f t="shared" si="2"/>
        <v>57</v>
      </c>
      <c r="G25" s="31">
        <f t="shared" si="3"/>
        <v>76</v>
      </c>
      <c r="H25" s="33">
        <f t="shared" si="4"/>
        <v>95</v>
      </c>
      <c r="K25" s="458"/>
      <c r="L25" s="402">
        <v>19</v>
      </c>
      <c r="M25" s="40" cm="1">
        <f t="array" ref="M25">SUMPRODUCT(--(DFMECA!M3:M1024=19),--(DFMECA!P3:P1024=1))</f>
        <v>0</v>
      </c>
      <c r="N25" s="42" cm="1">
        <f t="array" ref="N25">SUMPRODUCT(--(DFMECA!M3:M1024=19),--(DFMECA!P3:P1024=2))</f>
        <v>0</v>
      </c>
      <c r="O25" s="36" cm="1">
        <f t="array" ref="O25">SUMPRODUCT(--(DFMECA!M3:M1024=19),--(DFMECA!P3:P1024=3))</f>
        <v>0</v>
      </c>
      <c r="P25" s="31" cm="1">
        <f t="array" ref="P25">SUMPRODUCT(--(DFMECA!M3:M1024=19),--(DFMECA!P3:P1024=4))</f>
        <v>0</v>
      </c>
      <c r="Q25" s="33" cm="1">
        <f t="array" ref="Q25">SUMPRODUCT(--(DFMECA!M3:M1024=19),--(DFMECA!P3:P1024=5))</f>
        <v>0</v>
      </c>
    </row>
    <row r="26" spans="2:17" ht="18" x14ac:dyDescent="0.2">
      <c r="B26" s="458"/>
      <c r="C26" s="402">
        <v>18</v>
      </c>
      <c r="D26" s="40">
        <f t="shared" si="0"/>
        <v>18</v>
      </c>
      <c r="E26" s="42">
        <f t="shared" si="1"/>
        <v>36</v>
      </c>
      <c r="F26" s="36">
        <f t="shared" si="2"/>
        <v>54</v>
      </c>
      <c r="G26" s="31">
        <f t="shared" si="3"/>
        <v>72</v>
      </c>
      <c r="H26" s="33">
        <f t="shared" si="4"/>
        <v>90</v>
      </c>
      <c r="K26" s="458"/>
      <c r="L26" s="402">
        <v>18</v>
      </c>
      <c r="M26" s="40" cm="1">
        <f t="array" ref="M26">SUMPRODUCT(--(DFMECA!M3:M1024=18),--(DFMECA!P3:P1024=1))</f>
        <v>0</v>
      </c>
      <c r="N26" s="42" cm="1">
        <f t="array" ref="N26">SUMPRODUCT(--(DFMECA!M3:M1024=18),--(DFMECA!P3:P1024=2))</f>
        <v>0</v>
      </c>
      <c r="O26" s="36" cm="1">
        <f t="array" ref="O26">SUMPRODUCT(--(DFMECA!M3:M1024=18),--(DFMECA!P3:P1024=3))</f>
        <v>0</v>
      </c>
      <c r="P26" s="31" cm="1">
        <f t="array" ref="P26">SUMPRODUCT(--(DFMECA!M3:M1024=18),--(DFMECA!P3:P1024=4))</f>
        <v>0</v>
      </c>
      <c r="Q26" s="33" cm="1">
        <f t="array" ref="Q26">SUMPRODUCT(--(DFMECA!M3:M1024=18),--(DFMECA!P3:P1024=5))</f>
        <v>0</v>
      </c>
    </row>
    <row r="27" spans="2:17" ht="18" x14ac:dyDescent="0.2">
      <c r="B27" s="458"/>
      <c r="C27" s="402">
        <v>17</v>
      </c>
      <c r="D27" s="40">
        <f t="shared" si="0"/>
        <v>17</v>
      </c>
      <c r="E27" s="42">
        <f t="shared" si="1"/>
        <v>34</v>
      </c>
      <c r="F27" s="36">
        <f t="shared" si="2"/>
        <v>51</v>
      </c>
      <c r="G27" s="34">
        <f t="shared" si="3"/>
        <v>68</v>
      </c>
      <c r="H27" s="33">
        <f t="shared" si="4"/>
        <v>85</v>
      </c>
      <c r="K27" s="458"/>
      <c r="L27" s="402">
        <v>17</v>
      </c>
      <c r="M27" s="40" cm="1">
        <f t="array" ref="M27">SUMPRODUCT(--(DFMECA!M3:M1024=17),--(DFMECA!P3:P1024=1))</f>
        <v>0</v>
      </c>
      <c r="N27" s="42" cm="1">
        <f t="array" ref="N27">SUMPRODUCT(--(DFMECA!M3:M1024=17),--(DFMECA!P3:P1024=2))</f>
        <v>0</v>
      </c>
      <c r="O27" s="36" cm="1">
        <f t="array" ref="O27">SUMPRODUCT(--(DFMECA!M3:M1024=17),--(DFMECA!P3:P1024=3))</f>
        <v>0</v>
      </c>
      <c r="P27" s="34" cm="1">
        <f t="array" ref="P27">SUMPRODUCT(--(DFMECA!M3:M1024=17),--(DFMECA!P3:P1024=4))</f>
        <v>0</v>
      </c>
      <c r="Q27" s="33" cm="1">
        <f t="array" ref="Q27">SUMPRODUCT(--(DFMECA!M3:M1024=17),--(DFMECA!P3:P1024=5))</f>
        <v>0</v>
      </c>
    </row>
    <row r="28" spans="2:17" ht="18" x14ac:dyDescent="0.2">
      <c r="B28" s="458"/>
      <c r="C28" s="402">
        <v>16</v>
      </c>
      <c r="D28" s="40">
        <f t="shared" si="0"/>
        <v>16</v>
      </c>
      <c r="E28" s="42">
        <f t="shared" si="1"/>
        <v>32</v>
      </c>
      <c r="F28" s="42">
        <f t="shared" si="2"/>
        <v>48</v>
      </c>
      <c r="G28" s="34">
        <f t="shared" si="3"/>
        <v>64</v>
      </c>
      <c r="H28" s="33">
        <f t="shared" si="4"/>
        <v>80</v>
      </c>
      <c r="K28" s="458"/>
      <c r="L28" s="402">
        <v>16</v>
      </c>
      <c r="M28" s="40" cm="1">
        <f t="array" ref="M28">SUMPRODUCT(--(DFMECA!M3:M1024=16),--(DFMECA!P3:P1024=1))</f>
        <v>0</v>
      </c>
      <c r="N28" s="42" cm="1">
        <f t="array" ref="N28">SUMPRODUCT(--(DFMECA!M3:M1024=16),--(DFMECA!P3:P1024=2))</f>
        <v>0</v>
      </c>
      <c r="O28" s="42" cm="1">
        <f t="array" ref="O28">SUMPRODUCT(--(DFMECA!M3:M1024=16),--(DFMECA!P3:P1024=3))</f>
        <v>0</v>
      </c>
      <c r="P28" s="34" cm="1">
        <f t="array" ref="P28">SUMPRODUCT(--(DFMECA!M3:M1024=16),--(DFMECA!P3:P1024=4))</f>
        <v>0</v>
      </c>
      <c r="Q28" s="33" cm="1">
        <f t="array" ref="Q28">SUMPRODUCT(--(DFMECA!M3:M1024=16),--(DFMECA!P3:P1024=5))</f>
        <v>0</v>
      </c>
    </row>
    <row r="29" spans="2:17" ht="18" x14ac:dyDescent="0.2">
      <c r="B29" s="458"/>
      <c r="C29" s="402">
        <v>15</v>
      </c>
      <c r="D29" s="40">
        <f t="shared" si="0"/>
        <v>15</v>
      </c>
      <c r="E29" s="42">
        <f t="shared" si="1"/>
        <v>30</v>
      </c>
      <c r="F29" s="42">
        <f t="shared" si="2"/>
        <v>45</v>
      </c>
      <c r="G29" s="34">
        <f t="shared" si="3"/>
        <v>60</v>
      </c>
      <c r="H29" s="33">
        <f t="shared" si="4"/>
        <v>75</v>
      </c>
      <c r="K29" s="458"/>
      <c r="L29" s="402">
        <v>15</v>
      </c>
      <c r="M29" s="40" cm="1">
        <f t="array" ref="M29">SUMPRODUCT(--(DFMECA!M3:M1024=15),--(DFMECA!P3:P1024=1))</f>
        <v>0</v>
      </c>
      <c r="N29" s="42" cm="1">
        <f t="array" ref="N29">SUMPRODUCT(--(DFMECA!M3:M1024=15),--(DFMECA!P3:P1024=2))</f>
        <v>0</v>
      </c>
      <c r="O29" s="42" cm="1">
        <f t="array" ref="O29">SUMPRODUCT(--(DFMECA!M3:M1024=15),--(DFMECA!P3:P1024=3))</f>
        <v>0</v>
      </c>
      <c r="P29" s="34" cm="1">
        <f t="array" ref="P29">SUMPRODUCT(--(DFMECA!M3:M1024=15),--(DFMECA!P3:P1024=4))</f>
        <v>0</v>
      </c>
      <c r="Q29" s="33" cm="1">
        <f t="array" ref="Q29">SUMPRODUCT(--(DFMECA!M3:M1024=15),--(DFMECA!P3:P1024=5))</f>
        <v>0</v>
      </c>
    </row>
    <row r="30" spans="2:17" ht="18" x14ac:dyDescent="0.2">
      <c r="B30" s="458"/>
      <c r="C30" s="402">
        <v>14</v>
      </c>
      <c r="D30" s="40">
        <f t="shared" si="0"/>
        <v>14</v>
      </c>
      <c r="E30" s="42">
        <f t="shared" si="1"/>
        <v>28</v>
      </c>
      <c r="F30" s="42">
        <f t="shared" si="2"/>
        <v>42</v>
      </c>
      <c r="G30" s="36">
        <f t="shared" si="3"/>
        <v>56</v>
      </c>
      <c r="H30" s="33">
        <f t="shared" si="4"/>
        <v>70</v>
      </c>
      <c r="K30" s="458"/>
      <c r="L30" s="402">
        <v>14</v>
      </c>
      <c r="M30" s="40" cm="1">
        <f t="array" ref="M30">SUMPRODUCT(--(DFMECA!M3:M1024=14),--(DFMECA!P3:P1024=1))</f>
        <v>0</v>
      </c>
      <c r="N30" s="42" cm="1">
        <f t="array" ref="N30">SUMPRODUCT(--(DFMECA!M3:M1024=14),--(DFMECA!P3:P1024=2))</f>
        <v>0</v>
      </c>
      <c r="O30" s="42" cm="1">
        <f t="array" ref="O30">SUMPRODUCT(--(DFMECA!M3:M1024=14),--(DFMECA!P3:P1024=3))</f>
        <v>0</v>
      </c>
      <c r="P30" s="36" cm="1">
        <f t="array" ref="P30">SUMPRODUCT(--(DFMECA!M3:M1024=14),--(DFMECA!P3:P1024=4))</f>
        <v>0</v>
      </c>
      <c r="Q30" s="33" cm="1">
        <f t="array" ref="Q30">SUMPRODUCT(--(DFMECA!M3:M1024=14),--(DFMECA!P3:P1024=5))</f>
        <v>0</v>
      </c>
    </row>
    <row r="31" spans="2:17" ht="18" x14ac:dyDescent="0.2">
      <c r="B31" s="458"/>
      <c r="C31" s="402">
        <v>13</v>
      </c>
      <c r="D31" s="40">
        <f t="shared" si="0"/>
        <v>13</v>
      </c>
      <c r="E31" s="42">
        <f t="shared" si="1"/>
        <v>26</v>
      </c>
      <c r="F31" s="42">
        <f t="shared" si="2"/>
        <v>39</v>
      </c>
      <c r="G31" s="36">
        <f t="shared" si="3"/>
        <v>52</v>
      </c>
      <c r="H31" s="35">
        <f t="shared" si="4"/>
        <v>65</v>
      </c>
      <c r="K31" s="458"/>
      <c r="L31" s="402">
        <v>13</v>
      </c>
      <c r="M31" s="40" cm="1">
        <f t="array" ref="M31">SUMPRODUCT(--(DFMECA!M3:M1024=13),--(DFMECA!P3:P1024=1))</f>
        <v>0</v>
      </c>
      <c r="N31" s="42" cm="1">
        <f t="array" ref="N31">SUMPRODUCT(--(DFMECA!M3:M1024=13),--(DFMECA!P3:P1024=2))</f>
        <v>0</v>
      </c>
      <c r="O31" s="42" cm="1">
        <f t="array" ref="O31">SUMPRODUCT(--(DFMECA!M3:M1024=13),--(DFMECA!P3:P1024=3))</f>
        <v>0</v>
      </c>
      <c r="P31" s="36" cm="1">
        <f t="array" ref="P31">SUMPRODUCT(--(DFMECA!M3:M1024=13),--(DFMECA!P3:P1024=4))</f>
        <v>0</v>
      </c>
      <c r="Q31" s="35" cm="1">
        <f t="array" ref="Q31">SUMPRODUCT(--(DFMECA!M3:M1024=13),--(DFMECA!P3:P1024=5))</f>
        <v>0</v>
      </c>
    </row>
    <row r="32" spans="2:17" ht="18" x14ac:dyDescent="0.2">
      <c r="B32" s="458"/>
      <c r="C32" s="402">
        <v>12</v>
      </c>
      <c r="D32" s="40">
        <f t="shared" si="0"/>
        <v>12</v>
      </c>
      <c r="E32" s="42">
        <f t="shared" si="1"/>
        <v>24</v>
      </c>
      <c r="F32" s="42">
        <f t="shared" si="2"/>
        <v>36</v>
      </c>
      <c r="G32" s="42">
        <f t="shared" si="3"/>
        <v>48</v>
      </c>
      <c r="H32" s="35">
        <f t="shared" si="4"/>
        <v>60</v>
      </c>
      <c r="K32" s="458"/>
      <c r="L32" s="402">
        <v>12</v>
      </c>
      <c r="M32" s="40" cm="1">
        <f t="array" ref="M32">SUMPRODUCT(--(DFMECA!M3:M1024=12),--(DFMECA!P3:P1024=1))</f>
        <v>0</v>
      </c>
      <c r="N32" s="42" cm="1">
        <f t="array" ref="N32">SUMPRODUCT(--(DFMECA!M3:M1024=12),--(DFMECA!P3:P1024=2))</f>
        <v>0</v>
      </c>
      <c r="O32" s="42" cm="1">
        <f t="array" ref="O32">SUMPRODUCT(--(DFMECA!M3:M1024=12),--(DFMECA!P3:P1024=3))</f>
        <v>0</v>
      </c>
      <c r="P32" s="42" cm="1">
        <f t="array" ref="P32">SUMPRODUCT(--(DFMECA!M3:M1024=12),--(DFMECA!P3:P1024=4))</f>
        <v>0</v>
      </c>
      <c r="Q32" s="35" cm="1">
        <f t="array" ref="Q32">SUMPRODUCT(--(DFMECA!M3:M1024=12),--(DFMECA!P3:P1024=5))</f>
        <v>0</v>
      </c>
    </row>
    <row r="33" spans="2:17" ht="18" x14ac:dyDescent="0.2">
      <c r="B33" s="458"/>
      <c r="C33" s="402">
        <v>11</v>
      </c>
      <c r="D33" s="40">
        <f t="shared" si="0"/>
        <v>11</v>
      </c>
      <c r="E33" s="42">
        <f t="shared" si="1"/>
        <v>22</v>
      </c>
      <c r="F33" s="42">
        <f t="shared" si="2"/>
        <v>33</v>
      </c>
      <c r="G33" s="42">
        <f t="shared" si="3"/>
        <v>44</v>
      </c>
      <c r="H33" s="37">
        <f t="shared" si="4"/>
        <v>55</v>
      </c>
      <c r="K33" s="458"/>
      <c r="L33" s="402">
        <v>11</v>
      </c>
      <c r="M33" s="40" cm="1">
        <f t="array" ref="M33">SUMPRODUCT(--(DFMECA!M3:M1024=11),--(DFMECA!P3:P1024=1))</f>
        <v>0</v>
      </c>
      <c r="N33" s="42" cm="1">
        <f t="array" ref="N33">SUMPRODUCT(--(DFMECA!M3:M1024=11),--(DFMECA!P3:P1024=2))</f>
        <v>0</v>
      </c>
      <c r="O33" s="42" cm="1">
        <f t="array" ref="O33">SUMPRODUCT(--(DFMECA!M3:M1024=11),--(DFMECA!P3:P1024=3))</f>
        <v>0</v>
      </c>
      <c r="P33" s="42" cm="1">
        <f t="array" ref="P33">SUMPRODUCT(--(DFMECA!M3:M1024=11),--(DFMECA!P3:P1024=4))</f>
        <v>0</v>
      </c>
      <c r="Q33" s="37" cm="1">
        <f t="array" ref="Q33">SUMPRODUCT(--(DFMECA!M3:M1024=11),--(DFMECA!P3:P1024=5))</f>
        <v>0</v>
      </c>
    </row>
    <row r="34" spans="2:17" ht="18" x14ac:dyDescent="0.2">
      <c r="B34" s="458"/>
      <c r="C34" s="402">
        <v>10</v>
      </c>
      <c r="D34" s="40">
        <f t="shared" si="0"/>
        <v>10</v>
      </c>
      <c r="E34" s="42">
        <f t="shared" si="1"/>
        <v>20</v>
      </c>
      <c r="F34" s="42">
        <f t="shared" si="2"/>
        <v>30</v>
      </c>
      <c r="G34" s="42">
        <f t="shared" si="3"/>
        <v>40</v>
      </c>
      <c r="H34" s="37">
        <f t="shared" si="4"/>
        <v>50</v>
      </c>
      <c r="K34" s="458"/>
      <c r="L34" s="402">
        <v>10</v>
      </c>
      <c r="M34" s="40" cm="1">
        <f t="array" ref="M34">SUMPRODUCT(--(DFMECA!M3:M1024=10),--(DFMECA!P3:P1024=1))</f>
        <v>0</v>
      </c>
      <c r="N34" s="42" cm="1">
        <f t="array" ref="N34">SUMPRODUCT(--(DFMECA!M3:M1024=10),--(DFMECA!P3:P1024=2))</f>
        <v>0</v>
      </c>
      <c r="O34" s="42" cm="1">
        <f t="array" ref="O34">SUMPRODUCT(--(DFMECA!M3:M1024=10),--(DFMECA!P3:P1024=3))</f>
        <v>0</v>
      </c>
      <c r="P34" s="42" cm="1">
        <f t="array" ref="P34">SUMPRODUCT(--(DFMECA!M3:M1024=10),--(DFMECA!P3:P1024=4))</f>
        <v>0</v>
      </c>
      <c r="Q34" s="37" cm="1">
        <f t="array" ref="Q34">SUMPRODUCT(--(DFMECA!M3:M1024=10),--(DFMECA!P3:P1024=5))</f>
        <v>0</v>
      </c>
    </row>
    <row r="35" spans="2:17" ht="18" x14ac:dyDescent="0.2">
      <c r="B35" s="458"/>
      <c r="C35" s="402">
        <v>9</v>
      </c>
      <c r="D35" s="40">
        <f t="shared" si="0"/>
        <v>9</v>
      </c>
      <c r="E35" s="42">
        <f t="shared" si="1"/>
        <v>18</v>
      </c>
      <c r="F35" s="42">
        <f t="shared" si="2"/>
        <v>27</v>
      </c>
      <c r="G35" s="42">
        <f t="shared" si="3"/>
        <v>36</v>
      </c>
      <c r="H35" s="44">
        <f t="shared" si="4"/>
        <v>45</v>
      </c>
      <c r="K35" s="458"/>
      <c r="L35" s="402">
        <v>9</v>
      </c>
      <c r="M35" s="40" cm="1">
        <f t="array" ref="M35">SUMPRODUCT(--(DFMECA!M3:M1024=9),--(DFMECA!P3:P1024=1))</f>
        <v>0</v>
      </c>
      <c r="N35" s="42" cm="1">
        <f t="array" ref="N35">SUMPRODUCT(--(DFMECA!M3:M1024=9),--(DFMECA!P3:P1024=2))</f>
        <v>0</v>
      </c>
      <c r="O35" s="42" cm="1">
        <f t="array" ref="O35">SUMPRODUCT(--(DFMECA!M3:M1024=9),--(DFMECA!P3:P1024=3))</f>
        <v>0</v>
      </c>
      <c r="P35" s="42" cm="1">
        <f t="array" ref="P35">SUMPRODUCT(--(DFMECA!M3:M1024=9),--(DFMECA!P3:P1024=4))</f>
        <v>0</v>
      </c>
      <c r="Q35" s="44" cm="1">
        <f t="array" ref="Q35">SUMPRODUCT(--(DFMECA!M3:M1024=9),--(DFMECA!P3:P1024=5))</f>
        <v>0</v>
      </c>
    </row>
    <row r="36" spans="2:17" ht="18" x14ac:dyDescent="0.2">
      <c r="B36" s="458"/>
      <c r="C36" s="402">
        <v>8</v>
      </c>
      <c r="D36" s="40">
        <f t="shared" si="0"/>
        <v>8</v>
      </c>
      <c r="E36" s="42">
        <f t="shared" si="1"/>
        <v>16</v>
      </c>
      <c r="F36" s="42">
        <f t="shared" si="2"/>
        <v>24</v>
      </c>
      <c r="G36" s="42">
        <f t="shared" si="3"/>
        <v>32</v>
      </c>
      <c r="H36" s="44">
        <f t="shared" si="4"/>
        <v>40</v>
      </c>
      <c r="K36" s="458"/>
      <c r="L36" s="402">
        <v>8</v>
      </c>
      <c r="M36" s="40" cm="1">
        <f t="array" ref="M36">SUMPRODUCT(--(DFMECA!M3:M1024=8),--(DFMECA!P3:P1024=1))</f>
        <v>0</v>
      </c>
      <c r="N36" s="42" cm="1">
        <f t="array" ref="N36">SUMPRODUCT(--(DFMECA!M3:M1024=8),--(DFMECA!P3:P1024=2))</f>
        <v>3</v>
      </c>
      <c r="O36" s="42" cm="1">
        <f t="array" ref="O36">SUMPRODUCT(--(DFMECA!M3:M1024=8),--(DFMECA!P3:P1024=3))</f>
        <v>0</v>
      </c>
      <c r="P36" s="42" cm="1">
        <f t="array" ref="P36">SUMPRODUCT(--(DFMECA!M3:M1024=8),--(DFMECA!P3:P1024=4))</f>
        <v>0</v>
      </c>
      <c r="Q36" s="44" cm="1">
        <f t="array" ref="Q36">SUMPRODUCT(--(DFMECA!M3:M1024=8),--(DFMECA!P3:P1024=5))</f>
        <v>0</v>
      </c>
    </row>
    <row r="37" spans="2:17" ht="18" x14ac:dyDescent="0.2">
      <c r="B37" s="458"/>
      <c r="C37" s="402">
        <v>7</v>
      </c>
      <c r="D37" s="40">
        <f t="shared" si="0"/>
        <v>7</v>
      </c>
      <c r="E37" s="42">
        <f t="shared" si="1"/>
        <v>14</v>
      </c>
      <c r="F37" s="42">
        <f t="shared" si="2"/>
        <v>21</v>
      </c>
      <c r="G37" s="42">
        <f t="shared" si="3"/>
        <v>28</v>
      </c>
      <c r="H37" s="44">
        <f t="shared" si="4"/>
        <v>35</v>
      </c>
      <c r="K37" s="458"/>
      <c r="L37" s="402">
        <v>7</v>
      </c>
      <c r="M37" s="40" cm="1">
        <f t="array" ref="M37">SUMPRODUCT(--(DFMECA!M3:M1024=7),--(DFMECA!P3:P1024=1))</f>
        <v>0</v>
      </c>
      <c r="N37" s="42" cm="1">
        <f t="array" ref="N37">SUMPRODUCT(--(DFMECA!M3:M1024=7),--(DFMECA!P3:P1024=2))</f>
        <v>0</v>
      </c>
      <c r="O37" s="42" cm="1">
        <f t="array" ref="O37">SUMPRODUCT(--(DFMECA!M3:M1024=7),--(DFMECA!P3:P1024=3))</f>
        <v>0</v>
      </c>
      <c r="P37" s="42" cm="1">
        <f t="array" ref="P37">SUMPRODUCT(--(DFMECA!M3:M1024=7),--(DFMECA!P3:P1024=4))</f>
        <v>0</v>
      </c>
      <c r="Q37" s="44" cm="1">
        <f t="array" ref="Q37">SUMPRODUCT(--(DFMECA!M3:M1024=7),--(DFMECA!P3:P1024=5))</f>
        <v>0</v>
      </c>
    </row>
    <row r="38" spans="2:17" ht="18" x14ac:dyDescent="0.2">
      <c r="B38" s="458"/>
      <c r="C38" s="402">
        <v>6</v>
      </c>
      <c r="D38" s="40">
        <f t="shared" si="0"/>
        <v>6</v>
      </c>
      <c r="E38" s="42">
        <f t="shared" si="1"/>
        <v>12</v>
      </c>
      <c r="F38" s="42">
        <f t="shared" si="2"/>
        <v>18</v>
      </c>
      <c r="G38" s="42">
        <f t="shared" si="3"/>
        <v>24</v>
      </c>
      <c r="H38" s="44">
        <f t="shared" si="4"/>
        <v>30</v>
      </c>
      <c r="K38" s="458"/>
      <c r="L38" s="402">
        <v>6</v>
      </c>
      <c r="M38" s="40" cm="1">
        <f t="array" ref="M38">SUMPRODUCT(--(DFMECA!M3:M1024=6),--(DFMECA!P3:P1024=1))</f>
        <v>0</v>
      </c>
      <c r="N38" s="42" cm="1">
        <f t="array" ref="N38">SUMPRODUCT(--(DFMECA!M3:M1024=6),--(DFMECA!P3:P1024=2))</f>
        <v>0</v>
      </c>
      <c r="O38" s="42" cm="1">
        <f t="array" ref="O38">SUMPRODUCT(--(DFMECA!M3:M1024=6),--(DFMECA!P3:P1024=3))</f>
        <v>0</v>
      </c>
      <c r="P38" s="42" cm="1">
        <f t="array" ref="P38">SUMPRODUCT(--(DFMECA!M3:M1024=6),--(DFMECA!P3:P1024=4))</f>
        <v>0</v>
      </c>
      <c r="Q38" s="44" cm="1">
        <f t="array" ref="Q38">SUMPRODUCT(--(DFMECA!M3:M1024=6),--(DFMECA!P3:P1024=5))</f>
        <v>8</v>
      </c>
    </row>
    <row r="39" spans="2:17" ht="18" x14ac:dyDescent="0.2">
      <c r="B39" s="458"/>
      <c r="C39" s="402">
        <v>5</v>
      </c>
      <c r="D39" s="40">
        <f t="shared" si="0"/>
        <v>5</v>
      </c>
      <c r="E39" s="42">
        <f t="shared" si="1"/>
        <v>10</v>
      </c>
      <c r="F39" s="42">
        <f t="shared" si="2"/>
        <v>15</v>
      </c>
      <c r="G39" s="42">
        <f t="shared" si="3"/>
        <v>20</v>
      </c>
      <c r="H39" s="44">
        <f t="shared" si="4"/>
        <v>25</v>
      </c>
      <c r="K39" s="458"/>
      <c r="L39" s="402">
        <v>5</v>
      </c>
      <c r="M39" s="40" cm="1">
        <f t="array" ref="M39">SUMPRODUCT(--(DFMECA!M3:M1024=5),--(DFMECA!P3:P1024=1))</f>
        <v>1</v>
      </c>
      <c r="N39" s="42" cm="1">
        <f t="array" ref="N39">SUMPRODUCT(--(DFMECA!M3:M1024=5),--(DFMECA!P3:P1024=2))</f>
        <v>0</v>
      </c>
      <c r="O39" s="42" cm="1">
        <f t="array" ref="O39">SUMPRODUCT(--(DFMECA!M3:M1024=5),--(DFMECA!P3:P1024=3))</f>
        <v>0</v>
      </c>
      <c r="P39" s="42" cm="1">
        <f t="array" ref="P39">SUMPRODUCT(--(DFMECA!M3:M1024=5),--(DFMECA!P3:P1024=4))</f>
        <v>0</v>
      </c>
      <c r="Q39" s="44" cm="1">
        <f t="array" ref="Q39">SUMPRODUCT(--(DFMECA!M3:M1024=5),--(DFMECA!P3:P1024=5))</f>
        <v>5</v>
      </c>
    </row>
    <row r="40" spans="2:17" ht="18" x14ac:dyDescent="0.2">
      <c r="B40" s="458"/>
      <c r="C40" s="402">
        <v>4</v>
      </c>
      <c r="D40" s="40">
        <f t="shared" si="0"/>
        <v>4</v>
      </c>
      <c r="E40" s="42">
        <f t="shared" si="1"/>
        <v>8</v>
      </c>
      <c r="F40" s="42">
        <f t="shared" si="2"/>
        <v>12</v>
      </c>
      <c r="G40" s="42">
        <f t="shared" si="3"/>
        <v>16</v>
      </c>
      <c r="H40" s="44">
        <f t="shared" si="4"/>
        <v>20</v>
      </c>
      <c r="K40" s="458"/>
      <c r="L40" s="402">
        <v>4</v>
      </c>
      <c r="M40" s="40" cm="1">
        <f t="array" ref="M40">SUMPRODUCT(--(DFMECA!M3:M1024=4),--(DFMECA!P3:P1024=1))</f>
        <v>10</v>
      </c>
      <c r="N40" s="42" cm="1">
        <f t="array" ref="N40">SUMPRODUCT(--(DFMECA!M3:M1024=4),--(DFMECA!P3:P1024=2))</f>
        <v>96</v>
      </c>
      <c r="O40" s="42" cm="1">
        <f t="array" ref="O40">SUMPRODUCT(--(DFMECA!M3:M1024=4),--(DFMECA!P3:P1024=3))</f>
        <v>0</v>
      </c>
      <c r="P40" s="42" cm="1">
        <f t="array" ref="P40">SUMPRODUCT(--(DFMECA!M3:M1024=4),--(DFMECA!P3:P1024=4))</f>
        <v>0</v>
      </c>
      <c r="Q40" s="44" cm="1">
        <f t="array" ref="Q40">SUMPRODUCT(--(DFMECA!M3:M1024=4),--(DFMECA!P3:P1024=5))</f>
        <v>36</v>
      </c>
    </row>
    <row r="41" spans="2:17" ht="18" x14ac:dyDescent="0.2">
      <c r="B41" s="458"/>
      <c r="C41" s="402">
        <v>3</v>
      </c>
      <c r="D41" s="40">
        <f t="shared" si="0"/>
        <v>3</v>
      </c>
      <c r="E41" s="42">
        <f t="shared" si="1"/>
        <v>6</v>
      </c>
      <c r="F41" s="42">
        <f t="shared" si="2"/>
        <v>9</v>
      </c>
      <c r="G41" s="42">
        <f t="shared" si="3"/>
        <v>12</v>
      </c>
      <c r="H41" s="44">
        <f t="shared" si="4"/>
        <v>15</v>
      </c>
      <c r="K41" s="458"/>
      <c r="L41" s="402">
        <v>3</v>
      </c>
      <c r="M41" s="40" cm="1">
        <f t="array" ref="M41">SUMPRODUCT(--(DFMECA!M3:M1024=3),--(DFMECA!P3:P1024=1))</f>
        <v>0</v>
      </c>
      <c r="N41" s="42" cm="1">
        <f t="array" ref="N41">SUMPRODUCT(--(DFMECA!M3:M1024=3),--(DFMECA!P3:P1024=2))</f>
        <v>0</v>
      </c>
      <c r="O41" s="42" cm="1">
        <f t="array" ref="O41">SUMPRODUCT(--(DFMECA!M3:M1024=3),--(DFMECA!P3:P1024=3))</f>
        <v>0</v>
      </c>
      <c r="P41" s="42" cm="1">
        <f t="array" ref="P41">SUMPRODUCT(--(DFMECA!M3:M1024=3),--(DFMECA!P3:P1024=4))</f>
        <v>0</v>
      </c>
      <c r="Q41" s="44" cm="1">
        <f t="array" ref="Q41">SUMPRODUCT(--(DFMECA!M3:M1024=3),--(DFMECA!P3:P1024=5))</f>
        <v>77</v>
      </c>
    </row>
    <row r="42" spans="2:17" ht="18" x14ac:dyDescent="0.2">
      <c r="B42" s="458"/>
      <c r="C42" s="402">
        <v>2</v>
      </c>
      <c r="D42" s="40">
        <f t="shared" si="0"/>
        <v>2</v>
      </c>
      <c r="E42" s="42">
        <f t="shared" si="1"/>
        <v>4</v>
      </c>
      <c r="F42" s="42">
        <f t="shared" si="2"/>
        <v>6</v>
      </c>
      <c r="G42" s="42">
        <f t="shared" si="3"/>
        <v>8</v>
      </c>
      <c r="H42" s="44">
        <f t="shared" si="4"/>
        <v>10</v>
      </c>
      <c r="K42" s="458"/>
      <c r="L42" s="402">
        <v>2</v>
      </c>
      <c r="M42" s="40" cm="1">
        <f t="array" ref="M42">SUMPRODUCT(--(DFMECA!M3:M1024=2),--(DFMECA!P3:P1024=1))</f>
        <v>79</v>
      </c>
      <c r="N42" s="42" cm="1">
        <f t="array" ref="N42">SUMPRODUCT(--(DFMECA!M3:M1024=2),--(DFMECA!P3:P1024=2))</f>
        <v>76</v>
      </c>
      <c r="O42" s="42" cm="1">
        <f t="array" ref="O42">SUMPRODUCT(--(DFMECA!M3:M1024=2),--(DFMECA!P3:P1024=3))</f>
        <v>0</v>
      </c>
      <c r="P42" s="42" cm="1">
        <f t="array" ref="P42">SUMPRODUCT(--(DFMECA!M3:M1024=2),--(DFMECA!P3:P1024=4))</f>
        <v>0</v>
      </c>
      <c r="Q42" s="44" cm="1">
        <f t="array" ref="Q42">SUMPRODUCT(--(DFMECA!M3:M1024=2),--(DFMECA!P3:P1024=5))</f>
        <v>292</v>
      </c>
    </row>
    <row r="43" spans="2:17" ht="18.75" thickBot="1" x14ac:dyDescent="0.25">
      <c r="B43" s="458"/>
      <c r="C43" s="402">
        <v>1</v>
      </c>
      <c r="D43" s="41">
        <f t="shared" si="0"/>
        <v>1</v>
      </c>
      <c r="E43" s="43">
        <f t="shared" si="1"/>
        <v>2</v>
      </c>
      <c r="F43" s="43">
        <f t="shared" si="2"/>
        <v>3</v>
      </c>
      <c r="G43" s="43">
        <f t="shared" si="3"/>
        <v>4</v>
      </c>
      <c r="H43" s="45">
        <f t="shared" si="4"/>
        <v>5</v>
      </c>
      <c r="K43" s="458"/>
      <c r="L43" s="402">
        <v>1</v>
      </c>
      <c r="M43" s="41" cm="1">
        <f t="array" ref="M43">SUMPRODUCT(--(DFMECA!M3:M1024=1),--(DFMECA!P3:P1024=1))</f>
        <v>1</v>
      </c>
      <c r="N43" s="43" cm="1">
        <f t="array" ref="N43">SUMPRODUCT(--(DFMECA!M3:M1024=1),--(DFMECA!P3:P1024=2))</f>
        <v>1</v>
      </c>
      <c r="O43" s="43" cm="1">
        <f t="array" ref="O43">SUMPRODUCT(--(DFMECA!M3:M1024=1),--(DFMECA!P3:P1024=3))</f>
        <v>0</v>
      </c>
      <c r="P43" s="43" cm="1">
        <f t="array" ref="P43">SUMPRODUCT(--(DFMECA!M3:M1024=1),--(DFMECA!P3:P1024=4))</f>
        <v>0</v>
      </c>
      <c r="Q43" s="45" cm="1">
        <f t="array" ref="Q43">SUMPRODUCT(--(DFMECA!M3:M1024=1),--(DFMECA!P3:P1024=5))</f>
        <v>308</v>
      </c>
    </row>
    <row r="44" spans="2:17" ht="18" x14ac:dyDescent="0.2">
      <c r="D44" s="402">
        <v>1</v>
      </c>
      <c r="E44" s="402">
        <v>2</v>
      </c>
      <c r="F44" s="402">
        <v>3</v>
      </c>
      <c r="G44" s="402">
        <v>4</v>
      </c>
      <c r="H44" s="402">
        <v>5</v>
      </c>
      <c r="M44" s="402">
        <v>1</v>
      </c>
      <c r="N44" s="402">
        <v>2</v>
      </c>
      <c r="O44" s="402">
        <v>3</v>
      </c>
      <c r="P44" s="402">
        <v>4</v>
      </c>
      <c r="Q44" s="402">
        <v>5</v>
      </c>
    </row>
    <row r="45" spans="2:17" ht="18" x14ac:dyDescent="0.2">
      <c r="D45" s="459" t="s">
        <v>114</v>
      </c>
      <c r="E45" s="459"/>
      <c r="F45" s="459"/>
      <c r="G45" s="459"/>
      <c r="H45" s="459"/>
      <c r="M45" s="459" t="s">
        <v>114</v>
      </c>
      <c r="N45" s="459"/>
      <c r="O45" s="459"/>
      <c r="P45" s="459"/>
      <c r="Q45" s="459"/>
    </row>
    <row r="46" spans="2:17" ht="13.5" thickBot="1" x14ac:dyDescent="0.25"/>
    <row r="47" spans="2:17" x14ac:dyDescent="0.2">
      <c r="L47" s="462" t="s">
        <v>109</v>
      </c>
      <c r="M47" s="463"/>
      <c r="N47" s="463"/>
      <c r="O47" s="463"/>
      <c r="P47" s="463"/>
      <c r="Q47" s="7">
        <f>SUM(M19:M43)+SUM(N19:N43)+SUM(O19:O43)+SUM(P19:P43)+SUM(Q19:Q43)</f>
        <v>993</v>
      </c>
    </row>
    <row r="48" spans="2:17" ht="13.5" thickBot="1" x14ac:dyDescent="0.25">
      <c r="L48" s="464" t="s">
        <v>115</v>
      </c>
      <c r="M48" s="465"/>
      <c r="N48" s="465"/>
      <c r="O48" s="465"/>
      <c r="P48" s="465"/>
      <c r="Q48" s="8">
        <f>N19+SUM(O19:O27)+SUM(P19:P31)+SUM(Q19:Q34)</f>
        <v>0</v>
      </c>
    </row>
  </sheetData>
  <mergeCells count="16">
    <mergeCell ref="D45:H45"/>
    <mergeCell ref="M45:Q45"/>
    <mergeCell ref="L47:P47"/>
    <mergeCell ref="L48:P48"/>
    <mergeCell ref="M12:P12"/>
    <mergeCell ref="M13:P13"/>
    <mergeCell ref="C17:H17"/>
    <mergeCell ref="B19:B43"/>
    <mergeCell ref="K19:K43"/>
    <mergeCell ref="D2:H2"/>
    <mergeCell ref="L2:R2"/>
    <mergeCell ref="B4:B8"/>
    <mergeCell ref="K4:K8"/>
    <mergeCell ref="D10:H10"/>
    <mergeCell ref="M10:Q10"/>
    <mergeCell ref="L17:Q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B2:K55"/>
  <sheetViews>
    <sheetView showGridLines="0" zoomScale="70" zoomScaleNormal="70" workbookViewId="0">
      <selection activeCell="D6" sqref="D6"/>
    </sheetView>
  </sheetViews>
  <sheetFormatPr defaultRowHeight="12.75" x14ac:dyDescent="0.2"/>
  <cols>
    <col min="1" max="1" width="2.42578125" customWidth="1"/>
    <col min="2" max="2" width="15.7109375" customWidth="1"/>
    <col min="3" max="3" width="75.5703125" customWidth="1"/>
    <col min="4" max="4" width="61.85546875" customWidth="1"/>
    <col min="5" max="5" width="49.140625" customWidth="1"/>
    <col min="6" max="6" width="20" bestFit="1" customWidth="1"/>
    <col min="7" max="7" width="25.140625" bestFit="1" customWidth="1"/>
    <col min="8" max="8" width="33.85546875" customWidth="1"/>
    <col min="9" max="9" width="33.140625" customWidth="1"/>
    <col min="10" max="10" width="33.42578125" customWidth="1"/>
    <col min="11" max="11" width="9.140625" style="3"/>
    <col min="12" max="15" width="9.140625" customWidth="1"/>
  </cols>
  <sheetData>
    <row r="2" spans="2:11" ht="38.25" customHeight="1" x14ac:dyDescent="0.3">
      <c r="B2" s="469" t="s">
        <v>116</v>
      </c>
      <c r="C2" s="469"/>
      <c r="D2" s="469"/>
      <c r="E2" s="469"/>
      <c r="G2" s="470" t="s">
        <v>117</v>
      </c>
      <c r="H2" s="470"/>
      <c r="I2" s="470"/>
      <c r="J2" s="470"/>
      <c r="K2"/>
    </row>
    <row r="3" spans="2:11" ht="18" customHeight="1" x14ac:dyDescent="0.25">
      <c r="B3" s="63" t="s">
        <v>118</v>
      </c>
      <c r="C3" s="64" t="s">
        <v>119</v>
      </c>
      <c r="D3" s="65" t="s">
        <v>120</v>
      </c>
      <c r="E3" s="65" t="s">
        <v>121</v>
      </c>
      <c r="G3" s="58" t="s">
        <v>118</v>
      </c>
      <c r="H3" s="59" t="s">
        <v>120</v>
      </c>
      <c r="I3" s="60" t="s">
        <v>122</v>
      </c>
      <c r="J3" s="61" t="s">
        <v>123</v>
      </c>
      <c r="K3"/>
    </row>
    <row r="4" spans="2:11" ht="152.25" customHeight="1" x14ac:dyDescent="0.2">
      <c r="B4" s="49" t="s">
        <v>124</v>
      </c>
      <c r="C4" s="5" t="s">
        <v>125</v>
      </c>
      <c r="D4" s="50" t="s">
        <v>126</v>
      </c>
      <c r="E4" s="50" t="s">
        <v>127</v>
      </c>
      <c r="G4" s="48">
        <v>5</v>
      </c>
      <c r="H4" s="6" t="s">
        <v>128</v>
      </c>
      <c r="I4" s="6" t="s">
        <v>129</v>
      </c>
      <c r="J4" s="54" t="s">
        <v>130</v>
      </c>
      <c r="K4"/>
    </row>
    <row r="5" spans="2:11" ht="99" customHeight="1" x14ac:dyDescent="0.2">
      <c r="B5" s="49" t="s">
        <v>131</v>
      </c>
      <c r="C5" s="5" t="s">
        <v>132</v>
      </c>
      <c r="D5" s="50" t="s">
        <v>133</v>
      </c>
      <c r="E5" s="50" t="s">
        <v>134</v>
      </c>
      <c r="G5" s="48">
        <v>4</v>
      </c>
      <c r="H5" s="6" t="s">
        <v>135</v>
      </c>
      <c r="I5" s="6" t="s">
        <v>136</v>
      </c>
      <c r="J5" s="54" t="s">
        <v>137</v>
      </c>
      <c r="K5"/>
    </row>
    <row r="6" spans="2:11" ht="153.75" customHeight="1" x14ac:dyDescent="0.2">
      <c r="B6" s="49" t="s">
        <v>138</v>
      </c>
      <c r="C6" s="5" t="s">
        <v>139</v>
      </c>
      <c r="D6" s="50" t="s">
        <v>140</v>
      </c>
      <c r="E6" s="50" t="s">
        <v>141</v>
      </c>
      <c r="G6" s="48">
        <v>3</v>
      </c>
      <c r="H6" s="6" t="s">
        <v>142</v>
      </c>
      <c r="I6" s="6" t="s">
        <v>143</v>
      </c>
      <c r="J6" s="54" t="s">
        <v>144</v>
      </c>
      <c r="K6"/>
    </row>
    <row r="7" spans="2:11" ht="75" customHeight="1" x14ac:dyDescent="0.2">
      <c r="B7" s="49" t="s">
        <v>145</v>
      </c>
      <c r="C7" s="5" t="s">
        <v>146</v>
      </c>
      <c r="D7" s="50" t="s">
        <v>147</v>
      </c>
      <c r="E7" s="50" t="s">
        <v>148</v>
      </c>
      <c r="G7" s="48">
        <v>2</v>
      </c>
      <c r="H7" s="6" t="s">
        <v>149</v>
      </c>
      <c r="I7" s="6" t="s">
        <v>150</v>
      </c>
      <c r="J7" s="54" t="s">
        <v>151</v>
      </c>
      <c r="K7"/>
    </row>
    <row r="8" spans="2:11" ht="52.5" customHeight="1" x14ac:dyDescent="0.2">
      <c r="B8" s="51" t="s">
        <v>152</v>
      </c>
      <c r="C8" s="52" t="s">
        <v>153</v>
      </c>
      <c r="D8" s="53" t="s">
        <v>154</v>
      </c>
      <c r="E8" s="53" t="s">
        <v>155</v>
      </c>
      <c r="G8" s="55">
        <v>1</v>
      </c>
      <c r="H8" s="56" t="s">
        <v>156</v>
      </c>
      <c r="I8" s="56" t="s">
        <v>157</v>
      </c>
      <c r="J8" s="57" t="s">
        <v>158</v>
      </c>
      <c r="K8"/>
    </row>
    <row r="9" spans="2:11" ht="15" x14ac:dyDescent="0.2">
      <c r="B9" s="3"/>
      <c r="E9" s="47"/>
      <c r="K9"/>
    </row>
    <row r="10" spans="2:11" ht="50.25" customHeight="1" x14ac:dyDescent="0.2">
      <c r="B10" s="471" t="s">
        <v>159</v>
      </c>
      <c r="C10" s="471"/>
      <c r="D10" s="471"/>
      <c r="E10" s="472"/>
      <c r="I10" s="473" t="s">
        <v>160</v>
      </c>
      <c r="J10" s="473"/>
      <c r="K10"/>
    </row>
    <row r="11" spans="2:11" ht="15.75" x14ac:dyDescent="0.2">
      <c r="B11" s="62" t="s">
        <v>118</v>
      </c>
      <c r="C11" s="62" t="s">
        <v>13</v>
      </c>
      <c r="D11" s="62" t="s">
        <v>119</v>
      </c>
      <c r="E11" s="62" t="s">
        <v>161</v>
      </c>
      <c r="K11"/>
    </row>
    <row r="12" spans="2:11" ht="63.75" customHeight="1" x14ac:dyDescent="0.2">
      <c r="B12" s="4">
        <v>5</v>
      </c>
      <c r="C12" s="5" t="s">
        <v>162</v>
      </c>
      <c r="D12" s="5" t="s">
        <v>163</v>
      </c>
      <c r="E12" s="6" t="s">
        <v>164</v>
      </c>
      <c r="G12" s="103" t="s">
        <v>165</v>
      </c>
      <c r="H12" s="104" t="s">
        <v>166</v>
      </c>
      <c r="K12"/>
    </row>
    <row r="13" spans="2:11" ht="60" customHeight="1" x14ac:dyDescent="0.2">
      <c r="B13" s="4">
        <v>4</v>
      </c>
      <c r="C13" s="5" t="s">
        <v>167</v>
      </c>
      <c r="D13" s="5" t="s">
        <v>168</v>
      </c>
      <c r="E13" s="6" t="s">
        <v>169</v>
      </c>
      <c r="G13" s="105" t="s">
        <v>170</v>
      </c>
      <c r="H13" s="106"/>
      <c r="J13" s="3"/>
      <c r="K13"/>
    </row>
    <row r="14" spans="2:11" ht="50.25" customHeight="1" x14ac:dyDescent="0.2">
      <c r="B14" s="4">
        <v>3</v>
      </c>
      <c r="C14" s="5" t="s">
        <v>171</v>
      </c>
      <c r="D14" s="5" t="s">
        <v>172</v>
      </c>
      <c r="E14" s="6" t="s">
        <v>173</v>
      </c>
      <c r="G14" s="105" t="s">
        <v>174</v>
      </c>
      <c r="H14" s="107"/>
      <c r="J14" s="3"/>
      <c r="K14"/>
    </row>
    <row r="15" spans="2:11" ht="57.75" customHeight="1" x14ac:dyDescent="0.2">
      <c r="B15" s="4">
        <v>2</v>
      </c>
      <c r="C15" s="5" t="s">
        <v>175</v>
      </c>
      <c r="D15" s="5" t="s">
        <v>176</v>
      </c>
      <c r="E15" s="6" t="s">
        <v>177</v>
      </c>
      <c r="G15" s="105" t="s">
        <v>178</v>
      </c>
      <c r="H15" s="108"/>
      <c r="J15" s="3"/>
      <c r="K15"/>
    </row>
    <row r="16" spans="2:11" ht="80.25" customHeight="1" x14ac:dyDescent="0.2">
      <c r="B16" s="4">
        <v>1</v>
      </c>
      <c r="C16" s="5" t="s">
        <v>179</v>
      </c>
      <c r="D16" s="5" t="s">
        <v>180</v>
      </c>
      <c r="E16" s="6" t="s">
        <v>181</v>
      </c>
      <c r="G16" s="109" t="s">
        <v>182</v>
      </c>
      <c r="H16" s="110"/>
      <c r="J16" s="3"/>
      <c r="K16"/>
    </row>
    <row r="28" spans="3:4" x14ac:dyDescent="0.2">
      <c r="C28" s="66"/>
      <c r="D28" s="66"/>
    </row>
    <row r="29" spans="3:4" x14ac:dyDescent="0.2">
      <c r="C29" s="66"/>
      <c r="D29" s="66"/>
    </row>
    <row r="30" spans="3:4" x14ac:dyDescent="0.2">
      <c r="C30" s="66"/>
      <c r="D30" s="66"/>
    </row>
    <row r="50" spans="3:5" ht="15.75" x14ac:dyDescent="0.25">
      <c r="C50" s="68" t="s">
        <v>183</v>
      </c>
      <c r="D50" s="68"/>
      <c r="E50" s="2"/>
    </row>
    <row r="51" spans="3:5" x14ac:dyDescent="0.2">
      <c r="C51" s="66" t="s">
        <v>184</v>
      </c>
      <c r="D51" s="66"/>
      <c r="E51" s="1"/>
    </row>
    <row r="52" spans="3:5" x14ac:dyDescent="0.2">
      <c r="C52" s="66" t="s">
        <v>185</v>
      </c>
      <c r="D52" s="66"/>
      <c r="E52" s="1"/>
    </row>
    <row r="53" spans="3:5" x14ac:dyDescent="0.2">
      <c r="C53" s="66" t="s">
        <v>186</v>
      </c>
      <c r="D53" s="66"/>
      <c r="E53" s="1"/>
    </row>
    <row r="54" spans="3:5" x14ac:dyDescent="0.2">
      <c r="E54" s="67"/>
    </row>
    <row r="55" spans="3:5" x14ac:dyDescent="0.2">
      <c r="E55" s="67"/>
    </row>
  </sheetData>
  <mergeCells count="4">
    <mergeCell ref="B2:E2"/>
    <mergeCell ref="G2:J2"/>
    <mergeCell ref="B10:E10"/>
    <mergeCell ref="I10:J10"/>
  </mergeCells>
  <phoneticPr fontId="8" type="noConversion"/>
  <printOptions horizontalCentered="1"/>
  <pageMargins left="0.75" right="0.75" top="1" bottom="1" header="0.5" footer="0.5"/>
  <pageSetup orientation="landscape" r:id="rId1"/>
  <headerFooter alignWithMargins="0">
    <oddFooter>&amp;L&amp;F&amp;C&amp;"Arial,Bold"Sturdy Corporation Confidential</oddFooter>
  </headerFooter>
  <ignoredErrors>
    <ignoredError sqref="B4:B8" numberStoredAsText="1"/>
  </ignoredErrors>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7824-557C-4989-AC94-135995499F08}">
  <sheetPr codeName="Sheet3"/>
  <dimension ref="A1:H74"/>
  <sheetViews>
    <sheetView showGridLines="0" zoomScale="130" zoomScaleNormal="130" workbookViewId="0">
      <selection activeCell="E9" sqref="E9"/>
    </sheetView>
  </sheetViews>
  <sheetFormatPr defaultColWidth="0" defaultRowHeight="15" customHeight="1" zeroHeight="1" x14ac:dyDescent="0.2"/>
  <cols>
    <col min="1" max="1" width="2.140625" style="389" customWidth="1"/>
    <col min="2" max="2" width="6.140625" style="390" customWidth="1"/>
    <col min="3" max="3" width="81.7109375" style="389" customWidth="1"/>
    <col min="4" max="4" width="7.140625" style="389" customWidth="1"/>
    <col min="5" max="5" width="13.5703125" style="389" customWidth="1"/>
    <col min="6" max="6" width="3" style="389" customWidth="1"/>
    <col min="7" max="8" width="0" style="389" hidden="1" customWidth="1"/>
    <col min="9" max="16384" width="8.85546875" style="389" hidden="1"/>
  </cols>
  <sheetData>
    <row r="1" spans="1:6" s="85" customFormat="1" ht="13.5" thickBot="1" x14ac:dyDescent="0.25">
      <c r="A1" s="389"/>
      <c r="B1" s="390"/>
      <c r="C1" s="389"/>
      <c r="D1" s="389"/>
      <c r="E1" s="389"/>
      <c r="F1" s="389"/>
    </row>
    <row r="2" spans="1:6" ht="35.25" customHeight="1" thickBot="1" x14ac:dyDescent="0.25">
      <c r="B2" s="474" t="s">
        <v>187</v>
      </c>
      <c r="C2" s="475"/>
      <c r="D2" s="475"/>
      <c r="E2" s="476"/>
    </row>
    <row r="3" spans="1:6" ht="39" customHeight="1" thickBot="1" x14ac:dyDescent="0.25">
      <c r="B3" s="125" t="s">
        <v>188</v>
      </c>
      <c r="C3" s="123" t="s">
        <v>189</v>
      </c>
      <c r="D3" s="86" t="s">
        <v>190</v>
      </c>
      <c r="E3" s="87" t="s">
        <v>191</v>
      </c>
    </row>
    <row r="4" spans="1:6" ht="12.75" hidden="1" x14ac:dyDescent="0.2">
      <c r="B4" s="126"/>
      <c r="C4" s="124"/>
      <c r="D4" s="121"/>
      <c r="E4" s="122"/>
    </row>
    <row r="5" spans="1:6" ht="12.75" x14ac:dyDescent="0.2">
      <c r="B5" s="168">
        <v>1</v>
      </c>
      <c r="C5" s="169" t="s">
        <v>192</v>
      </c>
      <c r="D5" s="170">
        <v>2</v>
      </c>
      <c r="E5" s="171" t="s">
        <v>193</v>
      </c>
    </row>
    <row r="6" spans="1:6" ht="12.75" x14ac:dyDescent="0.2">
      <c r="B6" s="172">
        <v>2</v>
      </c>
      <c r="C6" s="173" t="s">
        <v>194</v>
      </c>
      <c r="D6" s="172">
        <v>2</v>
      </c>
      <c r="E6" s="139" t="s">
        <v>193</v>
      </c>
    </row>
    <row r="7" spans="1:6" ht="21" x14ac:dyDescent="0.2">
      <c r="B7" s="172">
        <v>3</v>
      </c>
      <c r="C7" s="173" t="s">
        <v>195</v>
      </c>
      <c r="D7" s="172">
        <v>2</v>
      </c>
      <c r="E7" s="139" t="s">
        <v>193</v>
      </c>
    </row>
    <row r="8" spans="1:6" ht="12.75" x14ac:dyDescent="0.2">
      <c r="B8" s="172">
        <v>4</v>
      </c>
      <c r="C8" s="173" t="s">
        <v>196</v>
      </c>
      <c r="D8" s="172">
        <v>2</v>
      </c>
      <c r="E8" s="139" t="s">
        <v>193</v>
      </c>
    </row>
    <row r="9" spans="1:6" ht="12.75" x14ac:dyDescent="0.2">
      <c r="B9" s="174">
        <v>5</v>
      </c>
      <c r="C9" s="175" t="s">
        <v>197</v>
      </c>
      <c r="D9" s="174">
        <v>3</v>
      </c>
      <c r="E9" s="140" t="s">
        <v>193</v>
      </c>
    </row>
    <row r="10" spans="1:6" ht="12.75" x14ac:dyDescent="0.2">
      <c r="B10" s="174">
        <v>6</v>
      </c>
      <c r="C10" s="175" t="s">
        <v>198</v>
      </c>
      <c r="D10" s="174">
        <v>3</v>
      </c>
      <c r="E10" s="140" t="s">
        <v>193</v>
      </c>
    </row>
    <row r="11" spans="1:6" ht="12.75" x14ac:dyDescent="0.2">
      <c r="B11" s="174">
        <v>7</v>
      </c>
      <c r="C11" s="175" t="s">
        <v>199</v>
      </c>
      <c r="D11" s="174" t="s">
        <v>200</v>
      </c>
      <c r="E11" s="140" t="s">
        <v>193</v>
      </c>
    </row>
    <row r="12" spans="1:6" ht="12.75" x14ac:dyDescent="0.2"/>
    <row r="13" spans="1:6" ht="12.75" x14ac:dyDescent="0.2"/>
    <row r="14" spans="1:6" ht="12.75" x14ac:dyDescent="0.2"/>
    <row r="15" spans="1:6" ht="12.75" x14ac:dyDescent="0.2"/>
    <row r="16" spans="1:6" ht="12.75" x14ac:dyDescent="0.2"/>
    <row r="17" ht="12.75" x14ac:dyDescent="0.2"/>
    <row r="18" ht="12.75" x14ac:dyDescent="0.2"/>
    <row r="19" ht="12.75" x14ac:dyDescent="0.2"/>
    <row r="20" ht="12.75" x14ac:dyDescent="0.2"/>
    <row r="21" ht="12.75" x14ac:dyDescent="0.2"/>
    <row r="22" ht="12.75" x14ac:dyDescent="0.2"/>
    <row r="23" ht="12.75" x14ac:dyDescent="0.2"/>
    <row r="24" ht="12.75" x14ac:dyDescent="0.2"/>
    <row r="25" ht="12.75" x14ac:dyDescent="0.2"/>
    <row r="26" ht="12.75" x14ac:dyDescent="0.2"/>
    <row r="27" ht="12.75" x14ac:dyDescent="0.2"/>
    <row r="28" ht="12.75" x14ac:dyDescent="0.2"/>
    <row r="29" ht="12.75" x14ac:dyDescent="0.2"/>
    <row r="30" ht="12.75" x14ac:dyDescent="0.2"/>
    <row r="31" ht="12.75" x14ac:dyDescent="0.2"/>
    <row r="32" ht="12.75" x14ac:dyDescent="0.2"/>
    <row r="33" ht="12.75" x14ac:dyDescent="0.2"/>
    <row r="34" ht="12.75" x14ac:dyDescent="0.2"/>
    <row r="35" ht="12.75"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sheetData>
  <mergeCells count="1">
    <mergeCell ref="B2:E2"/>
  </mergeCells>
  <hyperlinks>
    <hyperlink ref="E8" r:id="rId1" xr:uid="{8774DAC1-2F9D-43E0-90F0-0FB48A3FD950}"/>
    <hyperlink ref="E9" r:id="rId2" xr:uid="{20413AD8-3B22-46C2-983E-ABDFCFABFE7A}"/>
    <hyperlink ref="E10" r:id="rId3" xr:uid="{3144A85B-FE9B-4FB3-9F45-E5FDA4C00289}"/>
    <hyperlink ref="E5" r:id="rId4" xr:uid="{C2C08D5B-E079-4B0F-A0E8-80C827F51ACA}"/>
    <hyperlink ref="E7" r:id="rId5" xr:uid="{2D2AA276-CB87-4F10-A550-E32FF597F092}"/>
    <hyperlink ref="E6" r:id="rId6" xr:uid="{67A88710-F3AE-4140-A990-DDE5E5D81A40}"/>
    <hyperlink ref="E11" r:id="rId7" xr:uid="{98E93253-38CF-4A62-970C-806E3061CEE7}"/>
  </hyperlinks>
  <pageMargins left="0.7" right="0.7" top="0.75" bottom="0.75" header="0.3" footer="0.3"/>
  <pageSetup orientation="portrait" horizontalDpi="1200" verticalDpi="1200" r:id="rId8"/>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A97FA-BEB9-4C6A-A209-DCB42A38DAEA}">
  <sheetPr codeName="Sheet12"/>
  <dimension ref="A1"/>
  <sheetViews>
    <sheetView showGridLines="0" zoomScale="25" zoomScaleNormal="25" workbookViewId="0">
      <selection activeCell="AM150" sqref="AM150"/>
    </sheetView>
  </sheetViews>
  <sheetFormatPr defaultRowHeight="12.75" x14ac:dyDescent="0.2"/>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3366-6FC7-4099-A11D-5A8ABEFB4438}">
  <sheetPr codeName="Sheet5"/>
  <dimension ref="A1"/>
  <sheetViews>
    <sheetView showGridLines="0" workbookViewId="0"/>
  </sheetViews>
  <sheetFormatPr defaultRowHeight="12.75"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E388-0FBB-46A2-8B46-D5804EC1C527}">
  <sheetPr codeName="Sheet8"/>
  <dimension ref="A1"/>
  <sheetViews>
    <sheetView showGridLines="0" zoomScaleNormal="100" workbookViewId="0">
      <selection activeCell="D1" sqref="D1"/>
    </sheetView>
  </sheetViews>
  <sheetFormatPr defaultRowHeight="12.75" x14ac:dyDescent="0.2"/>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E6BB4-00C7-480F-9E79-8FD14CCBDBB0}">
  <sheetPr codeName="Sheet9">
    <pageSetUpPr fitToPage="1"/>
  </sheetPr>
  <dimension ref="A1"/>
  <sheetViews>
    <sheetView showGridLines="0" zoomScaleNormal="100" workbookViewId="0">
      <selection activeCell="AA25" sqref="AA25"/>
    </sheetView>
  </sheetViews>
  <sheetFormatPr defaultRowHeight="12.75" x14ac:dyDescent="0.2"/>
  <sheetData/>
  <pageMargins left="0.7" right="0.7" top="0.75" bottom="0.75" header="0.3" footer="0.3"/>
  <pageSetup scale="8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EA75-15C1-4ADC-8067-4D1089C3E765}">
  <sheetPr codeName="Sheet10">
    <tabColor indexed="10"/>
    <outlinePr summaryBelow="0"/>
    <pageSetUpPr fitToPage="1"/>
  </sheetPr>
  <dimension ref="A1:HH1025"/>
  <sheetViews>
    <sheetView showGridLines="0" tabSelected="1" zoomScale="85" zoomScaleNormal="85" workbookViewId="0">
      <pane ySplit="2" topLeftCell="A3" activePane="bottomLeft" state="frozen"/>
      <selection pane="bottomLeft" activeCell="D115" sqref="D115:D122"/>
    </sheetView>
  </sheetViews>
  <sheetFormatPr defaultColWidth="0" defaultRowHeight="12.75" outlineLevelRow="3" x14ac:dyDescent="0.2"/>
  <cols>
    <col min="1" max="1" width="12.7109375" style="229" customWidth="1"/>
    <col min="2" max="2" width="21.85546875" style="116" customWidth="1"/>
    <col min="3" max="3" width="17.42578125" style="196" customWidth="1"/>
    <col min="4" max="4" width="24.140625" style="81" customWidth="1"/>
    <col min="5" max="5" width="27.28515625" style="82" bestFit="1" customWidth="1"/>
    <col min="6" max="7" width="20.7109375" style="80" customWidth="1"/>
    <col min="8" max="8" width="20.7109375" style="82" customWidth="1"/>
    <col min="9" max="9" width="3.28515625" style="83" customWidth="1"/>
    <col min="10" max="10" width="22" style="82" customWidth="1"/>
    <col min="11" max="11" width="21.7109375" style="82" customWidth="1"/>
    <col min="12" max="12" width="3.28515625" style="83" customWidth="1"/>
    <col min="13" max="13" width="3.7109375" style="83" customWidth="1"/>
    <col min="14" max="15" width="20.28515625" style="80" customWidth="1"/>
    <col min="16" max="16" width="3.28515625" style="83" customWidth="1"/>
    <col min="17" max="17" width="4.7109375" style="84" customWidth="1"/>
    <col min="18" max="19" width="21.7109375" style="80" customWidth="1"/>
    <col min="20" max="20" width="25.28515625" style="80" customWidth="1"/>
    <col min="21" max="21" width="15.140625" style="80" customWidth="1"/>
    <col min="22" max="22" width="11.28515625" style="80" customWidth="1"/>
    <col min="23" max="23" width="12.28515625" style="80" customWidth="1"/>
    <col min="24" max="27" width="3.28515625" style="83" customWidth="1"/>
    <col min="28" max="28" width="19.140625" style="227" bestFit="1" customWidth="1"/>
    <col min="29" max="29" width="19.140625" style="357" customWidth="1"/>
    <col min="30" max="30" width="9.140625" style="226" hidden="1" customWidth="1"/>
    <col min="31" max="31" width="9.140625" style="227" customWidth="1"/>
    <col min="32" max="216" width="0" style="80" hidden="1" customWidth="1"/>
    <col min="217" max="16384" width="9.140625" style="80" hidden="1"/>
  </cols>
  <sheetData>
    <row r="1" spans="1:32" s="141" customFormat="1" ht="16.5" customHeight="1" thickBot="1" x14ac:dyDescent="0.3">
      <c r="A1" s="497" t="s">
        <v>201</v>
      </c>
      <c r="B1" s="534" t="s">
        <v>202</v>
      </c>
      <c r="C1" s="527" t="s">
        <v>203</v>
      </c>
      <c r="D1" s="561" t="s">
        <v>204</v>
      </c>
      <c r="E1" s="563" t="s">
        <v>205</v>
      </c>
      <c r="F1" s="531" t="s">
        <v>206</v>
      </c>
      <c r="G1" s="532"/>
      <c r="H1" s="533"/>
      <c r="I1" s="542" t="s">
        <v>207</v>
      </c>
      <c r="J1" s="549" t="s">
        <v>208</v>
      </c>
      <c r="K1" s="538" t="s">
        <v>209</v>
      </c>
      <c r="L1" s="540" t="s">
        <v>210</v>
      </c>
      <c r="M1" s="542" t="s">
        <v>211</v>
      </c>
      <c r="N1" s="544" t="s">
        <v>212</v>
      </c>
      <c r="O1" s="545"/>
      <c r="P1" s="546"/>
      <c r="Q1" s="547" t="s">
        <v>213</v>
      </c>
      <c r="R1" s="549" t="s">
        <v>214</v>
      </c>
      <c r="S1" s="558" t="s">
        <v>214</v>
      </c>
      <c r="T1" s="549" t="s">
        <v>215</v>
      </c>
      <c r="U1" s="551" t="s">
        <v>216</v>
      </c>
      <c r="V1" s="553" t="s">
        <v>217</v>
      </c>
      <c r="W1" s="555" t="s">
        <v>218</v>
      </c>
      <c r="X1" s="556"/>
      <c r="Y1" s="556"/>
      <c r="Z1" s="556"/>
      <c r="AA1" s="557"/>
      <c r="AB1" s="536" t="s">
        <v>219</v>
      </c>
      <c r="AC1" s="433"/>
      <c r="AD1" s="348"/>
      <c r="AE1" s="349"/>
    </row>
    <row r="2" spans="1:32" s="141" customFormat="1" ht="114" thickTop="1" thickBot="1" x14ac:dyDescent="0.3">
      <c r="A2" s="498"/>
      <c r="B2" s="535"/>
      <c r="C2" s="528"/>
      <c r="D2" s="562"/>
      <c r="E2" s="564"/>
      <c r="F2" s="70" t="s">
        <v>220</v>
      </c>
      <c r="G2" s="71" t="s">
        <v>221</v>
      </c>
      <c r="H2" s="72" t="s">
        <v>222</v>
      </c>
      <c r="I2" s="560"/>
      <c r="J2" s="550"/>
      <c r="K2" s="539"/>
      <c r="L2" s="541"/>
      <c r="M2" s="543"/>
      <c r="N2" s="73" t="s">
        <v>223</v>
      </c>
      <c r="O2" s="74" t="s">
        <v>224</v>
      </c>
      <c r="P2" s="75" t="s">
        <v>225</v>
      </c>
      <c r="Q2" s="548"/>
      <c r="R2" s="550"/>
      <c r="S2" s="559"/>
      <c r="T2" s="550"/>
      <c r="U2" s="552"/>
      <c r="V2" s="554"/>
      <c r="W2" s="73" t="s">
        <v>226</v>
      </c>
      <c r="X2" s="75" t="s">
        <v>207</v>
      </c>
      <c r="Y2" s="75" t="s">
        <v>210</v>
      </c>
      <c r="Z2" s="75" t="s">
        <v>225</v>
      </c>
      <c r="AA2" s="76" t="s">
        <v>227</v>
      </c>
      <c r="AB2" s="537"/>
      <c r="AC2" s="433"/>
      <c r="AD2" s="348"/>
      <c r="AE2" s="349"/>
    </row>
    <row r="3" spans="1:32" ht="21" thickBot="1" x14ac:dyDescent="0.25">
      <c r="A3" s="198"/>
      <c r="B3" s="113" t="s">
        <v>228</v>
      </c>
      <c r="C3" s="188"/>
      <c r="D3" s="114"/>
      <c r="E3" s="120"/>
      <c r="F3" s="114"/>
      <c r="G3" s="114"/>
      <c r="H3" s="114"/>
      <c r="I3" s="114"/>
      <c r="J3" s="114"/>
      <c r="K3" s="114"/>
      <c r="L3" s="114"/>
      <c r="M3" s="114"/>
      <c r="N3" s="114"/>
      <c r="O3" s="114"/>
      <c r="P3" s="114"/>
      <c r="Q3" s="114"/>
      <c r="R3" s="114"/>
      <c r="S3" s="114"/>
      <c r="T3" s="114"/>
      <c r="U3" s="114"/>
      <c r="V3" s="114"/>
      <c r="W3" s="114"/>
      <c r="X3" s="114"/>
      <c r="Y3" s="114"/>
      <c r="Z3" s="114"/>
      <c r="AA3" s="114"/>
      <c r="AB3" s="115"/>
      <c r="AC3" s="361"/>
      <c r="AD3" s="226">
        <f t="shared" ref="AD3:AD69" si="0">VALUE(RIGHT((IF(A3="",0,A3)),5))</f>
        <v>0</v>
      </c>
    </row>
    <row r="4" spans="1:32" ht="21" outlineLevel="1" thickBot="1" x14ac:dyDescent="0.25">
      <c r="A4" s="198"/>
      <c r="B4" s="77" t="s">
        <v>229</v>
      </c>
      <c r="C4" s="189"/>
      <c r="D4" s="78"/>
      <c r="E4" s="78"/>
      <c r="F4" s="78"/>
      <c r="G4" s="78"/>
      <c r="H4" s="78"/>
      <c r="I4" s="78"/>
      <c r="J4" s="78"/>
      <c r="K4" s="78"/>
      <c r="L4" s="78"/>
      <c r="M4" s="78"/>
      <c r="N4" s="78"/>
      <c r="O4" s="78"/>
      <c r="P4" s="78"/>
      <c r="Q4" s="78"/>
      <c r="R4" s="78"/>
      <c r="S4" s="78"/>
      <c r="T4" s="78"/>
      <c r="U4" s="78"/>
      <c r="V4" s="78"/>
      <c r="W4" s="78"/>
      <c r="X4" s="78"/>
      <c r="Y4" s="78"/>
      <c r="Z4" s="78"/>
      <c r="AA4" s="78"/>
      <c r="AB4" s="79"/>
      <c r="AC4" s="362"/>
      <c r="AD4" s="226">
        <f t="shared" si="0"/>
        <v>0</v>
      </c>
    </row>
    <row r="5" spans="1:32" ht="21" outlineLevel="2" thickBot="1" x14ac:dyDescent="0.25">
      <c r="A5" s="217"/>
      <c r="B5" s="117" t="s">
        <v>230</v>
      </c>
      <c r="C5" s="190"/>
      <c r="D5" s="118"/>
      <c r="E5" s="118"/>
      <c r="F5" s="118"/>
      <c r="G5" s="118"/>
      <c r="H5" s="118"/>
      <c r="I5" s="118"/>
      <c r="J5" s="118"/>
      <c r="K5" s="118"/>
      <c r="L5" s="118"/>
      <c r="M5" s="118"/>
      <c r="N5" s="118"/>
      <c r="O5" s="118"/>
      <c r="P5" s="118"/>
      <c r="Q5" s="118"/>
      <c r="R5" s="118"/>
      <c r="S5" s="118"/>
      <c r="T5" s="118"/>
      <c r="U5" s="118"/>
      <c r="V5" s="118"/>
      <c r="W5" s="118"/>
      <c r="X5" s="118"/>
      <c r="Y5" s="118"/>
      <c r="Z5" s="118"/>
      <c r="AA5" s="118"/>
      <c r="AB5" s="119"/>
      <c r="AD5" s="226">
        <f t="shared" si="0"/>
        <v>0</v>
      </c>
    </row>
    <row r="6" spans="1:32" s="242" customFormat="1" ht="153.75" outlineLevel="3" thickBot="1" x14ac:dyDescent="0.25">
      <c r="A6" s="240" t="s">
        <v>231</v>
      </c>
      <c r="B6" s="493" t="s">
        <v>232</v>
      </c>
      <c r="C6" s="495" t="s">
        <v>233</v>
      </c>
      <c r="D6" s="493" t="s">
        <v>234</v>
      </c>
      <c r="E6" s="409" t="s">
        <v>235</v>
      </c>
      <c r="F6" s="409" t="s">
        <v>236</v>
      </c>
      <c r="G6" s="405" t="s">
        <v>237</v>
      </c>
      <c r="H6" s="295" t="s">
        <v>238</v>
      </c>
      <c r="I6" s="301">
        <v>2</v>
      </c>
      <c r="J6" s="299" t="s">
        <v>239</v>
      </c>
      <c r="K6" s="409" t="s">
        <v>240</v>
      </c>
      <c r="L6" s="131">
        <v>1</v>
      </c>
      <c r="M6" s="231">
        <f t="shared" ref="M6:M59" si="1">I6*L6</f>
        <v>2</v>
      </c>
      <c r="N6" s="232" t="s">
        <v>241</v>
      </c>
      <c r="O6" s="241" t="s">
        <v>242</v>
      </c>
      <c r="P6" s="234">
        <v>5</v>
      </c>
      <c r="Q6" s="235">
        <f t="shared" ref="Q6:Q7" si="2">I6*L6*P6</f>
        <v>10</v>
      </c>
      <c r="R6" s="428"/>
      <c r="S6" s="428"/>
      <c r="T6" s="133"/>
      <c r="U6" s="405"/>
      <c r="V6" s="135"/>
      <c r="W6" s="133"/>
      <c r="X6" s="405"/>
      <c r="Y6" s="405"/>
      <c r="Z6" s="135"/>
      <c r="AA6" s="218">
        <f>X6*Y6*Z6</f>
        <v>0</v>
      </c>
      <c r="AB6" s="219"/>
      <c r="AC6" s="239"/>
      <c r="AD6" s="226">
        <f t="shared" si="0"/>
        <v>10917</v>
      </c>
      <c r="AE6" s="239"/>
      <c r="AF6" s="346"/>
    </row>
    <row r="7" spans="1:32" s="239" customFormat="1" ht="153.75" outlineLevel="3" thickBot="1" x14ac:dyDescent="0.25">
      <c r="A7" s="230" t="s">
        <v>243</v>
      </c>
      <c r="B7" s="518"/>
      <c r="C7" s="519"/>
      <c r="D7" s="518"/>
      <c r="E7" s="410" t="s">
        <v>244</v>
      </c>
      <c r="F7" s="410" t="s">
        <v>245</v>
      </c>
      <c r="G7" s="405" t="s">
        <v>237</v>
      </c>
      <c r="H7" s="391" t="s">
        <v>238</v>
      </c>
      <c r="I7" s="301">
        <v>2</v>
      </c>
      <c r="J7" s="392" t="s">
        <v>239</v>
      </c>
      <c r="K7" s="410" t="s">
        <v>240</v>
      </c>
      <c r="L7" s="131">
        <v>1</v>
      </c>
      <c r="M7" s="231">
        <f t="shared" si="1"/>
        <v>2</v>
      </c>
      <c r="N7" s="232" t="s">
        <v>241</v>
      </c>
      <c r="O7" s="233" t="s">
        <v>242</v>
      </c>
      <c r="P7" s="234">
        <v>5</v>
      </c>
      <c r="Q7" s="235">
        <f t="shared" si="2"/>
        <v>10</v>
      </c>
      <c r="R7" s="428"/>
      <c r="S7" s="428"/>
      <c r="T7" s="133"/>
      <c r="U7" s="405"/>
      <c r="V7" s="135"/>
      <c r="W7" s="133"/>
      <c r="X7" s="405"/>
      <c r="Y7" s="405"/>
      <c r="Z7" s="135"/>
      <c r="AA7" s="218">
        <f>X7*Y7*Z7</f>
        <v>0</v>
      </c>
      <c r="AB7" s="219"/>
      <c r="AD7" s="226">
        <f t="shared" si="0"/>
        <v>10918</v>
      </c>
    </row>
    <row r="8" spans="1:32" ht="204.75" outlineLevel="3" thickBot="1" x14ac:dyDescent="0.25">
      <c r="A8" s="199" t="s">
        <v>246</v>
      </c>
      <c r="B8" s="483" t="s">
        <v>247</v>
      </c>
      <c r="C8" s="505" t="s">
        <v>248</v>
      </c>
      <c r="D8" s="503" t="s">
        <v>249</v>
      </c>
      <c r="E8" s="417" t="s">
        <v>250</v>
      </c>
      <c r="F8" s="417" t="s">
        <v>251</v>
      </c>
      <c r="G8" s="417" t="s">
        <v>252</v>
      </c>
      <c r="H8" s="127" t="s">
        <v>238</v>
      </c>
      <c r="I8" s="394">
        <v>1</v>
      </c>
      <c r="J8" s="393" t="s">
        <v>253</v>
      </c>
      <c r="K8" s="130" t="s">
        <v>240</v>
      </c>
      <c r="L8" s="131">
        <v>1</v>
      </c>
      <c r="M8" s="132">
        <f t="shared" si="1"/>
        <v>1</v>
      </c>
      <c r="N8" s="133" t="s">
        <v>241</v>
      </c>
      <c r="O8" s="69" t="s">
        <v>242</v>
      </c>
      <c r="P8" s="131">
        <v>5</v>
      </c>
      <c r="Q8" s="134">
        <f t="shared" ref="Q8:Q59" si="3">I8*L8*P8</f>
        <v>5</v>
      </c>
      <c r="R8" s="428"/>
      <c r="S8" s="428"/>
      <c r="T8" s="133"/>
      <c r="U8" s="405"/>
      <c r="V8" s="135"/>
      <c r="W8" s="133"/>
      <c r="X8" s="405"/>
      <c r="Y8" s="405"/>
      <c r="Z8" s="135"/>
      <c r="AA8" s="218">
        <f>X8*Y8*Z8</f>
        <v>0</v>
      </c>
      <c r="AB8" s="219"/>
      <c r="AC8" s="363"/>
      <c r="AD8" s="226">
        <f t="shared" si="0"/>
        <v>5158</v>
      </c>
    </row>
    <row r="9" spans="1:32" ht="153.75" outlineLevel="3" thickBot="1" x14ac:dyDescent="0.25">
      <c r="A9" s="199" t="s">
        <v>254</v>
      </c>
      <c r="B9" s="483"/>
      <c r="C9" s="484"/>
      <c r="D9" s="483"/>
      <c r="E9" s="417" t="s">
        <v>255</v>
      </c>
      <c r="F9" s="417" t="s">
        <v>256</v>
      </c>
      <c r="G9" s="417" t="s">
        <v>252</v>
      </c>
      <c r="H9" s="127" t="s">
        <v>238</v>
      </c>
      <c r="I9" s="128">
        <v>1</v>
      </c>
      <c r="J9" s="129" t="s">
        <v>257</v>
      </c>
      <c r="K9" s="130" t="s">
        <v>240</v>
      </c>
      <c r="L9" s="131">
        <v>1</v>
      </c>
      <c r="M9" s="132">
        <f t="shared" si="1"/>
        <v>1</v>
      </c>
      <c r="N9" s="133" t="s">
        <v>258</v>
      </c>
      <c r="O9" s="69" t="s">
        <v>242</v>
      </c>
      <c r="P9" s="131">
        <v>5</v>
      </c>
      <c r="Q9" s="134">
        <f t="shared" si="3"/>
        <v>5</v>
      </c>
      <c r="R9" s="428"/>
      <c r="S9" s="428"/>
      <c r="T9" s="133"/>
      <c r="U9" s="405"/>
      <c r="V9" s="135"/>
      <c r="W9" s="133"/>
      <c r="X9" s="405"/>
      <c r="Y9" s="405"/>
      <c r="Z9" s="135"/>
      <c r="AA9" s="136"/>
      <c r="AB9" s="111"/>
      <c r="AC9" s="363"/>
      <c r="AD9" s="226">
        <f t="shared" si="0"/>
        <v>5159</v>
      </c>
    </row>
    <row r="10" spans="1:32" ht="153.75" outlineLevel="3" thickBot="1" x14ac:dyDescent="0.25">
      <c r="A10" s="199" t="s">
        <v>259</v>
      </c>
      <c r="B10" s="483"/>
      <c r="C10" s="484"/>
      <c r="D10" s="483"/>
      <c r="E10" s="405" t="s">
        <v>260</v>
      </c>
      <c r="F10" s="405" t="s">
        <v>261</v>
      </c>
      <c r="G10" s="417" t="s">
        <v>252</v>
      </c>
      <c r="H10" s="420" t="s">
        <v>238</v>
      </c>
      <c r="I10" s="164">
        <v>1</v>
      </c>
      <c r="J10" s="163" t="s">
        <v>257</v>
      </c>
      <c r="K10" s="165" t="s">
        <v>240</v>
      </c>
      <c r="L10" s="131">
        <v>1</v>
      </c>
      <c r="M10" s="132">
        <f t="shared" si="1"/>
        <v>1</v>
      </c>
      <c r="N10" s="133" t="s">
        <v>258</v>
      </c>
      <c r="O10" s="69" t="s">
        <v>242</v>
      </c>
      <c r="P10" s="131">
        <v>5</v>
      </c>
      <c r="Q10" s="134">
        <f t="shared" si="3"/>
        <v>5</v>
      </c>
      <c r="R10" s="428"/>
      <c r="S10" s="428"/>
      <c r="T10" s="133"/>
      <c r="U10" s="405"/>
      <c r="V10" s="135"/>
      <c r="W10" s="133"/>
      <c r="X10" s="405"/>
      <c r="Y10" s="405"/>
      <c r="Z10" s="135"/>
      <c r="AA10" s="136"/>
      <c r="AB10" s="111"/>
      <c r="AC10" s="363"/>
      <c r="AD10" s="226">
        <f t="shared" si="0"/>
        <v>6736</v>
      </c>
    </row>
    <row r="11" spans="1:32" ht="153.75" outlineLevel="3" thickBot="1" x14ac:dyDescent="0.25">
      <c r="A11" s="243" t="s">
        <v>262</v>
      </c>
      <c r="B11" s="478"/>
      <c r="C11" s="480"/>
      <c r="D11" s="478"/>
      <c r="E11" s="405" t="s">
        <v>263</v>
      </c>
      <c r="F11" s="405" t="s">
        <v>264</v>
      </c>
      <c r="G11" s="405" t="s">
        <v>237</v>
      </c>
      <c r="H11" s="420" t="s">
        <v>238</v>
      </c>
      <c r="I11" s="244">
        <v>2</v>
      </c>
      <c r="J11" s="163" t="s">
        <v>253</v>
      </c>
      <c r="K11" s="165" t="s">
        <v>240</v>
      </c>
      <c r="L11" s="131">
        <v>1</v>
      </c>
      <c r="M11" s="132">
        <f t="shared" si="1"/>
        <v>2</v>
      </c>
      <c r="N11" s="133" t="s">
        <v>241</v>
      </c>
      <c r="O11" s="69" t="s">
        <v>242</v>
      </c>
      <c r="P11" s="131">
        <v>5</v>
      </c>
      <c r="Q11" s="134">
        <f t="shared" si="3"/>
        <v>10</v>
      </c>
      <c r="R11" s="428"/>
      <c r="S11" s="428"/>
      <c r="T11" s="133"/>
      <c r="U11" s="405"/>
      <c r="V11" s="135"/>
      <c r="W11" s="133"/>
      <c r="X11" s="405"/>
      <c r="Y11" s="405"/>
      <c r="Z11" s="135"/>
      <c r="AA11" s="136"/>
      <c r="AB11" s="111"/>
      <c r="AC11" s="363"/>
      <c r="AD11" s="226">
        <f t="shared" si="0"/>
        <v>6737</v>
      </c>
    </row>
    <row r="12" spans="1:32" ht="153.75" outlineLevel="3" thickBot="1" x14ac:dyDescent="0.25">
      <c r="A12" s="199" t="s">
        <v>265</v>
      </c>
      <c r="B12" s="411" t="s">
        <v>266</v>
      </c>
      <c r="C12" s="412" t="s">
        <v>267</v>
      </c>
      <c r="D12" s="405" t="s">
        <v>268</v>
      </c>
      <c r="E12" s="405" t="s">
        <v>269</v>
      </c>
      <c r="F12" s="405" t="s">
        <v>236</v>
      </c>
      <c r="G12" s="405" t="s">
        <v>237</v>
      </c>
      <c r="H12" s="420" t="s">
        <v>238</v>
      </c>
      <c r="I12" s="164">
        <v>2</v>
      </c>
      <c r="J12" s="163" t="s">
        <v>270</v>
      </c>
      <c r="K12" s="165" t="s">
        <v>240</v>
      </c>
      <c r="L12" s="131">
        <v>1</v>
      </c>
      <c r="M12" s="132">
        <f t="shared" si="1"/>
        <v>2</v>
      </c>
      <c r="N12" s="133" t="s">
        <v>241</v>
      </c>
      <c r="O12" s="69" t="s">
        <v>242</v>
      </c>
      <c r="P12" s="131">
        <v>5</v>
      </c>
      <c r="Q12" s="134">
        <f t="shared" si="3"/>
        <v>10</v>
      </c>
      <c r="R12" s="428"/>
      <c r="S12" s="428"/>
      <c r="T12" s="133"/>
      <c r="U12" s="405"/>
      <c r="V12" s="135"/>
      <c r="W12" s="133"/>
      <c r="X12" s="405"/>
      <c r="Y12" s="405"/>
      <c r="Z12" s="135"/>
      <c r="AA12" s="136">
        <f>X12*Y12*Z12</f>
        <v>0</v>
      </c>
      <c r="AB12" s="111"/>
      <c r="AC12" s="363"/>
      <c r="AD12" s="226">
        <f t="shared" si="0"/>
        <v>5160</v>
      </c>
    </row>
    <row r="13" spans="1:32" ht="153.75" outlineLevel="3" thickBot="1" x14ac:dyDescent="0.25">
      <c r="A13" s="199" t="s">
        <v>271</v>
      </c>
      <c r="B13" s="477" t="s">
        <v>272</v>
      </c>
      <c r="C13" s="479" t="s">
        <v>273</v>
      </c>
      <c r="D13" s="565" t="s">
        <v>274</v>
      </c>
      <c r="E13" s="405" t="s">
        <v>275</v>
      </c>
      <c r="F13" s="405" t="s">
        <v>276</v>
      </c>
      <c r="G13" s="417" t="s">
        <v>252</v>
      </c>
      <c r="H13" s="420" t="s">
        <v>238</v>
      </c>
      <c r="I13" s="164">
        <v>1</v>
      </c>
      <c r="J13" s="163" t="s">
        <v>277</v>
      </c>
      <c r="K13" s="165" t="s">
        <v>240</v>
      </c>
      <c r="L13" s="131">
        <v>1</v>
      </c>
      <c r="M13" s="132">
        <f t="shared" si="1"/>
        <v>1</v>
      </c>
      <c r="N13" s="133" t="s">
        <v>241</v>
      </c>
      <c r="O13" s="69" t="s">
        <v>242</v>
      </c>
      <c r="P13" s="131">
        <v>5</v>
      </c>
      <c r="Q13" s="134">
        <f t="shared" si="3"/>
        <v>5</v>
      </c>
      <c r="R13" s="428"/>
      <c r="S13" s="428"/>
      <c r="T13" s="133"/>
      <c r="U13" s="405"/>
      <c r="V13" s="135"/>
      <c r="W13" s="133"/>
      <c r="X13" s="405"/>
      <c r="Y13" s="405"/>
      <c r="Z13" s="135"/>
      <c r="AA13" s="136">
        <f t="shared" ref="AA13:AA56" si="4">X13*Y13*Z13</f>
        <v>0</v>
      </c>
      <c r="AB13" s="111"/>
      <c r="AC13" s="363"/>
      <c r="AD13" s="226">
        <f t="shared" si="0"/>
        <v>5161</v>
      </c>
    </row>
    <row r="14" spans="1:32" ht="204.75" outlineLevel="3" thickBot="1" x14ac:dyDescent="0.25">
      <c r="A14" s="199" t="s">
        <v>278</v>
      </c>
      <c r="B14" s="478"/>
      <c r="C14" s="480"/>
      <c r="D14" s="478"/>
      <c r="E14" s="405" t="s">
        <v>279</v>
      </c>
      <c r="F14" s="405" t="s">
        <v>280</v>
      </c>
      <c r="G14" s="405" t="s">
        <v>237</v>
      </c>
      <c r="H14" s="420" t="s">
        <v>238</v>
      </c>
      <c r="I14" s="164">
        <v>2</v>
      </c>
      <c r="J14" s="163" t="s">
        <v>281</v>
      </c>
      <c r="K14" s="165" t="s">
        <v>282</v>
      </c>
      <c r="L14" s="138">
        <v>1</v>
      </c>
      <c r="M14" s="132">
        <f t="shared" si="1"/>
        <v>2</v>
      </c>
      <c r="N14" s="248" t="s">
        <v>283</v>
      </c>
      <c r="O14" s="69" t="s">
        <v>242</v>
      </c>
      <c r="P14" s="131">
        <v>5</v>
      </c>
      <c r="Q14" s="134">
        <f t="shared" si="3"/>
        <v>10</v>
      </c>
      <c r="R14" s="428"/>
      <c r="S14" s="428"/>
      <c r="T14" s="133"/>
      <c r="U14" s="405"/>
      <c r="V14" s="135"/>
      <c r="W14" s="133"/>
      <c r="X14" s="405"/>
      <c r="Y14" s="405"/>
      <c r="Z14" s="135"/>
      <c r="AA14" s="136"/>
      <c r="AB14" s="111"/>
      <c r="AC14" s="363"/>
      <c r="AD14" s="226">
        <f t="shared" si="0"/>
        <v>5162</v>
      </c>
    </row>
    <row r="15" spans="1:32" ht="153.75" outlineLevel="3" thickBot="1" x14ac:dyDescent="0.25">
      <c r="A15" s="243" t="s">
        <v>284</v>
      </c>
      <c r="B15" s="477" t="s">
        <v>285</v>
      </c>
      <c r="C15" s="479" t="s">
        <v>286</v>
      </c>
      <c r="D15" s="477" t="s">
        <v>287</v>
      </c>
      <c r="E15" s="405" t="s">
        <v>288</v>
      </c>
      <c r="F15" s="405" t="s">
        <v>289</v>
      </c>
      <c r="G15" s="405" t="s">
        <v>237</v>
      </c>
      <c r="H15" s="420" t="s">
        <v>238</v>
      </c>
      <c r="I15" s="164">
        <v>2</v>
      </c>
      <c r="J15" s="129" t="s">
        <v>290</v>
      </c>
      <c r="K15" s="165" t="s">
        <v>240</v>
      </c>
      <c r="L15" s="249">
        <v>2</v>
      </c>
      <c r="M15" s="132">
        <f t="shared" si="1"/>
        <v>4</v>
      </c>
      <c r="N15" s="133" t="s">
        <v>291</v>
      </c>
      <c r="O15" s="69" t="s">
        <v>242</v>
      </c>
      <c r="P15" s="131">
        <v>5</v>
      </c>
      <c r="Q15" s="134">
        <f t="shared" si="3"/>
        <v>20</v>
      </c>
      <c r="R15" s="428"/>
      <c r="S15" s="428"/>
      <c r="T15" s="133"/>
      <c r="U15" s="405"/>
      <c r="V15" s="135"/>
      <c r="W15" s="133"/>
      <c r="X15" s="405"/>
      <c r="Y15" s="405"/>
      <c r="Z15" s="135"/>
      <c r="AA15" s="136">
        <f t="shared" si="4"/>
        <v>0</v>
      </c>
      <c r="AB15" s="111"/>
      <c r="AC15" s="363"/>
      <c r="AD15" s="226">
        <f t="shared" si="0"/>
        <v>5163</v>
      </c>
    </row>
    <row r="16" spans="1:32" ht="204.75" outlineLevel="3" thickBot="1" x14ac:dyDescent="0.25">
      <c r="A16" s="243" t="s">
        <v>292</v>
      </c>
      <c r="B16" s="478"/>
      <c r="C16" s="480"/>
      <c r="D16" s="478"/>
      <c r="E16" s="405" t="s">
        <v>293</v>
      </c>
      <c r="F16" s="415" t="s">
        <v>294</v>
      </c>
      <c r="G16" s="417" t="s">
        <v>252</v>
      </c>
      <c r="H16" s="420" t="s">
        <v>238</v>
      </c>
      <c r="I16" s="164">
        <v>2</v>
      </c>
      <c r="J16" s="129" t="s">
        <v>295</v>
      </c>
      <c r="K16" s="165" t="s">
        <v>240</v>
      </c>
      <c r="L16" s="249">
        <v>2</v>
      </c>
      <c r="M16" s="132">
        <f t="shared" si="1"/>
        <v>4</v>
      </c>
      <c r="N16" s="133" t="s">
        <v>291</v>
      </c>
      <c r="O16" s="69" t="s">
        <v>242</v>
      </c>
      <c r="P16" s="131">
        <v>5</v>
      </c>
      <c r="Q16" s="134">
        <f>P16*L16*I16</f>
        <v>20</v>
      </c>
      <c r="R16" s="428"/>
      <c r="S16" s="428"/>
      <c r="T16" s="133"/>
      <c r="U16" s="405"/>
      <c r="V16" s="135"/>
      <c r="W16" s="133"/>
      <c r="X16" s="405"/>
      <c r="Y16" s="405"/>
      <c r="Z16" s="135"/>
      <c r="AA16" s="136"/>
      <c r="AB16" s="111"/>
      <c r="AC16" s="363"/>
      <c r="AD16" s="226">
        <f t="shared" si="0"/>
        <v>5164</v>
      </c>
    </row>
    <row r="17" spans="1:32" s="250" customFormat="1" ht="153.75" outlineLevel="3" thickBot="1" x14ac:dyDescent="0.25">
      <c r="A17" s="280" t="s">
        <v>296</v>
      </c>
      <c r="B17" s="508" t="s">
        <v>297</v>
      </c>
      <c r="C17" s="511" t="s">
        <v>298</v>
      </c>
      <c r="D17" s="508" t="s">
        <v>299</v>
      </c>
      <c r="E17" s="432" t="s">
        <v>300</v>
      </c>
      <c r="F17" s="432" t="s">
        <v>301</v>
      </c>
      <c r="G17" s="405" t="s">
        <v>237</v>
      </c>
      <c r="H17" s="281" t="s">
        <v>238</v>
      </c>
      <c r="I17" s="282">
        <v>2</v>
      </c>
      <c r="J17" s="283" t="s">
        <v>302</v>
      </c>
      <c r="K17" s="284" t="s">
        <v>240</v>
      </c>
      <c r="L17" s="285">
        <v>1</v>
      </c>
      <c r="M17" s="286">
        <f t="shared" si="1"/>
        <v>2</v>
      </c>
      <c r="N17" s="287" t="s">
        <v>303</v>
      </c>
      <c r="O17" s="288" t="s">
        <v>242</v>
      </c>
      <c r="P17" s="289">
        <v>5</v>
      </c>
      <c r="Q17" s="290">
        <f>P17*L17*I17</f>
        <v>10</v>
      </c>
      <c r="R17" s="291"/>
      <c r="S17" s="291"/>
      <c r="T17" s="287"/>
      <c r="U17" s="432"/>
      <c r="V17" s="292"/>
      <c r="W17" s="287"/>
      <c r="X17" s="432"/>
      <c r="Y17" s="432"/>
      <c r="Z17" s="292"/>
      <c r="AA17" s="136"/>
      <c r="AB17" s="293"/>
      <c r="AC17" s="364"/>
      <c r="AD17" s="226">
        <f t="shared" si="0"/>
        <v>10919</v>
      </c>
      <c r="AE17" s="351"/>
      <c r="AF17" s="434"/>
    </row>
    <row r="18" spans="1:32" s="251" customFormat="1" ht="153.75" outlineLevel="3" thickBot="1" x14ac:dyDescent="0.25">
      <c r="A18" s="280" t="s">
        <v>304</v>
      </c>
      <c r="B18" s="510"/>
      <c r="C18" s="513"/>
      <c r="D18" s="510"/>
      <c r="E18" s="432" t="s">
        <v>305</v>
      </c>
      <c r="F18" s="432" t="s">
        <v>306</v>
      </c>
      <c r="G18" s="417" t="s">
        <v>252</v>
      </c>
      <c r="H18" s="281" t="s">
        <v>238</v>
      </c>
      <c r="I18" s="282">
        <v>1</v>
      </c>
      <c r="J18" s="283" t="s">
        <v>307</v>
      </c>
      <c r="K18" s="284" t="s">
        <v>240</v>
      </c>
      <c r="L18" s="285">
        <v>1</v>
      </c>
      <c r="M18" s="286">
        <f t="shared" si="1"/>
        <v>1</v>
      </c>
      <c r="N18" s="287" t="s">
        <v>303</v>
      </c>
      <c r="O18" s="288" t="s">
        <v>242</v>
      </c>
      <c r="P18" s="289">
        <v>5</v>
      </c>
      <c r="Q18" s="290">
        <f>P18*L18*I18</f>
        <v>5</v>
      </c>
      <c r="R18" s="291"/>
      <c r="S18" s="291"/>
      <c r="T18" s="287"/>
      <c r="U18" s="432"/>
      <c r="V18" s="292"/>
      <c r="W18" s="287"/>
      <c r="X18" s="432"/>
      <c r="Y18" s="432"/>
      <c r="Z18" s="292"/>
      <c r="AA18" s="136"/>
      <c r="AB18" s="294"/>
      <c r="AC18" s="365"/>
      <c r="AD18" s="226">
        <f t="shared" si="0"/>
        <v>10920</v>
      </c>
      <c r="AE18" s="352"/>
      <c r="AF18" s="435"/>
    </row>
    <row r="19" spans="1:32" ht="153.75" outlineLevel="3" thickBot="1" x14ac:dyDescent="0.25">
      <c r="A19" s="252" t="s">
        <v>308</v>
      </c>
      <c r="B19" s="477" t="s">
        <v>309</v>
      </c>
      <c r="C19" s="479" t="s">
        <v>310</v>
      </c>
      <c r="D19" s="477" t="s">
        <v>311</v>
      </c>
      <c r="E19" s="405" t="s">
        <v>300</v>
      </c>
      <c r="F19" s="405" t="s">
        <v>289</v>
      </c>
      <c r="G19" s="405" t="s">
        <v>237</v>
      </c>
      <c r="H19" s="420" t="s">
        <v>238</v>
      </c>
      <c r="I19" s="164">
        <v>2</v>
      </c>
      <c r="J19" s="253" t="s">
        <v>312</v>
      </c>
      <c r="K19" s="247" t="s">
        <v>240</v>
      </c>
      <c r="L19" s="131">
        <v>1</v>
      </c>
      <c r="M19" s="132">
        <f t="shared" si="1"/>
        <v>2</v>
      </c>
      <c r="N19" s="248" t="s">
        <v>303</v>
      </c>
      <c r="O19" s="69" t="s">
        <v>242</v>
      </c>
      <c r="P19" s="131">
        <v>5</v>
      </c>
      <c r="Q19" s="134">
        <f t="shared" si="3"/>
        <v>10</v>
      </c>
      <c r="R19" s="428"/>
      <c r="S19" s="428"/>
      <c r="T19" s="133"/>
      <c r="U19" s="405"/>
      <c r="V19" s="135"/>
      <c r="W19" s="133"/>
      <c r="X19" s="405"/>
      <c r="Y19" s="405"/>
      <c r="Z19" s="135"/>
      <c r="AA19" s="136"/>
      <c r="AB19" s="111"/>
      <c r="AC19" s="363"/>
      <c r="AD19" s="226">
        <f t="shared" si="0"/>
        <v>5165</v>
      </c>
    </row>
    <row r="20" spans="1:32" ht="179.25" outlineLevel="3" thickBot="1" x14ac:dyDescent="0.25">
      <c r="A20" s="199" t="s">
        <v>313</v>
      </c>
      <c r="B20" s="478"/>
      <c r="C20" s="480"/>
      <c r="D20" s="478"/>
      <c r="E20" s="405" t="s">
        <v>314</v>
      </c>
      <c r="F20" s="405" t="s">
        <v>315</v>
      </c>
      <c r="G20" s="405" t="s">
        <v>237</v>
      </c>
      <c r="H20" s="420" t="s">
        <v>238</v>
      </c>
      <c r="I20" s="164">
        <v>1</v>
      </c>
      <c r="J20" s="163" t="s">
        <v>316</v>
      </c>
      <c r="K20" s="165" t="s">
        <v>317</v>
      </c>
      <c r="L20" s="138">
        <v>1</v>
      </c>
      <c r="M20" s="132">
        <f t="shared" si="1"/>
        <v>1</v>
      </c>
      <c r="N20" s="248" t="s">
        <v>303</v>
      </c>
      <c r="O20" s="69" t="s">
        <v>242</v>
      </c>
      <c r="P20" s="131">
        <v>5</v>
      </c>
      <c r="Q20" s="134">
        <f t="shared" si="3"/>
        <v>5</v>
      </c>
      <c r="R20" s="428"/>
      <c r="S20" s="428"/>
      <c r="T20" s="133"/>
      <c r="U20" s="405"/>
      <c r="V20" s="135"/>
      <c r="W20" s="133"/>
      <c r="X20" s="405"/>
      <c r="Y20" s="405"/>
      <c r="Z20" s="135"/>
      <c r="AA20" s="136"/>
      <c r="AB20" s="111"/>
      <c r="AC20" s="363"/>
      <c r="AD20" s="226">
        <f t="shared" si="0"/>
        <v>5166</v>
      </c>
    </row>
    <row r="21" spans="1:32" ht="128.25" outlineLevel="3" thickBot="1" x14ac:dyDescent="0.25">
      <c r="A21" s="199" t="s">
        <v>318</v>
      </c>
      <c r="B21" s="404"/>
      <c r="C21" s="407"/>
      <c r="D21" s="404"/>
      <c r="E21" s="405" t="s">
        <v>319</v>
      </c>
      <c r="F21" s="405" t="s">
        <v>320</v>
      </c>
      <c r="G21" s="405" t="s">
        <v>237</v>
      </c>
      <c r="H21" s="420" t="s">
        <v>238</v>
      </c>
      <c r="I21" s="164">
        <v>2</v>
      </c>
      <c r="J21" s="163" t="s">
        <v>316</v>
      </c>
      <c r="K21" s="165" t="s">
        <v>321</v>
      </c>
      <c r="L21" s="138">
        <v>1</v>
      </c>
      <c r="M21" s="166">
        <f t="shared" si="1"/>
        <v>2</v>
      </c>
      <c r="N21" s="133" t="s">
        <v>303</v>
      </c>
      <c r="O21" s="420" t="s">
        <v>242</v>
      </c>
      <c r="P21" s="138">
        <v>5</v>
      </c>
      <c r="Q21" s="225">
        <f t="shared" si="3"/>
        <v>10</v>
      </c>
      <c r="R21" s="428"/>
      <c r="S21" s="428"/>
      <c r="T21" s="133"/>
      <c r="U21" s="405"/>
      <c r="V21" s="135"/>
      <c r="W21" s="133"/>
      <c r="X21" s="405"/>
      <c r="Y21" s="405"/>
      <c r="Z21" s="135"/>
      <c r="AA21" s="136"/>
      <c r="AB21" s="111"/>
      <c r="AC21" s="226"/>
      <c r="AD21" s="226">
        <f t="shared" si="0"/>
        <v>12377</v>
      </c>
    </row>
    <row r="22" spans="1:32" ht="153.75" outlineLevel="3" thickBot="1" x14ac:dyDescent="0.25">
      <c r="A22" s="199" t="s">
        <v>322</v>
      </c>
      <c r="B22" s="477" t="s">
        <v>323</v>
      </c>
      <c r="C22" s="479" t="s">
        <v>324</v>
      </c>
      <c r="D22" s="477" t="s">
        <v>325</v>
      </c>
      <c r="E22" s="405" t="s">
        <v>326</v>
      </c>
      <c r="F22" s="405" t="s">
        <v>327</v>
      </c>
      <c r="G22" s="405" t="s">
        <v>237</v>
      </c>
      <c r="H22" s="420" t="s">
        <v>238</v>
      </c>
      <c r="I22" s="164">
        <v>2</v>
      </c>
      <c r="J22" s="163" t="s">
        <v>328</v>
      </c>
      <c r="K22" s="165" t="s">
        <v>240</v>
      </c>
      <c r="L22" s="131">
        <v>1</v>
      </c>
      <c r="M22" s="132">
        <f t="shared" si="1"/>
        <v>2</v>
      </c>
      <c r="N22" s="133" t="s">
        <v>291</v>
      </c>
      <c r="O22" s="69" t="s">
        <v>242</v>
      </c>
      <c r="P22" s="131">
        <v>5</v>
      </c>
      <c r="Q22" s="134">
        <f t="shared" si="3"/>
        <v>10</v>
      </c>
      <c r="R22" s="428"/>
      <c r="S22" s="428"/>
      <c r="T22" s="133"/>
      <c r="U22" s="405"/>
      <c r="V22" s="135"/>
      <c r="W22" s="133"/>
      <c r="X22" s="405"/>
      <c r="Y22" s="405"/>
      <c r="Z22" s="135"/>
      <c r="AA22" s="136">
        <f t="shared" si="4"/>
        <v>0</v>
      </c>
      <c r="AB22" s="111"/>
      <c r="AC22" s="363"/>
      <c r="AD22" s="226">
        <f t="shared" si="0"/>
        <v>5167</v>
      </c>
    </row>
    <row r="23" spans="1:32" ht="204.75" outlineLevel="3" thickBot="1" x14ac:dyDescent="0.25">
      <c r="A23" s="243" t="s">
        <v>329</v>
      </c>
      <c r="B23" s="478"/>
      <c r="C23" s="480"/>
      <c r="D23" s="478"/>
      <c r="E23" s="405" t="s">
        <v>330</v>
      </c>
      <c r="F23" s="430" t="s">
        <v>331</v>
      </c>
      <c r="G23" s="405" t="s">
        <v>237</v>
      </c>
      <c r="H23" s="420" t="s">
        <v>238</v>
      </c>
      <c r="I23" s="164">
        <v>2</v>
      </c>
      <c r="J23" s="163" t="s">
        <v>332</v>
      </c>
      <c r="K23" s="165" t="s">
        <v>240</v>
      </c>
      <c r="L23" s="131">
        <v>1</v>
      </c>
      <c r="M23" s="132">
        <f t="shared" si="1"/>
        <v>2</v>
      </c>
      <c r="N23" s="133" t="s">
        <v>291</v>
      </c>
      <c r="O23" s="69" t="s">
        <v>242</v>
      </c>
      <c r="P23" s="131">
        <v>5</v>
      </c>
      <c r="Q23" s="134">
        <f t="shared" si="3"/>
        <v>10</v>
      </c>
      <c r="R23" s="428"/>
      <c r="S23" s="428"/>
      <c r="T23" s="133"/>
      <c r="U23" s="405"/>
      <c r="V23" s="135"/>
      <c r="W23" s="133"/>
      <c r="X23" s="405"/>
      <c r="Y23" s="405"/>
      <c r="Z23" s="135"/>
      <c r="AA23" s="136"/>
      <c r="AB23" s="111"/>
      <c r="AC23" s="363"/>
      <c r="AD23" s="226">
        <f t="shared" si="0"/>
        <v>5168</v>
      </c>
    </row>
    <row r="24" spans="1:32" ht="128.25" outlineLevel="3" thickBot="1" x14ac:dyDescent="0.25">
      <c r="A24" s="199" t="s">
        <v>333</v>
      </c>
      <c r="B24" s="477" t="s">
        <v>334</v>
      </c>
      <c r="C24" s="479" t="s">
        <v>335</v>
      </c>
      <c r="D24" s="477" t="s">
        <v>336</v>
      </c>
      <c r="E24" s="405" t="s">
        <v>288</v>
      </c>
      <c r="F24" s="405" t="s">
        <v>337</v>
      </c>
      <c r="G24" s="405" t="s">
        <v>252</v>
      </c>
      <c r="H24" s="420" t="s">
        <v>238</v>
      </c>
      <c r="I24" s="164">
        <v>1</v>
      </c>
      <c r="J24" s="163" t="s">
        <v>290</v>
      </c>
      <c r="K24" s="165" t="s">
        <v>338</v>
      </c>
      <c r="L24" s="138">
        <v>2</v>
      </c>
      <c r="M24" s="132">
        <f t="shared" si="1"/>
        <v>2</v>
      </c>
      <c r="N24" s="133" t="s">
        <v>291</v>
      </c>
      <c r="O24" s="69" t="s">
        <v>242</v>
      </c>
      <c r="P24" s="131">
        <v>5</v>
      </c>
      <c r="Q24" s="134">
        <f t="shared" si="3"/>
        <v>10</v>
      </c>
      <c r="R24" s="428"/>
      <c r="S24" s="428"/>
      <c r="T24" s="133"/>
      <c r="U24" s="405"/>
      <c r="V24" s="135"/>
      <c r="W24" s="133"/>
      <c r="X24" s="405"/>
      <c r="Y24" s="405"/>
      <c r="Z24" s="135"/>
      <c r="AA24" s="136">
        <f t="shared" si="4"/>
        <v>0</v>
      </c>
      <c r="AB24" s="111"/>
      <c r="AC24" s="363"/>
      <c r="AD24" s="226">
        <f t="shared" si="0"/>
        <v>5169</v>
      </c>
    </row>
    <row r="25" spans="1:32" ht="128.25" outlineLevel="3" thickBot="1" x14ac:dyDescent="0.25">
      <c r="A25" s="243" t="s">
        <v>339</v>
      </c>
      <c r="B25" s="478"/>
      <c r="C25" s="480"/>
      <c r="D25" s="491"/>
      <c r="E25" s="405" t="s">
        <v>340</v>
      </c>
      <c r="F25" s="430" t="s">
        <v>341</v>
      </c>
      <c r="G25" s="405" t="s">
        <v>237</v>
      </c>
      <c r="H25" s="420" t="s">
        <v>238</v>
      </c>
      <c r="I25" s="164">
        <v>2</v>
      </c>
      <c r="J25" s="163" t="s">
        <v>257</v>
      </c>
      <c r="K25" s="165" t="s">
        <v>338</v>
      </c>
      <c r="L25" s="249">
        <v>2</v>
      </c>
      <c r="M25" s="132">
        <f t="shared" si="1"/>
        <v>4</v>
      </c>
      <c r="N25" s="133" t="s">
        <v>291</v>
      </c>
      <c r="O25" s="69" t="s">
        <v>242</v>
      </c>
      <c r="P25" s="131">
        <v>5</v>
      </c>
      <c r="Q25" s="134">
        <f t="shared" si="3"/>
        <v>20</v>
      </c>
      <c r="R25" s="428"/>
      <c r="S25" s="428"/>
      <c r="T25" s="133"/>
      <c r="U25" s="405"/>
      <c r="V25" s="135"/>
      <c r="W25" s="133"/>
      <c r="X25" s="405"/>
      <c r="Y25" s="405"/>
      <c r="Z25" s="135"/>
      <c r="AA25" s="136"/>
      <c r="AB25" s="111"/>
      <c r="AC25" s="363"/>
      <c r="AD25" s="226">
        <f t="shared" si="0"/>
        <v>5170</v>
      </c>
    </row>
    <row r="26" spans="1:32" ht="153.75" outlineLevel="3" thickBot="1" x14ac:dyDescent="0.25">
      <c r="A26" s="199" t="s">
        <v>342</v>
      </c>
      <c r="B26" s="477" t="s">
        <v>343</v>
      </c>
      <c r="C26" s="479" t="s">
        <v>344</v>
      </c>
      <c r="D26" s="477" t="s">
        <v>345</v>
      </c>
      <c r="E26" s="405" t="s">
        <v>275</v>
      </c>
      <c r="F26" s="405" t="s">
        <v>315</v>
      </c>
      <c r="G26" s="405" t="s">
        <v>252</v>
      </c>
      <c r="H26" s="420" t="s">
        <v>238</v>
      </c>
      <c r="I26" s="164">
        <v>1</v>
      </c>
      <c r="J26" s="163" t="s">
        <v>277</v>
      </c>
      <c r="K26" s="165" t="s">
        <v>240</v>
      </c>
      <c r="L26" s="138">
        <v>1</v>
      </c>
      <c r="M26" s="166">
        <f t="shared" ref="M26:M27" si="5">I26*L26</f>
        <v>1</v>
      </c>
      <c r="N26" s="133" t="s">
        <v>241</v>
      </c>
      <c r="O26" s="420" t="s">
        <v>242</v>
      </c>
      <c r="P26" s="138">
        <v>5</v>
      </c>
      <c r="Q26" s="225">
        <f t="shared" ref="Q26:Q27" si="6">I26*L26*P26</f>
        <v>5</v>
      </c>
      <c r="R26" s="428"/>
      <c r="S26" s="428"/>
      <c r="T26" s="133"/>
      <c r="U26" s="405"/>
      <c r="V26" s="135"/>
      <c r="W26" s="133"/>
      <c r="X26" s="405"/>
      <c r="Y26" s="405"/>
      <c r="Z26" s="135"/>
      <c r="AA26" s="136"/>
      <c r="AB26" s="111"/>
      <c r="AC26" s="226"/>
      <c r="AD26" s="226">
        <f t="shared" si="0"/>
        <v>12378</v>
      </c>
    </row>
    <row r="27" spans="1:32" ht="204.75" outlineLevel="3" thickBot="1" x14ac:dyDescent="0.25">
      <c r="A27" s="199" t="s">
        <v>346</v>
      </c>
      <c r="B27" s="478"/>
      <c r="C27" s="480"/>
      <c r="D27" s="478"/>
      <c r="E27" s="405" t="s">
        <v>279</v>
      </c>
      <c r="F27" s="405" t="s">
        <v>347</v>
      </c>
      <c r="G27" s="405" t="s">
        <v>237</v>
      </c>
      <c r="H27" s="420" t="s">
        <v>238</v>
      </c>
      <c r="I27" s="164">
        <v>2</v>
      </c>
      <c r="J27" s="163" t="s">
        <v>281</v>
      </c>
      <c r="K27" s="165" t="s">
        <v>282</v>
      </c>
      <c r="L27" s="138">
        <v>1</v>
      </c>
      <c r="M27" s="166">
        <f t="shared" si="5"/>
        <v>2</v>
      </c>
      <c r="N27" s="133" t="s">
        <v>283</v>
      </c>
      <c r="O27" s="420" t="s">
        <v>242</v>
      </c>
      <c r="P27" s="138">
        <v>5</v>
      </c>
      <c r="Q27" s="225">
        <f t="shared" si="6"/>
        <v>10</v>
      </c>
      <c r="R27" s="428"/>
      <c r="S27" s="428"/>
      <c r="T27" s="133"/>
      <c r="U27" s="405"/>
      <c r="V27" s="135"/>
      <c r="W27" s="133"/>
      <c r="X27" s="405"/>
      <c r="Y27" s="405"/>
      <c r="Z27" s="135"/>
      <c r="AA27" s="136"/>
      <c r="AB27" s="111"/>
      <c r="AC27" s="226"/>
      <c r="AD27" s="226">
        <f t="shared" si="0"/>
        <v>12379</v>
      </c>
    </row>
    <row r="28" spans="1:32" s="261" customFormat="1" ht="153.75" outlineLevel="3" thickBot="1" x14ac:dyDescent="0.25">
      <c r="A28" s="254" t="s">
        <v>348</v>
      </c>
      <c r="B28" s="518" t="s">
        <v>349</v>
      </c>
      <c r="C28" s="519" t="s">
        <v>350</v>
      </c>
      <c r="D28" s="518" t="s">
        <v>351</v>
      </c>
      <c r="E28" s="416" t="s">
        <v>352</v>
      </c>
      <c r="F28" s="416" t="s">
        <v>353</v>
      </c>
      <c r="G28" s="405" t="s">
        <v>237</v>
      </c>
      <c r="H28" s="255" t="s">
        <v>238</v>
      </c>
      <c r="I28" s="164">
        <v>2</v>
      </c>
      <c r="J28" s="416" t="s">
        <v>302</v>
      </c>
      <c r="K28" s="416" t="s">
        <v>240</v>
      </c>
      <c r="L28" s="416">
        <v>1</v>
      </c>
      <c r="M28" s="256">
        <f t="shared" si="1"/>
        <v>2</v>
      </c>
      <c r="N28" s="248" t="s">
        <v>303</v>
      </c>
      <c r="O28" s="257" t="s">
        <v>242</v>
      </c>
      <c r="P28" s="258">
        <v>5</v>
      </c>
      <c r="Q28" s="259">
        <f>P28*L28*I28</f>
        <v>10</v>
      </c>
      <c r="R28" s="260"/>
      <c r="S28" s="428"/>
      <c r="T28" s="133"/>
      <c r="U28" s="405"/>
      <c r="V28" s="135"/>
      <c r="W28" s="133"/>
      <c r="X28" s="260"/>
      <c r="Y28" s="260"/>
      <c r="Z28" s="260"/>
      <c r="AA28" s="136"/>
      <c r="AB28" s="376"/>
      <c r="AC28" s="264"/>
      <c r="AD28" s="226">
        <f t="shared" si="0"/>
        <v>10921</v>
      </c>
      <c r="AE28" s="264"/>
      <c r="AF28" s="347"/>
    </row>
    <row r="29" spans="1:32" s="264" customFormat="1" ht="153.75" outlineLevel="3" thickBot="1" x14ac:dyDescent="0.25">
      <c r="A29" s="262" t="s">
        <v>354</v>
      </c>
      <c r="B29" s="518"/>
      <c r="C29" s="519"/>
      <c r="D29" s="518"/>
      <c r="E29" s="416" t="s">
        <v>355</v>
      </c>
      <c r="F29" s="416" t="s">
        <v>356</v>
      </c>
      <c r="G29" s="405" t="s">
        <v>237</v>
      </c>
      <c r="H29" s="255" t="s">
        <v>238</v>
      </c>
      <c r="I29" s="164">
        <v>2</v>
      </c>
      <c r="J29" s="416" t="s">
        <v>307</v>
      </c>
      <c r="K29" s="416" t="s">
        <v>240</v>
      </c>
      <c r="L29" s="249">
        <v>1</v>
      </c>
      <c r="M29" s="132">
        <f t="shared" ref="M29" si="7">I29*L29</f>
        <v>2</v>
      </c>
      <c r="N29" s="248" t="s">
        <v>303</v>
      </c>
      <c r="O29" s="257" t="s">
        <v>242</v>
      </c>
      <c r="P29" s="258">
        <v>5</v>
      </c>
      <c r="Q29" s="259">
        <f>P29*L29*I29</f>
        <v>10</v>
      </c>
      <c r="R29" s="263"/>
      <c r="S29" s="428"/>
      <c r="T29" s="133"/>
      <c r="U29" s="405"/>
      <c r="V29" s="135"/>
      <c r="W29" s="133"/>
      <c r="X29" s="260"/>
      <c r="Y29" s="260"/>
      <c r="Z29" s="260"/>
      <c r="AA29" s="136"/>
      <c r="AB29" s="377"/>
      <c r="AD29" s="226">
        <f t="shared" si="0"/>
        <v>10922</v>
      </c>
    </row>
    <row r="30" spans="1:32" ht="153.75" outlineLevel="3" thickBot="1" x14ac:dyDescent="0.25">
      <c r="A30" s="199" t="s">
        <v>357</v>
      </c>
      <c r="B30" s="477" t="s">
        <v>358</v>
      </c>
      <c r="C30" s="479" t="s">
        <v>359</v>
      </c>
      <c r="D30" s="477" t="s">
        <v>360</v>
      </c>
      <c r="E30" s="405" t="s">
        <v>288</v>
      </c>
      <c r="F30" s="405" t="s">
        <v>361</v>
      </c>
      <c r="G30" s="405" t="s">
        <v>237</v>
      </c>
      <c r="H30" s="420" t="s">
        <v>238</v>
      </c>
      <c r="I30" s="164">
        <v>2</v>
      </c>
      <c r="J30" s="129" t="s">
        <v>290</v>
      </c>
      <c r="K30" s="165" t="s">
        <v>240</v>
      </c>
      <c r="L30" s="249">
        <v>1</v>
      </c>
      <c r="M30" s="132">
        <f t="shared" si="1"/>
        <v>2</v>
      </c>
      <c r="N30" s="133" t="s">
        <v>291</v>
      </c>
      <c r="O30" s="69" t="s">
        <v>242</v>
      </c>
      <c r="P30" s="131">
        <v>5</v>
      </c>
      <c r="Q30" s="134">
        <f t="shared" si="3"/>
        <v>10</v>
      </c>
      <c r="R30" s="428"/>
      <c r="S30" s="428"/>
      <c r="T30" s="133"/>
      <c r="U30" s="405"/>
      <c r="V30" s="135"/>
      <c r="W30" s="133"/>
      <c r="X30" s="405"/>
      <c r="Y30" s="405"/>
      <c r="Z30" s="135"/>
      <c r="AA30" s="136"/>
      <c r="AB30" s="111"/>
      <c r="AC30" s="363"/>
      <c r="AD30" s="226">
        <f t="shared" si="0"/>
        <v>6738</v>
      </c>
    </row>
    <row r="31" spans="1:32" ht="153.75" outlineLevel="3" thickBot="1" x14ac:dyDescent="0.25">
      <c r="A31" s="199" t="s">
        <v>362</v>
      </c>
      <c r="B31" s="478"/>
      <c r="C31" s="480"/>
      <c r="D31" s="478"/>
      <c r="E31" s="405" t="s">
        <v>340</v>
      </c>
      <c r="F31" s="405" t="s">
        <v>363</v>
      </c>
      <c r="G31" s="405" t="s">
        <v>237</v>
      </c>
      <c r="H31" s="420" t="s">
        <v>238</v>
      </c>
      <c r="I31" s="164">
        <v>2</v>
      </c>
      <c r="J31" s="163" t="s">
        <v>257</v>
      </c>
      <c r="K31" s="165" t="s">
        <v>240</v>
      </c>
      <c r="L31" s="249">
        <v>1</v>
      </c>
      <c r="M31" s="132">
        <f t="shared" si="1"/>
        <v>2</v>
      </c>
      <c r="N31" s="133" t="s">
        <v>291</v>
      </c>
      <c r="O31" s="69" t="s">
        <v>242</v>
      </c>
      <c r="P31" s="131">
        <v>5</v>
      </c>
      <c r="Q31" s="134">
        <f t="shared" si="3"/>
        <v>10</v>
      </c>
      <c r="R31" s="428"/>
      <c r="S31" s="428"/>
      <c r="T31" s="133"/>
      <c r="U31" s="405"/>
      <c r="V31" s="135"/>
      <c r="W31" s="133"/>
      <c r="X31" s="405"/>
      <c r="Y31" s="405"/>
      <c r="Z31" s="135"/>
      <c r="AA31" s="136"/>
      <c r="AB31" s="111"/>
      <c r="AC31" s="363"/>
      <c r="AD31" s="226">
        <f t="shared" si="0"/>
        <v>6739</v>
      </c>
    </row>
    <row r="32" spans="1:32" ht="153.75" outlineLevel="3" thickBot="1" x14ac:dyDescent="0.25">
      <c r="A32" s="199" t="s">
        <v>364</v>
      </c>
      <c r="B32" s="477" t="s">
        <v>365</v>
      </c>
      <c r="C32" s="479" t="s">
        <v>366</v>
      </c>
      <c r="D32" s="477" t="s">
        <v>367</v>
      </c>
      <c r="E32" s="405" t="s">
        <v>288</v>
      </c>
      <c r="F32" s="405" t="s">
        <v>327</v>
      </c>
      <c r="G32" s="405" t="s">
        <v>237</v>
      </c>
      <c r="H32" s="420" t="s">
        <v>238</v>
      </c>
      <c r="I32" s="164">
        <v>2</v>
      </c>
      <c r="J32" s="129" t="s">
        <v>290</v>
      </c>
      <c r="K32" s="165" t="s">
        <v>240</v>
      </c>
      <c r="L32" s="138">
        <v>1</v>
      </c>
      <c r="M32" s="166">
        <f t="shared" si="1"/>
        <v>2</v>
      </c>
      <c r="N32" s="133" t="s">
        <v>291</v>
      </c>
      <c r="O32" s="69" t="s">
        <v>242</v>
      </c>
      <c r="P32" s="131">
        <v>5</v>
      </c>
      <c r="Q32" s="134">
        <f t="shared" ref="Q32:Q33" si="8">P32*L32*I32</f>
        <v>10</v>
      </c>
      <c r="R32" s="428"/>
      <c r="S32" s="428"/>
      <c r="T32" s="133"/>
      <c r="U32" s="405"/>
      <c r="V32" s="135"/>
      <c r="W32" s="133"/>
      <c r="X32" s="405"/>
      <c r="Y32" s="405"/>
      <c r="Z32" s="135"/>
      <c r="AA32" s="136"/>
      <c r="AB32" s="111"/>
      <c r="AC32" s="363"/>
      <c r="AD32" s="226">
        <f t="shared" si="0"/>
        <v>6740</v>
      </c>
    </row>
    <row r="33" spans="1:31" ht="166.5" outlineLevel="3" thickBot="1" x14ac:dyDescent="0.25">
      <c r="A33" s="199" t="s">
        <v>368</v>
      </c>
      <c r="B33" s="478"/>
      <c r="C33" s="480"/>
      <c r="D33" s="478"/>
      <c r="E33" s="405" t="s">
        <v>340</v>
      </c>
      <c r="F33" s="405" t="s">
        <v>369</v>
      </c>
      <c r="G33" s="405" t="s">
        <v>237</v>
      </c>
      <c r="H33" s="420" t="s">
        <v>238</v>
      </c>
      <c r="I33" s="164">
        <v>2</v>
      </c>
      <c r="J33" s="163" t="s">
        <v>257</v>
      </c>
      <c r="K33" s="165" t="s">
        <v>240</v>
      </c>
      <c r="L33" s="138">
        <v>1</v>
      </c>
      <c r="M33" s="166">
        <f t="shared" si="1"/>
        <v>2</v>
      </c>
      <c r="N33" s="133" t="s">
        <v>291</v>
      </c>
      <c r="O33" s="69" t="s">
        <v>242</v>
      </c>
      <c r="P33" s="131">
        <v>5</v>
      </c>
      <c r="Q33" s="134">
        <f t="shared" si="8"/>
        <v>10</v>
      </c>
      <c r="R33" s="428"/>
      <c r="S33" s="428"/>
      <c r="T33" s="133"/>
      <c r="U33" s="405"/>
      <c r="V33" s="135"/>
      <c r="W33" s="133"/>
      <c r="X33" s="405"/>
      <c r="Y33" s="405"/>
      <c r="Z33" s="135"/>
      <c r="AA33" s="136"/>
      <c r="AB33" s="111"/>
      <c r="AC33" s="363"/>
      <c r="AD33" s="226">
        <f t="shared" si="0"/>
        <v>6741</v>
      </c>
    </row>
    <row r="34" spans="1:31" ht="153.75" outlineLevel="3" thickBot="1" x14ac:dyDescent="0.25">
      <c r="A34" s="199" t="s">
        <v>370</v>
      </c>
      <c r="B34" s="477" t="s">
        <v>371</v>
      </c>
      <c r="C34" s="479" t="s">
        <v>372</v>
      </c>
      <c r="D34" s="477" t="s">
        <v>373</v>
      </c>
      <c r="E34" s="405" t="s">
        <v>288</v>
      </c>
      <c r="F34" s="405" t="s">
        <v>374</v>
      </c>
      <c r="G34" s="405" t="s">
        <v>237</v>
      </c>
      <c r="H34" s="420" t="s">
        <v>238</v>
      </c>
      <c r="I34" s="164">
        <v>2</v>
      </c>
      <c r="J34" s="129" t="s">
        <v>290</v>
      </c>
      <c r="K34" s="165" t="s">
        <v>240</v>
      </c>
      <c r="L34" s="138">
        <v>2</v>
      </c>
      <c r="M34" s="166">
        <f t="shared" si="1"/>
        <v>4</v>
      </c>
      <c r="N34" s="133" t="s">
        <v>291</v>
      </c>
      <c r="O34" s="69" t="s">
        <v>242</v>
      </c>
      <c r="P34" s="131">
        <v>5</v>
      </c>
      <c r="Q34" s="134">
        <f t="shared" ref="Q34:Q35" si="9">I34*L34*P34</f>
        <v>20</v>
      </c>
      <c r="R34" s="428"/>
      <c r="S34" s="428"/>
      <c r="T34" s="133"/>
      <c r="U34" s="405"/>
      <c r="V34" s="135"/>
      <c r="W34" s="133"/>
      <c r="X34" s="405"/>
      <c r="Y34" s="405"/>
      <c r="Z34" s="135"/>
      <c r="AA34" s="136"/>
      <c r="AB34" s="111"/>
      <c r="AC34" s="363"/>
      <c r="AD34" s="226">
        <f t="shared" si="0"/>
        <v>6742</v>
      </c>
    </row>
    <row r="35" spans="1:31" ht="153.75" outlineLevel="3" thickBot="1" x14ac:dyDescent="0.25">
      <c r="A35" s="243" t="s">
        <v>375</v>
      </c>
      <c r="B35" s="478"/>
      <c r="C35" s="480"/>
      <c r="D35" s="478"/>
      <c r="E35" s="405" t="s">
        <v>340</v>
      </c>
      <c r="F35" s="430" t="s">
        <v>376</v>
      </c>
      <c r="G35" s="405" t="s">
        <v>237</v>
      </c>
      <c r="H35" s="420" t="s">
        <v>238</v>
      </c>
      <c r="I35" s="164">
        <v>2</v>
      </c>
      <c r="J35" s="163" t="s">
        <v>257</v>
      </c>
      <c r="K35" s="165" t="s">
        <v>240</v>
      </c>
      <c r="L35" s="138">
        <v>2</v>
      </c>
      <c r="M35" s="166">
        <f t="shared" si="1"/>
        <v>4</v>
      </c>
      <c r="N35" s="133" t="s">
        <v>291</v>
      </c>
      <c r="O35" s="69" t="s">
        <v>242</v>
      </c>
      <c r="P35" s="131">
        <v>5</v>
      </c>
      <c r="Q35" s="134">
        <f t="shared" si="9"/>
        <v>20</v>
      </c>
      <c r="R35" s="428"/>
      <c r="S35" s="428"/>
      <c r="T35" s="133"/>
      <c r="U35" s="405"/>
      <c r="V35" s="135"/>
      <c r="W35" s="133"/>
      <c r="X35" s="405"/>
      <c r="Y35" s="405"/>
      <c r="Z35" s="135"/>
      <c r="AA35" s="136"/>
      <c r="AB35" s="111"/>
      <c r="AC35" s="363"/>
      <c r="AD35" s="226">
        <f t="shared" si="0"/>
        <v>6743</v>
      </c>
    </row>
    <row r="36" spans="1:31" ht="153.75" outlineLevel="3" thickBot="1" x14ac:dyDescent="0.25">
      <c r="A36" s="243" t="s">
        <v>377</v>
      </c>
      <c r="B36" s="477" t="s">
        <v>378</v>
      </c>
      <c r="C36" s="479" t="s">
        <v>379</v>
      </c>
      <c r="D36" s="516" t="s">
        <v>380</v>
      </c>
      <c r="E36" s="409" t="s">
        <v>381</v>
      </c>
      <c r="F36" s="409" t="s">
        <v>327</v>
      </c>
      <c r="G36" s="405" t="s">
        <v>237</v>
      </c>
      <c r="H36" s="420" t="s">
        <v>238</v>
      </c>
      <c r="I36" s="164">
        <v>2</v>
      </c>
      <c r="J36" s="163" t="s">
        <v>382</v>
      </c>
      <c r="K36" s="165" t="s">
        <v>240</v>
      </c>
      <c r="L36" s="131">
        <v>1</v>
      </c>
      <c r="M36" s="132">
        <f t="shared" si="1"/>
        <v>2</v>
      </c>
      <c r="N36" s="133" t="s">
        <v>291</v>
      </c>
      <c r="O36" s="69" t="s">
        <v>242</v>
      </c>
      <c r="P36" s="131">
        <v>5</v>
      </c>
      <c r="Q36" s="134">
        <f t="shared" si="3"/>
        <v>10</v>
      </c>
      <c r="R36" s="428"/>
      <c r="S36" s="428"/>
      <c r="T36" s="133"/>
      <c r="U36" s="405"/>
      <c r="V36" s="135"/>
      <c r="W36" s="133"/>
      <c r="X36" s="405"/>
      <c r="Y36" s="405"/>
      <c r="Z36" s="135"/>
      <c r="AA36" s="136">
        <f t="shared" si="4"/>
        <v>0</v>
      </c>
      <c r="AB36" s="111"/>
      <c r="AC36" s="363"/>
      <c r="AD36" s="226">
        <f t="shared" si="0"/>
        <v>5171</v>
      </c>
    </row>
    <row r="37" spans="1:31" ht="166.5" outlineLevel="3" thickBot="1" x14ac:dyDescent="0.25">
      <c r="A37" s="243" t="s">
        <v>383</v>
      </c>
      <c r="B37" s="478"/>
      <c r="C37" s="480"/>
      <c r="D37" s="491"/>
      <c r="E37" s="409" t="s">
        <v>384</v>
      </c>
      <c r="F37" s="430" t="s">
        <v>385</v>
      </c>
      <c r="G37" s="405" t="s">
        <v>237</v>
      </c>
      <c r="H37" s="420" t="s">
        <v>238</v>
      </c>
      <c r="I37" s="164">
        <v>2</v>
      </c>
      <c r="J37" s="163" t="s">
        <v>386</v>
      </c>
      <c r="K37" s="165" t="s">
        <v>240</v>
      </c>
      <c r="L37" s="131">
        <v>1</v>
      </c>
      <c r="M37" s="132">
        <f t="shared" si="1"/>
        <v>2</v>
      </c>
      <c r="N37" s="133" t="s">
        <v>291</v>
      </c>
      <c r="O37" s="69" t="s">
        <v>242</v>
      </c>
      <c r="P37" s="131">
        <v>5</v>
      </c>
      <c r="Q37" s="134">
        <f t="shared" si="3"/>
        <v>10</v>
      </c>
      <c r="R37" s="428"/>
      <c r="S37" s="428"/>
      <c r="T37" s="133"/>
      <c r="U37" s="405"/>
      <c r="V37" s="135"/>
      <c r="W37" s="133"/>
      <c r="X37" s="405"/>
      <c r="Y37" s="405"/>
      <c r="Z37" s="135"/>
      <c r="AA37" s="136"/>
      <c r="AB37" s="111"/>
      <c r="AC37" s="363"/>
      <c r="AD37" s="226">
        <f t="shared" si="0"/>
        <v>5172</v>
      </c>
    </row>
    <row r="38" spans="1:31" ht="153.75" outlineLevel="3" thickBot="1" x14ac:dyDescent="0.25">
      <c r="A38" s="252" t="s">
        <v>387</v>
      </c>
      <c r="B38" s="489" t="s">
        <v>388</v>
      </c>
      <c r="C38" s="486" t="s">
        <v>389</v>
      </c>
      <c r="D38" s="489" t="s">
        <v>390</v>
      </c>
      <c r="E38" s="415" t="s">
        <v>300</v>
      </c>
      <c r="F38" s="415" t="s">
        <v>391</v>
      </c>
      <c r="G38" s="405" t="s">
        <v>237</v>
      </c>
      <c r="H38" s="420" t="s">
        <v>238</v>
      </c>
      <c r="I38" s="164">
        <v>2</v>
      </c>
      <c r="J38" s="163" t="s">
        <v>302</v>
      </c>
      <c r="K38" s="165" t="s">
        <v>240</v>
      </c>
      <c r="L38" s="131">
        <v>1</v>
      </c>
      <c r="M38" s="132">
        <f t="shared" si="1"/>
        <v>2</v>
      </c>
      <c r="N38" s="133" t="s">
        <v>291</v>
      </c>
      <c r="O38" s="69" t="s">
        <v>242</v>
      </c>
      <c r="P38" s="131">
        <v>5</v>
      </c>
      <c r="Q38" s="134">
        <f t="shared" si="3"/>
        <v>10</v>
      </c>
      <c r="R38" s="428"/>
      <c r="S38" s="428"/>
      <c r="T38" s="133"/>
      <c r="U38" s="405"/>
      <c r="V38" s="135"/>
      <c r="W38" s="133"/>
      <c r="X38" s="405"/>
      <c r="Y38" s="405"/>
      <c r="Z38" s="135"/>
      <c r="AA38" s="136">
        <f t="shared" si="4"/>
        <v>0</v>
      </c>
      <c r="AB38" s="111"/>
      <c r="AC38" s="363"/>
      <c r="AD38" s="226">
        <f t="shared" si="0"/>
        <v>5173</v>
      </c>
    </row>
    <row r="39" spans="1:31" ht="217.5" outlineLevel="3" thickBot="1" x14ac:dyDescent="0.25">
      <c r="A39" s="243" t="s">
        <v>392</v>
      </c>
      <c r="B39" s="491"/>
      <c r="C39" s="487"/>
      <c r="D39" s="491"/>
      <c r="E39" s="415" t="s">
        <v>393</v>
      </c>
      <c r="F39" s="430" t="s">
        <v>394</v>
      </c>
      <c r="G39" s="405" t="s">
        <v>237</v>
      </c>
      <c r="H39" s="420" t="s">
        <v>238</v>
      </c>
      <c r="I39" s="164">
        <v>2</v>
      </c>
      <c r="J39" s="163" t="s">
        <v>307</v>
      </c>
      <c r="K39" s="165" t="s">
        <v>240</v>
      </c>
      <c r="L39" s="131">
        <v>1</v>
      </c>
      <c r="M39" s="132">
        <f t="shared" si="1"/>
        <v>2</v>
      </c>
      <c r="N39" s="133" t="s">
        <v>291</v>
      </c>
      <c r="O39" s="69" t="s">
        <v>242</v>
      </c>
      <c r="P39" s="131">
        <v>5</v>
      </c>
      <c r="Q39" s="134">
        <f t="shared" si="3"/>
        <v>10</v>
      </c>
      <c r="R39" s="428"/>
      <c r="S39" s="428"/>
      <c r="T39" s="133"/>
      <c r="U39" s="405"/>
      <c r="V39" s="135"/>
      <c r="W39" s="133"/>
      <c r="X39" s="405"/>
      <c r="Y39" s="405"/>
      <c r="Z39" s="135"/>
      <c r="AA39" s="136"/>
      <c r="AB39" s="111"/>
      <c r="AC39" s="363"/>
      <c r="AD39" s="226">
        <f t="shared" si="0"/>
        <v>5174</v>
      </c>
    </row>
    <row r="40" spans="1:31" s="212" customFormat="1" ht="192" outlineLevel="3" thickBot="1" x14ac:dyDescent="0.25">
      <c r="A40" s="266" t="s">
        <v>395</v>
      </c>
      <c r="B40" s="520" t="s">
        <v>396</v>
      </c>
      <c r="C40" s="529"/>
      <c r="D40" s="520" t="s">
        <v>397</v>
      </c>
      <c r="E40" s="267" t="s">
        <v>398</v>
      </c>
      <c r="F40" s="267" t="s">
        <v>399</v>
      </c>
      <c r="G40" s="405" t="s">
        <v>237</v>
      </c>
      <c r="H40" s="268" t="s">
        <v>238</v>
      </c>
      <c r="I40" s="269">
        <v>2</v>
      </c>
      <c r="J40" s="270" t="s">
        <v>290</v>
      </c>
      <c r="K40" s="271" t="s">
        <v>240</v>
      </c>
      <c r="L40" s="272">
        <v>1</v>
      </c>
      <c r="M40" s="210">
        <f t="shared" si="1"/>
        <v>2</v>
      </c>
      <c r="N40" s="279" t="s">
        <v>291</v>
      </c>
      <c r="O40" s="268" t="s">
        <v>242</v>
      </c>
      <c r="P40" s="272">
        <v>5</v>
      </c>
      <c r="Q40" s="211">
        <f t="shared" si="3"/>
        <v>10</v>
      </c>
      <c r="R40" s="428"/>
      <c r="S40" s="428"/>
      <c r="T40" s="133"/>
      <c r="U40" s="405"/>
      <c r="V40" s="135"/>
      <c r="W40" s="133"/>
      <c r="X40" s="405"/>
      <c r="Y40" s="405"/>
      <c r="Z40" s="135"/>
      <c r="AA40" s="136"/>
      <c r="AB40" s="111"/>
      <c r="AC40" s="226"/>
      <c r="AD40" s="226">
        <f t="shared" si="0"/>
        <v>5175</v>
      </c>
      <c r="AE40" s="227"/>
    </row>
    <row r="41" spans="1:31" s="144" customFormat="1" ht="153.75" outlineLevel="3" thickBot="1" x14ac:dyDescent="0.25">
      <c r="A41" s="273" t="s">
        <v>400</v>
      </c>
      <c r="B41" s="521"/>
      <c r="C41" s="530"/>
      <c r="D41" s="521"/>
      <c r="E41" s="429" t="s">
        <v>340</v>
      </c>
      <c r="F41" s="429" t="s">
        <v>401</v>
      </c>
      <c r="G41" s="405" t="s">
        <v>237</v>
      </c>
      <c r="H41" s="274" t="s">
        <v>238</v>
      </c>
      <c r="I41" s="275">
        <v>2</v>
      </c>
      <c r="J41" s="276" t="s">
        <v>402</v>
      </c>
      <c r="K41" s="277" t="s">
        <v>240</v>
      </c>
      <c r="L41" s="278">
        <v>1</v>
      </c>
      <c r="M41" s="153">
        <f t="shared" si="1"/>
        <v>2</v>
      </c>
      <c r="N41" s="154" t="s">
        <v>291</v>
      </c>
      <c r="O41" s="155" t="s">
        <v>242</v>
      </c>
      <c r="P41" s="152">
        <v>5</v>
      </c>
      <c r="Q41" s="156">
        <f t="shared" si="3"/>
        <v>10</v>
      </c>
      <c r="R41" s="197"/>
      <c r="S41" s="197"/>
      <c r="T41" s="154"/>
      <c r="U41" s="414"/>
      <c r="V41" s="157"/>
      <c r="W41" s="154"/>
      <c r="X41" s="414"/>
      <c r="Y41" s="414"/>
      <c r="Z41" s="157"/>
      <c r="AA41" s="136"/>
      <c r="AB41" s="159"/>
      <c r="AC41" s="366"/>
      <c r="AD41" s="226">
        <f t="shared" si="0"/>
        <v>5176</v>
      </c>
      <c r="AE41" s="350"/>
    </row>
    <row r="42" spans="1:31" ht="179.25" outlineLevel="3" thickBot="1" x14ac:dyDescent="0.25">
      <c r="A42" s="252" t="s">
        <v>403</v>
      </c>
      <c r="B42" s="489" t="s">
        <v>404</v>
      </c>
      <c r="C42" s="486" t="s">
        <v>405</v>
      </c>
      <c r="D42" s="489" t="s">
        <v>406</v>
      </c>
      <c r="E42" s="415" t="s">
        <v>407</v>
      </c>
      <c r="F42" s="415" t="s">
        <v>408</v>
      </c>
      <c r="G42" s="417" t="s">
        <v>252</v>
      </c>
      <c r="H42" s="255" t="s">
        <v>238</v>
      </c>
      <c r="I42" s="265">
        <v>1</v>
      </c>
      <c r="J42" s="253" t="s">
        <v>277</v>
      </c>
      <c r="K42" s="165" t="s">
        <v>409</v>
      </c>
      <c r="L42" s="131">
        <v>1</v>
      </c>
      <c r="M42" s="132">
        <f t="shared" si="1"/>
        <v>1</v>
      </c>
      <c r="N42" s="133" t="s">
        <v>291</v>
      </c>
      <c r="O42" s="69" t="s">
        <v>242</v>
      </c>
      <c r="P42" s="131">
        <v>5</v>
      </c>
      <c r="Q42" s="134">
        <f t="shared" si="3"/>
        <v>5</v>
      </c>
      <c r="R42" s="428"/>
      <c r="S42" s="428"/>
      <c r="T42" s="133"/>
      <c r="U42" s="405"/>
      <c r="V42" s="135"/>
      <c r="W42" s="133"/>
      <c r="X42" s="405"/>
      <c r="Y42" s="405"/>
      <c r="Z42" s="135"/>
      <c r="AA42" s="136">
        <f t="shared" si="4"/>
        <v>0</v>
      </c>
      <c r="AB42" s="111"/>
      <c r="AC42" s="363"/>
      <c r="AD42" s="226">
        <f t="shared" si="0"/>
        <v>5177</v>
      </c>
    </row>
    <row r="43" spans="1:31" ht="179.25" outlineLevel="3" thickBot="1" x14ac:dyDescent="0.25">
      <c r="A43" s="243" t="s">
        <v>410</v>
      </c>
      <c r="B43" s="491"/>
      <c r="C43" s="487"/>
      <c r="D43" s="491"/>
      <c r="E43" s="415" t="s">
        <v>279</v>
      </c>
      <c r="F43" s="415" t="s">
        <v>411</v>
      </c>
      <c r="G43" s="405" t="s">
        <v>237</v>
      </c>
      <c r="H43" s="255" t="s">
        <v>238</v>
      </c>
      <c r="I43" s="244">
        <v>2</v>
      </c>
      <c r="J43" s="253" t="s">
        <v>412</v>
      </c>
      <c r="K43" s="165" t="s">
        <v>409</v>
      </c>
      <c r="L43" s="131">
        <v>1</v>
      </c>
      <c r="M43" s="132">
        <f t="shared" si="1"/>
        <v>2</v>
      </c>
      <c r="N43" s="133" t="s">
        <v>291</v>
      </c>
      <c r="O43" s="69" t="s">
        <v>242</v>
      </c>
      <c r="P43" s="131">
        <v>5</v>
      </c>
      <c r="Q43" s="134">
        <f t="shared" si="3"/>
        <v>10</v>
      </c>
      <c r="R43" s="428"/>
      <c r="S43" s="428"/>
      <c r="T43" s="133"/>
      <c r="U43" s="405"/>
      <c r="V43" s="135"/>
      <c r="W43" s="133"/>
      <c r="X43" s="405"/>
      <c r="Y43" s="405"/>
      <c r="Z43" s="135"/>
      <c r="AA43" s="136"/>
      <c r="AB43" s="111"/>
      <c r="AC43" s="363"/>
      <c r="AD43" s="226">
        <f t="shared" si="0"/>
        <v>5178</v>
      </c>
    </row>
    <row r="44" spans="1:31" ht="153.75" outlineLevel="3" thickBot="1" x14ac:dyDescent="0.25">
      <c r="A44" s="199" t="s">
        <v>413</v>
      </c>
      <c r="B44" s="477" t="s">
        <v>414</v>
      </c>
      <c r="C44" s="479" t="s">
        <v>415</v>
      </c>
      <c r="D44" s="477" t="s">
        <v>416</v>
      </c>
      <c r="E44" s="405" t="s">
        <v>417</v>
      </c>
      <c r="F44" s="405" t="s">
        <v>418</v>
      </c>
      <c r="G44" s="405" t="s">
        <v>237</v>
      </c>
      <c r="H44" s="420" t="s">
        <v>238</v>
      </c>
      <c r="I44" s="164">
        <v>2</v>
      </c>
      <c r="J44" s="163" t="s">
        <v>302</v>
      </c>
      <c r="K44" s="165" t="s">
        <v>240</v>
      </c>
      <c r="L44" s="131">
        <v>1</v>
      </c>
      <c r="M44" s="132">
        <f t="shared" si="1"/>
        <v>2</v>
      </c>
      <c r="N44" s="133" t="s">
        <v>291</v>
      </c>
      <c r="O44" s="69" t="s">
        <v>242</v>
      </c>
      <c r="P44" s="131">
        <v>5</v>
      </c>
      <c r="Q44" s="134">
        <f t="shared" si="3"/>
        <v>10</v>
      </c>
      <c r="R44" s="428"/>
      <c r="S44" s="428"/>
      <c r="T44" s="133"/>
      <c r="U44" s="405"/>
      <c r="V44" s="135"/>
      <c r="W44" s="133"/>
      <c r="X44" s="405"/>
      <c r="Y44" s="405"/>
      <c r="Z44" s="135"/>
      <c r="AA44" s="136">
        <f t="shared" si="4"/>
        <v>0</v>
      </c>
      <c r="AB44" s="111"/>
      <c r="AC44" s="363"/>
      <c r="AD44" s="226">
        <f t="shared" si="0"/>
        <v>5179</v>
      </c>
    </row>
    <row r="45" spans="1:31" ht="217.5" outlineLevel="3" thickBot="1" x14ac:dyDescent="0.25">
      <c r="A45" s="199" t="s">
        <v>419</v>
      </c>
      <c r="B45" s="478"/>
      <c r="C45" s="480"/>
      <c r="D45" s="478"/>
      <c r="E45" s="405" t="s">
        <v>393</v>
      </c>
      <c r="F45" s="405" t="s">
        <v>420</v>
      </c>
      <c r="G45" s="405" t="s">
        <v>237</v>
      </c>
      <c r="H45" s="420" t="s">
        <v>238</v>
      </c>
      <c r="I45" s="164">
        <v>2</v>
      </c>
      <c r="J45" s="163" t="s">
        <v>307</v>
      </c>
      <c r="K45" s="165" t="s">
        <v>240</v>
      </c>
      <c r="L45" s="131">
        <v>1</v>
      </c>
      <c r="M45" s="132">
        <f t="shared" si="1"/>
        <v>2</v>
      </c>
      <c r="N45" s="133" t="s">
        <v>291</v>
      </c>
      <c r="O45" s="69" t="s">
        <v>242</v>
      </c>
      <c r="P45" s="131">
        <v>5</v>
      </c>
      <c r="Q45" s="134">
        <f t="shared" si="3"/>
        <v>10</v>
      </c>
      <c r="R45" s="428"/>
      <c r="S45" s="428"/>
      <c r="T45" s="133"/>
      <c r="U45" s="405"/>
      <c r="V45" s="135"/>
      <c r="W45" s="133"/>
      <c r="X45" s="405"/>
      <c r="Y45" s="405"/>
      <c r="Z45" s="135"/>
      <c r="AA45" s="136"/>
      <c r="AB45" s="111"/>
      <c r="AC45" s="363"/>
      <c r="AD45" s="226">
        <f t="shared" si="0"/>
        <v>5180</v>
      </c>
    </row>
    <row r="46" spans="1:31" s="228" customFormat="1" ht="153.75" outlineLevel="3" thickBot="1" x14ac:dyDescent="0.25">
      <c r="A46" s="243" t="s">
        <v>421</v>
      </c>
      <c r="B46" s="489" t="s">
        <v>422</v>
      </c>
      <c r="C46" s="523" t="s">
        <v>423</v>
      </c>
      <c r="D46" s="516" t="s">
        <v>424</v>
      </c>
      <c r="E46" s="415" t="s">
        <v>425</v>
      </c>
      <c r="F46" s="415" t="s">
        <v>418</v>
      </c>
      <c r="G46" s="405" t="s">
        <v>237</v>
      </c>
      <c r="H46" s="420" t="s">
        <v>238</v>
      </c>
      <c r="I46" s="164">
        <v>2</v>
      </c>
      <c r="J46" s="163" t="s">
        <v>290</v>
      </c>
      <c r="K46" s="165" t="s">
        <v>240</v>
      </c>
      <c r="L46" s="249">
        <v>2</v>
      </c>
      <c r="M46" s="166">
        <f t="shared" si="1"/>
        <v>4</v>
      </c>
      <c r="N46" s="133" t="s">
        <v>291</v>
      </c>
      <c r="O46" s="420" t="s">
        <v>242</v>
      </c>
      <c r="P46" s="138">
        <v>5</v>
      </c>
      <c r="Q46" s="225">
        <f t="shared" si="3"/>
        <v>20</v>
      </c>
      <c r="R46" s="428"/>
      <c r="S46" s="428"/>
      <c r="T46" s="133"/>
      <c r="U46" s="405"/>
      <c r="V46" s="135"/>
      <c r="W46" s="133"/>
      <c r="X46" s="405"/>
      <c r="Y46" s="405"/>
      <c r="Z46" s="135"/>
      <c r="AA46" s="136"/>
      <c r="AB46" s="111"/>
      <c r="AC46" s="226"/>
      <c r="AD46" s="226">
        <f t="shared" si="0"/>
        <v>5181</v>
      </c>
      <c r="AE46" s="227"/>
    </row>
    <row r="47" spans="1:31" ht="230.25" outlineLevel="3" thickBot="1" x14ac:dyDescent="0.25">
      <c r="A47" s="243" t="s">
        <v>426</v>
      </c>
      <c r="B47" s="491"/>
      <c r="C47" s="524"/>
      <c r="D47" s="491"/>
      <c r="E47" s="415" t="s">
        <v>340</v>
      </c>
      <c r="F47" s="430" t="s">
        <v>427</v>
      </c>
      <c r="G47" s="405" t="s">
        <v>237</v>
      </c>
      <c r="H47" s="420" t="s">
        <v>238</v>
      </c>
      <c r="I47" s="164">
        <v>2</v>
      </c>
      <c r="J47" s="163" t="s">
        <v>428</v>
      </c>
      <c r="K47" s="165" t="s">
        <v>240</v>
      </c>
      <c r="L47" s="249">
        <v>2</v>
      </c>
      <c r="M47" s="132">
        <f t="shared" si="1"/>
        <v>4</v>
      </c>
      <c r="N47" s="133" t="s">
        <v>291</v>
      </c>
      <c r="O47" s="69" t="s">
        <v>242</v>
      </c>
      <c r="P47" s="131">
        <v>5</v>
      </c>
      <c r="Q47" s="134">
        <f t="shared" si="3"/>
        <v>20</v>
      </c>
      <c r="R47" s="428"/>
      <c r="S47" s="428"/>
      <c r="T47" s="133"/>
      <c r="U47" s="405"/>
      <c r="V47" s="135"/>
      <c r="W47" s="133"/>
      <c r="X47" s="405"/>
      <c r="Y47" s="405"/>
      <c r="Z47" s="135"/>
      <c r="AA47" s="136"/>
      <c r="AB47" s="111"/>
      <c r="AC47" s="363"/>
      <c r="AD47" s="226">
        <f t="shared" si="0"/>
        <v>5182</v>
      </c>
    </row>
    <row r="48" spans="1:31" ht="204.75" outlineLevel="3" thickBot="1" x14ac:dyDescent="0.25">
      <c r="A48" s="243" t="s">
        <v>429</v>
      </c>
      <c r="B48" s="489" t="s">
        <v>430</v>
      </c>
      <c r="C48" s="486" t="s">
        <v>431</v>
      </c>
      <c r="D48" s="489" t="s">
        <v>432</v>
      </c>
      <c r="E48" s="415" t="s">
        <v>352</v>
      </c>
      <c r="F48" s="430" t="s">
        <v>433</v>
      </c>
      <c r="G48" s="405" t="s">
        <v>237</v>
      </c>
      <c r="H48" s="420" t="s">
        <v>238</v>
      </c>
      <c r="I48" s="164">
        <v>2</v>
      </c>
      <c r="J48" s="163" t="s">
        <v>302</v>
      </c>
      <c r="K48" s="165" t="s">
        <v>240</v>
      </c>
      <c r="L48" s="138">
        <v>1</v>
      </c>
      <c r="M48" s="166">
        <f t="shared" si="1"/>
        <v>2</v>
      </c>
      <c r="N48" s="133" t="s">
        <v>291</v>
      </c>
      <c r="O48" s="69" t="s">
        <v>242</v>
      </c>
      <c r="P48" s="131">
        <v>5</v>
      </c>
      <c r="Q48" s="134">
        <f t="shared" si="3"/>
        <v>10</v>
      </c>
      <c r="R48" s="428"/>
      <c r="S48" s="428"/>
      <c r="T48" s="133"/>
      <c r="U48" s="405"/>
      <c r="V48" s="135"/>
      <c r="W48" s="133"/>
      <c r="X48" s="405"/>
      <c r="Y48" s="405"/>
      <c r="Z48" s="135"/>
      <c r="AA48" s="136"/>
      <c r="AB48" s="111"/>
      <c r="AC48" s="363"/>
      <c r="AD48" s="226">
        <f t="shared" si="0"/>
        <v>6744</v>
      </c>
    </row>
    <row r="49" spans="1:31" ht="153.75" outlineLevel="3" thickBot="1" x14ac:dyDescent="0.25">
      <c r="A49" s="252" t="s">
        <v>434</v>
      </c>
      <c r="B49" s="491"/>
      <c r="C49" s="487"/>
      <c r="D49" s="491"/>
      <c r="E49" s="415" t="s">
        <v>355</v>
      </c>
      <c r="F49" s="415" t="s">
        <v>418</v>
      </c>
      <c r="G49" s="405" t="s">
        <v>237</v>
      </c>
      <c r="H49" s="420" t="s">
        <v>238</v>
      </c>
      <c r="I49" s="164">
        <v>2</v>
      </c>
      <c r="J49" s="163" t="s">
        <v>307</v>
      </c>
      <c r="K49" s="165" t="s">
        <v>240</v>
      </c>
      <c r="L49" s="138">
        <v>1</v>
      </c>
      <c r="M49" s="166">
        <f t="shared" si="1"/>
        <v>2</v>
      </c>
      <c r="N49" s="133" t="s">
        <v>291</v>
      </c>
      <c r="O49" s="69" t="s">
        <v>242</v>
      </c>
      <c r="P49" s="131">
        <v>5</v>
      </c>
      <c r="Q49" s="134">
        <f t="shared" si="3"/>
        <v>10</v>
      </c>
      <c r="R49" s="428"/>
      <c r="S49" s="428"/>
      <c r="T49" s="133"/>
      <c r="U49" s="405"/>
      <c r="V49" s="135"/>
      <c r="W49" s="133"/>
      <c r="X49" s="405"/>
      <c r="Y49" s="405"/>
      <c r="Z49" s="135"/>
      <c r="AA49" s="136"/>
      <c r="AB49" s="111"/>
      <c r="AC49" s="363"/>
      <c r="AD49" s="226">
        <f t="shared" si="0"/>
        <v>6745</v>
      </c>
    </row>
    <row r="50" spans="1:31" s="144" customFormat="1" ht="153.75" outlineLevel="3" thickBot="1" x14ac:dyDescent="0.25">
      <c r="A50" s="266" t="s">
        <v>435</v>
      </c>
      <c r="B50" s="520" t="s">
        <v>436</v>
      </c>
      <c r="C50" s="525" t="s">
        <v>423</v>
      </c>
      <c r="D50" s="522" t="s">
        <v>424</v>
      </c>
      <c r="E50" s="429" t="s">
        <v>437</v>
      </c>
      <c r="F50" s="429" t="s">
        <v>418</v>
      </c>
      <c r="G50" s="405" t="s">
        <v>237</v>
      </c>
      <c r="H50" s="336" t="s">
        <v>238</v>
      </c>
      <c r="I50" s="177">
        <v>2</v>
      </c>
      <c r="J50" s="176" t="s">
        <v>438</v>
      </c>
      <c r="K50" s="178" t="s">
        <v>240</v>
      </c>
      <c r="L50" s="138">
        <v>2</v>
      </c>
      <c r="M50" s="180">
        <f t="shared" si="1"/>
        <v>4</v>
      </c>
      <c r="N50" s="154" t="s">
        <v>291</v>
      </c>
      <c r="O50" s="155" t="s">
        <v>242</v>
      </c>
      <c r="P50" s="152">
        <v>5</v>
      </c>
      <c r="Q50" s="156">
        <f t="shared" si="3"/>
        <v>20</v>
      </c>
      <c r="R50" s="197"/>
      <c r="S50" s="197"/>
      <c r="T50" s="154"/>
      <c r="U50" s="414"/>
      <c r="V50" s="157"/>
      <c r="W50" s="154"/>
      <c r="X50" s="414"/>
      <c r="Y50" s="414"/>
      <c r="Z50" s="157"/>
      <c r="AA50" s="158"/>
      <c r="AB50" s="159"/>
      <c r="AC50" s="366"/>
      <c r="AD50" s="226">
        <f t="shared" si="0"/>
        <v>6746</v>
      </c>
      <c r="AE50" s="350"/>
    </row>
    <row r="51" spans="1:31" s="144" customFormat="1" ht="153.75" outlineLevel="3" thickBot="1" x14ac:dyDescent="0.25">
      <c r="A51" s="273" t="s">
        <v>439</v>
      </c>
      <c r="B51" s="521"/>
      <c r="C51" s="526"/>
      <c r="D51" s="521"/>
      <c r="E51" s="429" t="s">
        <v>440</v>
      </c>
      <c r="F51" s="429" t="s">
        <v>441</v>
      </c>
      <c r="G51" s="417" t="s">
        <v>252</v>
      </c>
      <c r="H51" s="336" t="s">
        <v>238</v>
      </c>
      <c r="I51" s="177">
        <v>1</v>
      </c>
      <c r="J51" s="176" t="s">
        <v>402</v>
      </c>
      <c r="K51" s="178" t="s">
        <v>240</v>
      </c>
      <c r="L51" s="179">
        <v>1</v>
      </c>
      <c r="M51" s="180">
        <f t="shared" si="1"/>
        <v>1</v>
      </c>
      <c r="N51" s="154" t="s">
        <v>291</v>
      </c>
      <c r="O51" s="155" t="s">
        <v>242</v>
      </c>
      <c r="P51" s="152">
        <v>5</v>
      </c>
      <c r="Q51" s="156">
        <f t="shared" si="3"/>
        <v>5</v>
      </c>
      <c r="R51" s="197"/>
      <c r="S51" s="197"/>
      <c r="T51" s="154"/>
      <c r="U51" s="414"/>
      <c r="V51" s="157"/>
      <c r="W51" s="154"/>
      <c r="X51" s="414"/>
      <c r="Y51" s="414"/>
      <c r="Z51" s="157"/>
      <c r="AA51" s="158"/>
      <c r="AB51" s="159"/>
      <c r="AC51" s="366"/>
      <c r="AD51" s="226">
        <f t="shared" si="0"/>
        <v>6747</v>
      </c>
      <c r="AE51" s="350"/>
    </row>
    <row r="52" spans="1:31" ht="166.5" outlineLevel="3" thickBot="1" x14ac:dyDescent="0.25">
      <c r="A52" s="199" t="s">
        <v>442</v>
      </c>
      <c r="B52" s="477" t="s">
        <v>443</v>
      </c>
      <c r="C52" s="479" t="s">
        <v>444</v>
      </c>
      <c r="D52" s="477" t="s">
        <v>445</v>
      </c>
      <c r="E52" s="405" t="s">
        <v>437</v>
      </c>
      <c r="F52" s="405" t="s">
        <v>446</v>
      </c>
      <c r="G52" s="405" t="s">
        <v>237</v>
      </c>
      <c r="H52" s="420" t="s">
        <v>238</v>
      </c>
      <c r="I52" s="164">
        <v>2</v>
      </c>
      <c r="J52" s="163" t="s">
        <v>438</v>
      </c>
      <c r="K52" s="165" t="s">
        <v>240</v>
      </c>
      <c r="L52" s="138">
        <v>1</v>
      </c>
      <c r="M52" s="166">
        <f t="shared" si="1"/>
        <v>2</v>
      </c>
      <c r="N52" s="133" t="s">
        <v>291</v>
      </c>
      <c r="O52" s="69" t="s">
        <v>242</v>
      </c>
      <c r="P52" s="131">
        <v>5</v>
      </c>
      <c r="Q52" s="134">
        <f t="shared" si="3"/>
        <v>10</v>
      </c>
      <c r="R52" s="428"/>
      <c r="S52" s="428"/>
      <c r="T52" s="133"/>
      <c r="U52" s="405"/>
      <c r="V52" s="135"/>
      <c r="W52" s="133"/>
      <c r="X52" s="405"/>
      <c r="Y52" s="405"/>
      <c r="Z52" s="135"/>
      <c r="AA52" s="136"/>
      <c r="AB52" s="111"/>
      <c r="AC52" s="363"/>
      <c r="AD52" s="226">
        <f t="shared" si="0"/>
        <v>6748</v>
      </c>
    </row>
    <row r="53" spans="1:31" ht="153.75" outlineLevel="3" thickBot="1" x14ac:dyDescent="0.25">
      <c r="A53" s="199" t="s">
        <v>447</v>
      </c>
      <c r="B53" s="478"/>
      <c r="C53" s="480"/>
      <c r="D53" s="478"/>
      <c r="E53" s="405" t="s">
        <v>440</v>
      </c>
      <c r="F53" s="405" t="s">
        <v>448</v>
      </c>
      <c r="G53" s="405" t="s">
        <v>237</v>
      </c>
      <c r="H53" s="420" t="s">
        <v>238</v>
      </c>
      <c r="I53" s="164">
        <v>2</v>
      </c>
      <c r="J53" s="163" t="s">
        <v>402</v>
      </c>
      <c r="K53" s="165" t="s">
        <v>240</v>
      </c>
      <c r="L53" s="138">
        <v>1</v>
      </c>
      <c r="M53" s="166">
        <f t="shared" si="1"/>
        <v>2</v>
      </c>
      <c r="N53" s="133" t="s">
        <v>291</v>
      </c>
      <c r="O53" s="69" t="s">
        <v>242</v>
      </c>
      <c r="P53" s="131">
        <v>5</v>
      </c>
      <c r="Q53" s="134">
        <f t="shared" si="3"/>
        <v>10</v>
      </c>
      <c r="R53" s="428"/>
      <c r="S53" s="428"/>
      <c r="T53" s="133"/>
      <c r="U53" s="405"/>
      <c r="V53" s="135"/>
      <c r="W53" s="133"/>
      <c r="X53" s="405"/>
      <c r="Y53" s="405"/>
      <c r="Z53" s="135"/>
      <c r="AA53" s="136"/>
      <c r="AB53" s="111"/>
      <c r="AC53" s="363"/>
      <c r="AD53" s="226">
        <f t="shared" si="0"/>
        <v>6749</v>
      </c>
    </row>
    <row r="54" spans="1:31" ht="153.75" outlineLevel="3" thickBot="1" x14ac:dyDescent="0.25">
      <c r="A54" s="199" t="s">
        <v>449</v>
      </c>
      <c r="B54" s="477" t="s">
        <v>450</v>
      </c>
      <c r="C54" s="479" t="s">
        <v>451</v>
      </c>
      <c r="D54" s="477" t="s">
        <v>452</v>
      </c>
      <c r="E54" s="405" t="s">
        <v>437</v>
      </c>
      <c r="F54" s="405" t="s">
        <v>441</v>
      </c>
      <c r="G54" s="417" t="s">
        <v>252</v>
      </c>
      <c r="H54" s="420" t="s">
        <v>238</v>
      </c>
      <c r="I54" s="164">
        <v>1</v>
      </c>
      <c r="J54" s="163" t="s">
        <v>438</v>
      </c>
      <c r="K54" s="165" t="s">
        <v>240</v>
      </c>
      <c r="L54" s="131">
        <v>2</v>
      </c>
      <c r="M54" s="132">
        <f t="shared" si="1"/>
        <v>2</v>
      </c>
      <c r="N54" s="133" t="s">
        <v>291</v>
      </c>
      <c r="O54" s="69" t="s">
        <v>242</v>
      </c>
      <c r="P54" s="131">
        <v>5</v>
      </c>
      <c r="Q54" s="134">
        <f t="shared" si="3"/>
        <v>10</v>
      </c>
      <c r="R54" s="428"/>
      <c r="S54" s="428"/>
      <c r="T54" s="133"/>
      <c r="U54" s="405"/>
      <c r="V54" s="135"/>
      <c r="W54" s="133"/>
      <c r="X54" s="405"/>
      <c r="Y54" s="405"/>
      <c r="Z54" s="135"/>
      <c r="AA54" s="136"/>
      <c r="AB54" s="111"/>
      <c r="AC54" s="363"/>
      <c r="AD54" s="226">
        <f t="shared" si="0"/>
        <v>6750</v>
      </c>
    </row>
    <row r="55" spans="1:31" ht="153.75" outlineLevel="3" thickBot="1" x14ac:dyDescent="0.25">
      <c r="A55" s="199" t="s">
        <v>453</v>
      </c>
      <c r="B55" s="478"/>
      <c r="C55" s="480"/>
      <c r="D55" s="478"/>
      <c r="E55" s="405" t="s">
        <v>440</v>
      </c>
      <c r="F55" s="405" t="s">
        <v>454</v>
      </c>
      <c r="G55" s="405" t="s">
        <v>237</v>
      </c>
      <c r="H55" s="420" t="s">
        <v>238</v>
      </c>
      <c r="I55" s="164">
        <v>2</v>
      </c>
      <c r="J55" s="163" t="s">
        <v>402</v>
      </c>
      <c r="K55" s="165" t="s">
        <v>240</v>
      </c>
      <c r="L55" s="131">
        <v>2</v>
      </c>
      <c r="M55" s="132">
        <f t="shared" si="1"/>
        <v>4</v>
      </c>
      <c r="N55" s="133" t="s">
        <v>291</v>
      </c>
      <c r="O55" s="69" t="s">
        <v>242</v>
      </c>
      <c r="P55" s="131">
        <v>5</v>
      </c>
      <c r="Q55" s="134">
        <f t="shared" si="3"/>
        <v>20</v>
      </c>
      <c r="R55" s="428"/>
      <c r="S55" s="428"/>
      <c r="T55" s="133"/>
      <c r="U55" s="405"/>
      <c r="V55" s="135"/>
      <c r="W55" s="133"/>
      <c r="X55" s="405"/>
      <c r="Y55" s="405"/>
      <c r="Z55" s="135"/>
      <c r="AA55" s="136"/>
      <c r="AB55" s="111"/>
      <c r="AC55" s="363"/>
      <c r="AD55" s="226">
        <f t="shared" si="0"/>
        <v>6751</v>
      </c>
    </row>
    <row r="56" spans="1:31" ht="153.75" outlineLevel="3" thickBot="1" x14ac:dyDescent="0.25">
      <c r="A56" s="199" t="s">
        <v>455</v>
      </c>
      <c r="B56" s="477" t="s">
        <v>456</v>
      </c>
      <c r="C56" s="479" t="s">
        <v>457</v>
      </c>
      <c r="D56" s="477" t="s">
        <v>458</v>
      </c>
      <c r="E56" s="405" t="s">
        <v>459</v>
      </c>
      <c r="F56" s="405" t="s">
        <v>418</v>
      </c>
      <c r="G56" s="405" t="s">
        <v>237</v>
      </c>
      <c r="H56" s="420" t="s">
        <v>238</v>
      </c>
      <c r="I56" s="164">
        <v>2</v>
      </c>
      <c r="J56" s="163" t="s">
        <v>328</v>
      </c>
      <c r="K56" s="165" t="s">
        <v>240</v>
      </c>
      <c r="L56" s="131">
        <v>1</v>
      </c>
      <c r="M56" s="132">
        <f t="shared" si="1"/>
        <v>2</v>
      </c>
      <c r="N56" s="133" t="s">
        <v>291</v>
      </c>
      <c r="O56" s="69" t="s">
        <v>242</v>
      </c>
      <c r="P56" s="131">
        <v>5</v>
      </c>
      <c r="Q56" s="134">
        <f t="shared" si="3"/>
        <v>10</v>
      </c>
      <c r="R56" s="428"/>
      <c r="S56" s="428"/>
      <c r="T56" s="133"/>
      <c r="U56" s="405"/>
      <c r="V56" s="135"/>
      <c r="W56" s="133"/>
      <c r="X56" s="405"/>
      <c r="Y56" s="405"/>
      <c r="Z56" s="135"/>
      <c r="AA56" s="136">
        <f t="shared" si="4"/>
        <v>0</v>
      </c>
      <c r="AB56" s="111"/>
      <c r="AC56" s="363"/>
      <c r="AD56" s="226">
        <f t="shared" si="0"/>
        <v>5183</v>
      </c>
    </row>
    <row r="57" spans="1:31" ht="217.5" outlineLevel="3" thickBot="1" x14ac:dyDescent="0.25">
      <c r="A57" s="199" t="s">
        <v>460</v>
      </c>
      <c r="B57" s="478"/>
      <c r="C57" s="480"/>
      <c r="D57" s="478"/>
      <c r="E57" s="405" t="s">
        <v>330</v>
      </c>
      <c r="F57" s="405" t="s">
        <v>461</v>
      </c>
      <c r="G57" s="405" t="s">
        <v>237</v>
      </c>
      <c r="H57" s="420" t="s">
        <v>238</v>
      </c>
      <c r="I57" s="164">
        <v>2</v>
      </c>
      <c r="J57" s="163" t="s">
        <v>332</v>
      </c>
      <c r="K57" s="165" t="s">
        <v>240</v>
      </c>
      <c r="L57" s="131">
        <v>1</v>
      </c>
      <c r="M57" s="132">
        <f t="shared" si="1"/>
        <v>2</v>
      </c>
      <c r="N57" s="133" t="s">
        <v>291</v>
      </c>
      <c r="O57" s="69" t="s">
        <v>242</v>
      </c>
      <c r="P57" s="131">
        <v>5</v>
      </c>
      <c r="Q57" s="134">
        <f t="shared" si="3"/>
        <v>10</v>
      </c>
      <c r="R57" s="428"/>
      <c r="S57" s="428"/>
      <c r="T57" s="133"/>
      <c r="U57" s="405"/>
      <c r="V57" s="135"/>
      <c r="W57" s="133"/>
      <c r="X57" s="405"/>
      <c r="Y57" s="405"/>
      <c r="Z57" s="135"/>
      <c r="AA57" s="136"/>
      <c r="AB57" s="111"/>
      <c r="AC57" s="363"/>
      <c r="AD57" s="226">
        <f t="shared" si="0"/>
        <v>5184</v>
      </c>
    </row>
    <row r="58" spans="1:31" ht="115.5" outlineLevel="3" thickBot="1" x14ac:dyDescent="0.25">
      <c r="A58" s="199" t="s">
        <v>462</v>
      </c>
      <c r="B58" s="477" t="s">
        <v>463</v>
      </c>
      <c r="C58" s="479" t="s">
        <v>464</v>
      </c>
      <c r="D58" s="477" t="s">
        <v>465</v>
      </c>
      <c r="E58" s="405" t="s">
        <v>425</v>
      </c>
      <c r="F58" s="405" t="s">
        <v>337</v>
      </c>
      <c r="G58" s="417" t="s">
        <v>252</v>
      </c>
      <c r="H58" s="420" t="s">
        <v>238</v>
      </c>
      <c r="I58" s="164">
        <v>1</v>
      </c>
      <c r="J58" s="129" t="s">
        <v>290</v>
      </c>
      <c r="K58" s="165" t="s">
        <v>466</v>
      </c>
      <c r="L58" s="131">
        <v>2</v>
      </c>
      <c r="M58" s="132">
        <f t="shared" si="1"/>
        <v>2</v>
      </c>
      <c r="N58" s="133" t="s">
        <v>291</v>
      </c>
      <c r="O58" s="69" t="s">
        <v>242</v>
      </c>
      <c r="P58" s="131">
        <v>5</v>
      </c>
      <c r="Q58" s="134">
        <f t="shared" si="3"/>
        <v>10</v>
      </c>
      <c r="R58" s="428"/>
      <c r="S58" s="428"/>
      <c r="T58" s="133"/>
      <c r="U58" s="405"/>
      <c r="V58" s="135"/>
      <c r="W58" s="133"/>
      <c r="X58" s="405"/>
      <c r="Y58" s="405"/>
      <c r="Z58" s="135"/>
      <c r="AA58" s="136"/>
      <c r="AB58" s="111"/>
      <c r="AC58" s="363"/>
      <c r="AD58" s="226">
        <f t="shared" si="0"/>
        <v>5185</v>
      </c>
    </row>
    <row r="59" spans="1:31" ht="153.75" outlineLevel="3" thickBot="1" x14ac:dyDescent="0.25">
      <c r="A59" s="243" t="s">
        <v>467</v>
      </c>
      <c r="B59" s="517"/>
      <c r="C59" s="514"/>
      <c r="D59" s="517"/>
      <c r="E59" s="405" t="s">
        <v>340</v>
      </c>
      <c r="F59" s="430" t="s">
        <v>468</v>
      </c>
      <c r="G59" s="405" t="s">
        <v>237</v>
      </c>
      <c r="H59" s="420" t="s">
        <v>238</v>
      </c>
      <c r="I59" s="164">
        <v>2</v>
      </c>
      <c r="J59" s="163" t="s">
        <v>402</v>
      </c>
      <c r="K59" s="165" t="s">
        <v>240</v>
      </c>
      <c r="L59" s="131">
        <v>2</v>
      </c>
      <c r="M59" s="132">
        <f t="shared" si="1"/>
        <v>4</v>
      </c>
      <c r="N59" s="133" t="s">
        <v>291</v>
      </c>
      <c r="O59" s="69" t="s">
        <v>242</v>
      </c>
      <c r="P59" s="131">
        <v>5</v>
      </c>
      <c r="Q59" s="134">
        <f t="shared" si="3"/>
        <v>20</v>
      </c>
      <c r="R59" s="428"/>
      <c r="S59" s="428"/>
      <c r="T59" s="133"/>
      <c r="U59" s="405"/>
      <c r="V59" s="135"/>
      <c r="W59" s="133"/>
      <c r="X59" s="405"/>
      <c r="Y59" s="405"/>
      <c r="Z59" s="135"/>
      <c r="AA59" s="136"/>
      <c r="AB59" s="111"/>
      <c r="AC59" s="363"/>
      <c r="AD59" s="226">
        <f t="shared" si="0"/>
        <v>5186</v>
      </c>
    </row>
    <row r="60" spans="1:31" ht="21" outlineLevel="2" thickBot="1" x14ac:dyDescent="0.25">
      <c r="A60" s="199"/>
      <c r="B60" s="117" t="s">
        <v>469</v>
      </c>
      <c r="C60" s="190"/>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9"/>
      <c r="AD60" s="226">
        <f t="shared" si="0"/>
        <v>0</v>
      </c>
    </row>
    <row r="61" spans="1:31" ht="153.75" outlineLevel="3" thickBot="1" x14ac:dyDescent="0.25">
      <c r="A61" s="199" t="s">
        <v>470</v>
      </c>
      <c r="B61" s="503" t="s">
        <v>471</v>
      </c>
      <c r="C61" s="505" t="s">
        <v>472</v>
      </c>
      <c r="D61" s="503" t="s">
        <v>473</v>
      </c>
      <c r="E61" s="417" t="s">
        <v>474</v>
      </c>
      <c r="F61" s="417" t="s">
        <v>475</v>
      </c>
      <c r="G61" s="405" t="s">
        <v>237</v>
      </c>
      <c r="H61" s="127" t="s">
        <v>238</v>
      </c>
      <c r="I61" s="128">
        <v>2</v>
      </c>
      <c r="J61" s="163" t="s">
        <v>476</v>
      </c>
      <c r="K61" s="130" t="s">
        <v>240</v>
      </c>
      <c r="L61" s="131">
        <v>1</v>
      </c>
      <c r="M61" s="132">
        <f t="shared" ref="M61:M89" si="10">I61*L61</f>
        <v>2</v>
      </c>
      <c r="N61" s="133" t="s">
        <v>291</v>
      </c>
      <c r="O61" s="69" t="s">
        <v>242</v>
      </c>
      <c r="P61" s="131">
        <v>5</v>
      </c>
      <c r="Q61" s="134">
        <f t="shared" ref="Q61:Q89" si="11">I61*L61*P61</f>
        <v>10</v>
      </c>
      <c r="R61" s="428"/>
      <c r="S61" s="428"/>
      <c r="T61" s="133"/>
      <c r="U61" s="405"/>
      <c r="V61" s="135"/>
      <c r="W61" s="133"/>
      <c r="X61" s="405"/>
      <c r="Y61" s="405"/>
      <c r="Z61" s="135"/>
      <c r="AA61" s="136">
        <f>X61*Y61*Z61</f>
        <v>0</v>
      </c>
      <c r="AB61" s="111"/>
      <c r="AC61" s="363"/>
      <c r="AD61" s="226">
        <f t="shared" si="0"/>
        <v>5187</v>
      </c>
    </row>
    <row r="62" spans="1:31" ht="153.75" outlineLevel="3" thickBot="1" x14ac:dyDescent="0.25">
      <c r="A62" s="199" t="s">
        <v>477</v>
      </c>
      <c r="B62" s="483"/>
      <c r="C62" s="484"/>
      <c r="D62" s="483"/>
      <c r="E62" s="417" t="s">
        <v>478</v>
      </c>
      <c r="F62" s="417" t="s">
        <v>479</v>
      </c>
      <c r="G62" s="405" t="s">
        <v>237</v>
      </c>
      <c r="H62" s="127" t="s">
        <v>238</v>
      </c>
      <c r="I62" s="128">
        <v>2</v>
      </c>
      <c r="J62" s="163" t="s">
        <v>476</v>
      </c>
      <c r="K62" s="130" t="s">
        <v>240</v>
      </c>
      <c r="L62" s="131">
        <v>1</v>
      </c>
      <c r="M62" s="132">
        <f t="shared" si="10"/>
        <v>2</v>
      </c>
      <c r="N62" s="133" t="s">
        <v>291</v>
      </c>
      <c r="O62" s="69" t="s">
        <v>242</v>
      </c>
      <c r="P62" s="131">
        <v>5</v>
      </c>
      <c r="Q62" s="134">
        <f t="shared" si="11"/>
        <v>10</v>
      </c>
      <c r="R62" s="428"/>
      <c r="S62" s="428"/>
      <c r="T62" s="133"/>
      <c r="U62" s="405"/>
      <c r="V62" s="135"/>
      <c r="W62" s="133"/>
      <c r="X62" s="405"/>
      <c r="Y62" s="405"/>
      <c r="Z62" s="135"/>
      <c r="AA62" s="136">
        <f>X62*Y62*Z62</f>
        <v>0</v>
      </c>
      <c r="AB62" s="111"/>
      <c r="AC62" s="363"/>
      <c r="AD62" s="226">
        <f t="shared" si="0"/>
        <v>5188</v>
      </c>
    </row>
    <row r="63" spans="1:31" ht="153.75" outlineLevel="3" thickBot="1" x14ac:dyDescent="0.25">
      <c r="A63" s="199" t="s">
        <v>480</v>
      </c>
      <c r="B63" s="478"/>
      <c r="C63" s="480"/>
      <c r="D63" s="478"/>
      <c r="E63" s="417" t="s">
        <v>481</v>
      </c>
      <c r="F63" s="417" t="s">
        <v>482</v>
      </c>
      <c r="G63" s="417" t="s">
        <v>252</v>
      </c>
      <c r="H63" s="127" t="s">
        <v>238</v>
      </c>
      <c r="I63" s="128">
        <v>1</v>
      </c>
      <c r="J63" s="163" t="s">
        <v>483</v>
      </c>
      <c r="K63" s="130" t="s">
        <v>240</v>
      </c>
      <c r="L63" s="138">
        <v>2</v>
      </c>
      <c r="M63" s="132">
        <f t="shared" si="10"/>
        <v>2</v>
      </c>
      <c r="N63" s="133" t="s">
        <v>291</v>
      </c>
      <c r="O63" s="69" t="s">
        <v>242</v>
      </c>
      <c r="P63" s="131">
        <v>5</v>
      </c>
      <c r="Q63" s="134">
        <f t="shared" si="11"/>
        <v>10</v>
      </c>
      <c r="R63" s="428"/>
      <c r="S63" s="428"/>
      <c r="T63" s="133"/>
      <c r="U63" s="405"/>
      <c r="V63" s="135"/>
      <c r="W63" s="133"/>
      <c r="X63" s="405"/>
      <c r="Y63" s="405"/>
      <c r="Z63" s="135"/>
      <c r="AA63" s="136">
        <f>X63*Y63*Z63</f>
        <v>0</v>
      </c>
      <c r="AB63" s="111"/>
      <c r="AC63" s="363"/>
      <c r="AD63" s="226">
        <f t="shared" si="0"/>
        <v>5189</v>
      </c>
    </row>
    <row r="64" spans="1:31" ht="153.75" outlineLevel="3" thickBot="1" x14ac:dyDescent="0.25">
      <c r="A64" s="199" t="s">
        <v>484</v>
      </c>
      <c r="B64" s="477" t="s">
        <v>485</v>
      </c>
      <c r="C64" s="479" t="s">
        <v>486</v>
      </c>
      <c r="D64" s="477" t="s">
        <v>487</v>
      </c>
      <c r="E64" s="417" t="s">
        <v>300</v>
      </c>
      <c r="F64" s="417" t="s">
        <v>488</v>
      </c>
      <c r="G64" s="405" t="s">
        <v>237</v>
      </c>
      <c r="H64" s="127" t="s">
        <v>238</v>
      </c>
      <c r="I64" s="128">
        <v>2</v>
      </c>
      <c r="J64" s="163" t="s">
        <v>302</v>
      </c>
      <c r="K64" s="130" t="s">
        <v>240</v>
      </c>
      <c r="L64" s="131">
        <v>1</v>
      </c>
      <c r="M64" s="132">
        <f>I64*L64</f>
        <v>2</v>
      </c>
      <c r="N64" s="133" t="s">
        <v>291</v>
      </c>
      <c r="O64" s="69" t="s">
        <v>242</v>
      </c>
      <c r="P64" s="131">
        <v>5</v>
      </c>
      <c r="Q64" s="134">
        <f t="shared" si="11"/>
        <v>10</v>
      </c>
      <c r="R64" s="428"/>
      <c r="S64" s="428"/>
      <c r="T64" s="133"/>
      <c r="U64" s="405"/>
      <c r="V64" s="135"/>
      <c r="W64" s="133"/>
      <c r="X64" s="405"/>
      <c r="Y64" s="405"/>
      <c r="Z64" s="135"/>
      <c r="AA64" s="136">
        <f t="shared" ref="AA64:AA86" si="12">X64*Y64*Z64</f>
        <v>0</v>
      </c>
      <c r="AB64" s="111"/>
      <c r="AC64" s="363"/>
      <c r="AD64" s="226">
        <f t="shared" si="0"/>
        <v>5190</v>
      </c>
    </row>
    <row r="65" spans="1:31" ht="153.75" outlineLevel="3" thickBot="1" x14ac:dyDescent="0.25">
      <c r="A65" s="199" t="s">
        <v>489</v>
      </c>
      <c r="B65" s="478"/>
      <c r="C65" s="480"/>
      <c r="D65" s="478"/>
      <c r="E65" s="417" t="s">
        <v>393</v>
      </c>
      <c r="F65" s="417" t="s">
        <v>490</v>
      </c>
      <c r="G65" s="405" t="s">
        <v>237</v>
      </c>
      <c r="H65" s="127" t="s">
        <v>238</v>
      </c>
      <c r="I65" s="128">
        <v>2</v>
      </c>
      <c r="J65" s="163" t="s">
        <v>307</v>
      </c>
      <c r="K65" s="130" t="s">
        <v>240</v>
      </c>
      <c r="L65" s="131">
        <v>1</v>
      </c>
      <c r="M65" s="132">
        <f t="shared" si="10"/>
        <v>2</v>
      </c>
      <c r="N65" s="133" t="s">
        <v>291</v>
      </c>
      <c r="O65" s="69" t="s">
        <v>242</v>
      </c>
      <c r="P65" s="131">
        <v>5</v>
      </c>
      <c r="Q65" s="134">
        <f t="shared" si="11"/>
        <v>10</v>
      </c>
      <c r="R65" s="428"/>
      <c r="S65" s="428"/>
      <c r="T65" s="133"/>
      <c r="U65" s="405"/>
      <c r="V65" s="135"/>
      <c r="W65" s="133"/>
      <c r="X65" s="405"/>
      <c r="Y65" s="405"/>
      <c r="Z65" s="135"/>
      <c r="AA65" s="136"/>
      <c r="AB65" s="111"/>
      <c r="AC65" s="363"/>
      <c r="AD65" s="226">
        <f t="shared" si="0"/>
        <v>5191</v>
      </c>
    </row>
    <row r="66" spans="1:31" ht="153.75" outlineLevel="3" thickBot="1" x14ac:dyDescent="0.25">
      <c r="A66" s="243" t="s">
        <v>491</v>
      </c>
      <c r="B66" s="516" t="s">
        <v>492</v>
      </c>
      <c r="C66" s="486" t="s">
        <v>493</v>
      </c>
      <c r="D66" s="489" t="s">
        <v>487</v>
      </c>
      <c r="E66" s="415" t="s">
        <v>300</v>
      </c>
      <c r="F66" s="430" t="s">
        <v>494</v>
      </c>
      <c r="G66" s="405" t="s">
        <v>237</v>
      </c>
      <c r="H66" s="127" t="s">
        <v>238</v>
      </c>
      <c r="I66" s="128">
        <v>2</v>
      </c>
      <c r="J66" s="163" t="s">
        <v>302</v>
      </c>
      <c r="K66" s="130" t="s">
        <v>240</v>
      </c>
      <c r="L66" s="131">
        <v>1</v>
      </c>
      <c r="M66" s="132">
        <f t="shared" si="10"/>
        <v>2</v>
      </c>
      <c r="N66" s="133" t="s">
        <v>291</v>
      </c>
      <c r="O66" s="69" t="s">
        <v>242</v>
      </c>
      <c r="P66" s="131">
        <v>5</v>
      </c>
      <c r="Q66" s="134">
        <f t="shared" si="11"/>
        <v>10</v>
      </c>
      <c r="R66" s="428"/>
      <c r="S66" s="428"/>
      <c r="T66" s="133"/>
      <c r="U66" s="405"/>
      <c r="V66" s="135"/>
      <c r="W66" s="133"/>
      <c r="X66" s="405"/>
      <c r="Y66" s="405"/>
      <c r="Z66" s="135"/>
      <c r="AA66" s="136">
        <f t="shared" si="12"/>
        <v>0</v>
      </c>
      <c r="AB66" s="111"/>
      <c r="AC66" s="363"/>
      <c r="AD66" s="226">
        <f t="shared" si="0"/>
        <v>5192</v>
      </c>
    </row>
    <row r="67" spans="1:31" ht="153.75" outlineLevel="3" thickBot="1" x14ac:dyDescent="0.25">
      <c r="A67" s="243" t="s">
        <v>495</v>
      </c>
      <c r="B67" s="568"/>
      <c r="C67" s="487"/>
      <c r="D67" s="491"/>
      <c r="E67" s="415" t="s">
        <v>393</v>
      </c>
      <c r="F67" s="430" t="s">
        <v>496</v>
      </c>
      <c r="G67" s="405" t="s">
        <v>237</v>
      </c>
      <c r="H67" s="127" t="s">
        <v>238</v>
      </c>
      <c r="I67" s="128">
        <v>2</v>
      </c>
      <c r="J67" s="163" t="s">
        <v>307</v>
      </c>
      <c r="K67" s="130" t="s">
        <v>240</v>
      </c>
      <c r="L67" s="131">
        <v>1</v>
      </c>
      <c r="M67" s="132">
        <f t="shared" si="10"/>
        <v>2</v>
      </c>
      <c r="N67" s="133" t="s">
        <v>291</v>
      </c>
      <c r="O67" s="69" t="s">
        <v>242</v>
      </c>
      <c r="P67" s="131">
        <v>5</v>
      </c>
      <c r="Q67" s="134">
        <f t="shared" si="11"/>
        <v>10</v>
      </c>
      <c r="R67" s="428"/>
      <c r="S67" s="428"/>
      <c r="T67" s="133"/>
      <c r="U67" s="405"/>
      <c r="V67" s="135"/>
      <c r="W67" s="133"/>
      <c r="X67" s="405"/>
      <c r="Y67" s="405"/>
      <c r="Z67" s="135"/>
      <c r="AA67" s="136"/>
      <c r="AB67" s="111"/>
      <c r="AC67" s="363"/>
      <c r="AD67" s="226">
        <f t="shared" si="0"/>
        <v>5193</v>
      </c>
    </row>
    <row r="68" spans="1:31" ht="179.25" outlineLevel="3" thickBot="1" x14ac:dyDescent="0.25">
      <c r="A68" s="199" t="s">
        <v>497</v>
      </c>
      <c r="B68" s="477" t="s">
        <v>498</v>
      </c>
      <c r="C68" s="479" t="s">
        <v>499</v>
      </c>
      <c r="D68" s="477" t="s">
        <v>500</v>
      </c>
      <c r="E68" s="417" t="s">
        <v>300</v>
      </c>
      <c r="F68" s="409" t="s">
        <v>501</v>
      </c>
      <c r="G68" s="405" t="s">
        <v>237</v>
      </c>
      <c r="H68" s="127" t="s">
        <v>238</v>
      </c>
      <c r="I68" s="128">
        <v>2</v>
      </c>
      <c r="J68" s="163" t="s">
        <v>302</v>
      </c>
      <c r="K68" s="130" t="s">
        <v>240</v>
      </c>
      <c r="L68" s="131">
        <v>1</v>
      </c>
      <c r="M68" s="132">
        <f t="shared" si="10"/>
        <v>2</v>
      </c>
      <c r="N68" s="133" t="s">
        <v>291</v>
      </c>
      <c r="O68" s="69" t="s">
        <v>242</v>
      </c>
      <c r="P68" s="131">
        <v>5</v>
      </c>
      <c r="Q68" s="134">
        <f t="shared" si="11"/>
        <v>10</v>
      </c>
      <c r="R68" s="428"/>
      <c r="S68" s="428"/>
      <c r="T68" s="133"/>
      <c r="U68" s="405"/>
      <c r="V68" s="135"/>
      <c r="W68" s="133"/>
      <c r="X68" s="405"/>
      <c r="Y68" s="405"/>
      <c r="Z68" s="135"/>
      <c r="AA68" s="136">
        <f t="shared" si="12"/>
        <v>0</v>
      </c>
      <c r="AB68" s="111"/>
      <c r="AC68" s="363"/>
      <c r="AD68" s="226">
        <f t="shared" si="0"/>
        <v>5194</v>
      </c>
    </row>
    <row r="69" spans="1:31" ht="166.5" outlineLevel="3" thickBot="1" x14ac:dyDescent="0.25">
      <c r="A69" s="199" t="s">
        <v>502</v>
      </c>
      <c r="B69" s="478"/>
      <c r="C69" s="480"/>
      <c r="D69" s="478"/>
      <c r="E69" s="417" t="s">
        <v>393</v>
      </c>
      <c r="F69" s="409" t="s">
        <v>503</v>
      </c>
      <c r="G69" s="417" t="s">
        <v>252</v>
      </c>
      <c r="H69" s="127" t="s">
        <v>238</v>
      </c>
      <c r="I69" s="128">
        <v>1</v>
      </c>
      <c r="J69" s="163" t="s">
        <v>307</v>
      </c>
      <c r="K69" s="130" t="s">
        <v>504</v>
      </c>
      <c r="L69" s="131">
        <v>1</v>
      </c>
      <c r="M69" s="132">
        <f t="shared" si="10"/>
        <v>1</v>
      </c>
      <c r="N69" s="133" t="s">
        <v>291</v>
      </c>
      <c r="O69" s="69" t="s">
        <v>242</v>
      </c>
      <c r="P69" s="131">
        <v>5</v>
      </c>
      <c r="Q69" s="134">
        <f t="shared" si="11"/>
        <v>5</v>
      </c>
      <c r="R69" s="428"/>
      <c r="S69" s="428"/>
      <c r="T69" s="133"/>
      <c r="U69" s="405"/>
      <c r="V69" s="135"/>
      <c r="W69" s="133"/>
      <c r="X69" s="405"/>
      <c r="Y69" s="405"/>
      <c r="Z69" s="135"/>
      <c r="AA69" s="136"/>
      <c r="AB69" s="111"/>
      <c r="AC69" s="363"/>
      <c r="AD69" s="226">
        <f t="shared" si="0"/>
        <v>5195</v>
      </c>
    </row>
    <row r="70" spans="1:31" ht="268.5" outlineLevel="3" thickBot="1" x14ac:dyDescent="0.25">
      <c r="A70" s="199" t="s">
        <v>505</v>
      </c>
      <c r="B70" s="477" t="s">
        <v>506</v>
      </c>
      <c r="C70" s="479" t="s">
        <v>507</v>
      </c>
      <c r="D70" s="477" t="s">
        <v>508</v>
      </c>
      <c r="E70" s="417" t="s">
        <v>300</v>
      </c>
      <c r="F70" s="409" t="s">
        <v>509</v>
      </c>
      <c r="G70" s="405" t="s">
        <v>237</v>
      </c>
      <c r="H70" s="127" t="s">
        <v>238</v>
      </c>
      <c r="I70" s="128">
        <v>2</v>
      </c>
      <c r="J70" s="163" t="s">
        <v>302</v>
      </c>
      <c r="K70" s="130" t="s">
        <v>240</v>
      </c>
      <c r="L70" s="131">
        <v>1</v>
      </c>
      <c r="M70" s="132">
        <f t="shared" si="10"/>
        <v>2</v>
      </c>
      <c r="N70" s="133" t="s">
        <v>291</v>
      </c>
      <c r="O70" s="69" t="s">
        <v>242</v>
      </c>
      <c r="P70" s="131">
        <v>5</v>
      </c>
      <c r="Q70" s="134">
        <f t="shared" si="11"/>
        <v>10</v>
      </c>
      <c r="R70" s="428"/>
      <c r="S70" s="428"/>
      <c r="T70" s="133"/>
      <c r="U70" s="405"/>
      <c r="V70" s="135"/>
      <c r="W70" s="133"/>
      <c r="X70" s="405"/>
      <c r="Y70" s="405"/>
      <c r="Z70" s="135"/>
      <c r="AA70" s="136">
        <f t="shared" si="12"/>
        <v>0</v>
      </c>
      <c r="AB70" s="111"/>
      <c r="AC70" s="363"/>
      <c r="AD70" s="226">
        <f t="shared" ref="AD70:AD133" si="13">VALUE(RIGHT((IF(A70="",0,A70)),5))</f>
        <v>5196</v>
      </c>
    </row>
    <row r="71" spans="1:31" ht="153.75" outlineLevel="3" thickBot="1" x14ac:dyDescent="0.25">
      <c r="A71" s="199" t="s">
        <v>510</v>
      </c>
      <c r="B71" s="478"/>
      <c r="C71" s="480"/>
      <c r="D71" s="478"/>
      <c r="E71" s="417" t="s">
        <v>393</v>
      </c>
      <c r="F71" s="409" t="s">
        <v>511</v>
      </c>
      <c r="G71" s="405" t="s">
        <v>237</v>
      </c>
      <c r="H71" s="127" t="s">
        <v>238</v>
      </c>
      <c r="I71" s="128">
        <v>2</v>
      </c>
      <c r="J71" s="163" t="s">
        <v>307</v>
      </c>
      <c r="K71" s="130" t="s">
        <v>240</v>
      </c>
      <c r="L71" s="131">
        <v>1</v>
      </c>
      <c r="M71" s="132">
        <f t="shared" si="10"/>
        <v>2</v>
      </c>
      <c r="N71" s="133" t="s">
        <v>291</v>
      </c>
      <c r="O71" s="69" t="s">
        <v>242</v>
      </c>
      <c r="P71" s="131">
        <v>5</v>
      </c>
      <c r="Q71" s="134">
        <f t="shared" si="11"/>
        <v>10</v>
      </c>
      <c r="R71" s="428"/>
      <c r="S71" s="428"/>
      <c r="T71" s="133"/>
      <c r="U71" s="405"/>
      <c r="V71" s="135"/>
      <c r="W71" s="133"/>
      <c r="X71" s="405"/>
      <c r="Y71" s="405"/>
      <c r="Z71" s="135"/>
      <c r="AA71" s="136"/>
      <c r="AB71" s="111"/>
      <c r="AC71" s="363"/>
      <c r="AD71" s="226">
        <f t="shared" si="13"/>
        <v>5197</v>
      </c>
    </row>
    <row r="72" spans="1:31" ht="153.75" outlineLevel="3" thickBot="1" x14ac:dyDescent="0.25">
      <c r="A72" s="199" t="s">
        <v>512</v>
      </c>
      <c r="B72" s="477" t="s">
        <v>513</v>
      </c>
      <c r="C72" s="479" t="s">
        <v>514</v>
      </c>
      <c r="D72" s="477" t="s">
        <v>515</v>
      </c>
      <c r="E72" s="417" t="s">
        <v>300</v>
      </c>
      <c r="F72" s="409" t="s">
        <v>516</v>
      </c>
      <c r="G72" s="417" t="s">
        <v>252</v>
      </c>
      <c r="H72" s="127" t="s">
        <v>238</v>
      </c>
      <c r="I72" s="128">
        <v>1</v>
      </c>
      <c r="J72" s="163" t="s">
        <v>302</v>
      </c>
      <c r="K72" s="130" t="s">
        <v>240</v>
      </c>
      <c r="L72" s="131">
        <v>1</v>
      </c>
      <c r="M72" s="132">
        <f t="shared" si="10"/>
        <v>1</v>
      </c>
      <c r="N72" s="133" t="s">
        <v>291</v>
      </c>
      <c r="O72" s="69" t="s">
        <v>242</v>
      </c>
      <c r="P72" s="131">
        <v>5</v>
      </c>
      <c r="Q72" s="134">
        <f t="shared" si="11"/>
        <v>5</v>
      </c>
      <c r="R72" s="428"/>
      <c r="S72" s="428"/>
      <c r="T72" s="133"/>
      <c r="U72" s="405"/>
      <c r="V72" s="135"/>
      <c r="W72" s="133"/>
      <c r="X72" s="405"/>
      <c r="Y72" s="405"/>
      <c r="Z72" s="135"/>
      <c r="AA72" s="136">
        <f t="shared" si="12"/>
        <v>0</v>
      </c>
      <c r="AB72" s="111"/>
      <c r="AC72" s="363"/>
      <c r="AD72" s="226">
        <f t="shared" si="13"/>
        <v>5198</v>
      </c>
    </row>
    <row r="73" spans="1:31" ht="153.75" outlineLevel="3" thickBot="1" x14ac:dyDescent="0.25">
      <c r="A73" s="199" t="s">
        <v>517</v>
      </c>
      <c r="B73" s="478"/>
      <c r="C73" s="480"/>
      <c r="D73" s="478"/>
      <c r="E73" s="417" t="s">
        <v>393</v>
      </c>
      <c r="F73" s="409" t="s">
        <v>518</v>
      </c>
      <c r="G73" s="417" t="s">
        <v>252</v>
      </c>
      <c r="H73" s="127" t="s">
        <v>238</v>
      </c>
      <c r="I73" s="128">
        <v>1</v>
      </c>
      <c r="J73" s="163" t="s">
        <v>307</v>
      </c>
      <c r="K73" s="130" t="s">
        <v>240</v>
      </c>
      <c r="L73" s="131">
        <v>1</v>
      </c>
      <c r="M73" s="132">
        <f t="shared" si="10"/>
        <v>1</v>
      </c>
      <c r="N73" s="133" t="s">
        <v>291</v>
      </c>
      <c r="O73" s="69" t="s">
        <v>242</v>
      </c>
      <c r="P73" s="131">
        <v>5</v>
      </c>
      <c r="Q73" s="134">
        <f t="shared" si="11"/>
        <v>5</v>
      </c>
      <c r="R73" s="428"/>
      <c r="S73" s="428"/>
      <c r="T73" s="133"/>
      <c r="U73" s="405"/>
      <c r="V73" s="135"/>
      <c r="W73" s="133"/>
      <c r="X73" s="405"/>
      <c r="Y73" s="405"/>
      <c r="Z73" s="135"/>
      <c r="AA73" s="136"/>
      <c r="AB73" s="111"/>
      <c r="AC73" s="363"/>
      <c r="AD73" s="226">
        <f t="shared" si="13"/>
        <v>5199</v>
      </c>
    </row>
    <row r="74" spans="1:31" ht="153.75" outlineLevel="3" thickBot="1" x14ac:dyDescent="0.25">
      <c r="A74" s="199" t="s">
        <v>519</v>
      </c>
      <c r="B74" s="477" t="s">
        <v>520</v>
      </c>
      <c r="C74" s="479" t="s">
        <v>521</v>
      </c>
      <c r="D74" s="477" t="s">
        <v>522</v>
      </c>
      <c r="E74" s="417" t="s">
        <v>275</v>
      </c>
      <c r="F74" s="417" t="s">
        <v>523</v>
      </c>
      <c r="G74" s="417" t="s">
        <v>252</v>
      </c>
      <c r="H74" s="127" t="s">
        <v>238</v>
      </c>
      <c r="I74" s="128">
        <v>1</v>
      </c>
      <c r="J74" s="163" t="s">
        <v>277</v>
      </c>
      <c r="K74" s="130" t="s">
        <v>240</v>
      </c>
      <c r="L74" s="131">
        <v>1</v>
      </c>
      <c r="M74" s="132">
        <f t="shared" si="10"/>
        <v>1</v>
      </c>
      <c r="N74" s="133" t="s">
        <v>291</v>
      </c>
      <c r="O74" s="69" t="s">
        <v>242</v>
      </c>
      <c r="P74" s="131">
        <v>5</v>
      </c>
      <c r="Q74" s="134">
        <f t="shared" si="11"/>
        <v>5</v>
      </c>
      <c r="R74" s="428"/>
      <c r="S74" s="428"/>
      <c r="T74" s="133"/>
      <c r="U74" s="405"/>
      <c r="V74" s="135"/>
      <c r="W74" s="133"/>
      <c r="X74" s="405"/>
      <c r="Y74" s="405"/>
      <c r="Z74" s="135"/>
      <c r="AA74" s="136">
        <f t="shared" si="12"/>
        <v>0</v>
      </c>
      <c r="AB74" s="111"/>
      <c r="AC74" s="363"/>
      <c r="AD74" s="226">
        <f t="shared" si="13"/>
        <v>5200</v>
      </c>
    </row>
    <row r="75" spans="1:31" ht="153.75" outlineLevel="3" thickBot="1" x14ac:dyDescent="0.25">
      <c r="A75" s="199" t="s">
        <v>524</v>
      </c>
      <c r="B75" s="478"/>
      <c r="C75" s="480"/>
      <c r="D75" s="478"/>
      <c r="E75" s="417" t="s">
        <v>279</v>
      </c>
      <c r="F75" s="417" t="s">
        <v>525</v>
      </c>
      <c r="G75" s="405" t="s">
        <v>237</v>
      </c>
      <c r="H75" s="127" t="s">
        <v>238</v>
      </c>
      <c r="I75" s="128">
        <v>2</v>
      </c>
      <c r="J75" s="163" t="s">
        <v>412</v>
      </c>
      <c r="K75" s="130" t="s">
        <v>240</v>
      </c>
      <c r="L75" s="131">
        <v>1</v>
      </c>
      <c r="M75" s="132">
        <f t="shared" si="10"/>
        <v>2</v>
      </c>
      <c r="N75" s="133" t="s">
        <v>291</v>
      </c>
      <c r="O75" s="69" t="s">
        <v>242</v>
      </c>
      <c r="P75" s="131">
        <v>5</v>
      </c>
      <c r="Q75" s="134">
        <f t="shared" si="11"/>
        <v>10</v>
      </c>
      <c r="R75" s="428"/>
      <c r="S75" s="428"/>
      <c r="T75" s="133"/>
      <c r="U75" s="405"/>
      <c r="V75" s="135"/>
      <c r="W75" s="133"/>
      <c r="X75" s="405"/>
      <c r="Y75" s="405"/>
      <c r="Z75" s="135"/>
      <c r="AA75" s="136"/>
      <c r="AB75" s="111"/>
      <c r="AC75" s="363"/>
      <c r="AD75" s="226">
        <f t="shared" si="13"/>
        <v>5201</v>
      </c>
    </row>
    <row r="76" spans="1:31" s="144" customFormat="1" ht="153.75" outlineLevel="3" thickBot="1" x14ac:dyDescent="0.25">
      <c r="A76" s="200" t="s">
        <v>526</v>
      </c>
      <c r="B76" s="485" t="s">
        <v>527</v>
      </c>
      <c r="C76" s="566" t="s">
        <v>528</v>
      </c>
      <c r="D76" s="485" t="s">
        <v>529</v>
      </c>
      <c r="E76" s="337" t="s">
        <v>300</v>
      </c>
      <c r="F76" s="337" t="s">
        <v>530</v>
      </c>
      <c r="G76" s="417" t="s">
        <v>252</v>
      </c>
      <c r="H76" s="148" t="s">
        <v>238</v>
      </c>
      <c r="I76" s="149">
        <v>1</v>
      </c>
      <c r="J76" s="176" t="s">
        <v>302</v>
      </c>
      <c r="K76" s="151" t="s">
        <v>240</v>
      </c>
      <c r="L76" s="152">
        <v>1</v>
      </c>
      <c r="M76" s="153">
        <f t="shared" si="10"/>
        <v>1</v>
      </c>
      <c r="N76" s="154" t="s">
        <v>291</v>
      </c>
      <c r="O76" s="155" t="s">
        <v>242</v>
      </c>
      <c r="P76" s="152">
        <v>5</v>
      </c>
      <c r="Q76" s="156">
        <f t="shared" si="11"/>
        <v>5</v>
      </c>
      <c r="R76" s="197"/>
      <c r="S76" s="197"/>
      <c r="T76" s="154"/>
      <c r="U76" s="414"/>
      <c r="V76" s="157"/>
      <c r="W76" s="154"/>
      <c r="X76" s="414"/>
      <c r="Y76" s="414"/>
      <c r="Z76" s="157"/>
      <c r="AA76" s="158">
        <f t="shared" si="12"/>
        <v>0</v>
      </c>
      <c r="AB76" s="159"/>
      <c r="AC76" s="366"/>
      <c r="AD76" s="226">
        <f t="shared" si="13"/>
        <v>5202</v>
      </c>
      <c r="AE76" s="350"/>
    </row>
    <row r="77" spans="1:31" s="144" customFormat="1" ht="153.75" outlineLevel="3" thickBot="1" x14ac:dyDescent="0.25">
      <c r="A77" s="200" t="s">
        <v>531</v>
      </c>
      <c r="B77" s="515"/>
      <c r="C77" s="567"/>
      <c r="D77" s="515"/>
      <c r="E77" s="337" t="s">
        <v>393</v>
      </c>
      <c r="F77" s="337" t="s">
        <v>530</v>
      </c>
      <c r="G77" s="417" t="s">
        <v>252</v>
      </c>
      <c r="H77" s="148" t="s">
        <v>238</v>
      </c>
      <c r="I77" s="149">
        <v>1</v>
      </c>
      <c r="J77" s="176" t="s">
        <v>307</v>
      </c>
      <c r="K77" s="151" t="s">
        <v>240</v>
      </c>
      <c r="L77" s="152">
        <v>1</v>
      </c>
      <c r="M77" s="153">
        <f t="shared" si="10"/>
        <v>1</v>
      </c>
      <c r="N77" s="154" t="s">
        <v>291</v>
      </c>
      <c r="O77" s="155" t="s">
        <v>242</v>
      </c>
      <c r="P77" s="152">
        <v>5</v>
      </c>
      <c r="Q77" s="156">
        <f t="shared" si="11"/>
        <v>5</v>
      </c>
      <c r="R77" s="197"/>
      <c r="S77" s="197"/>
      <c r="T77" s="154"/>
      <c r="U77" s="414"/>
      <c r="V77" s="157"/>
      <c r="W77" s="154"/>
      <c r="X77" s="414"/>
      <c r="Y77" s="414"/>
      <c r="Z77" s="157"/>
      <c r="AA77" s="158"/>
      <c r="AB77" s="159"/>
      <c r="AC77" s="366"/>
      <c r="AD77" s="226">
        <f t="shared" si="13"/>
        <v>5203</v>
      </c>
      <c r="AE77" s="350"/>
    </row>
    <row r="78" spans="1:31" ht="153.75" outlineLevel="3" thickBot="1" x14ac:dyDescent="0.25">
      <c r="A78" s="199" t="s">
        <v>532</v>
      </c>
      <c r="B78" s="477" t="s">
        <v>533</v>
      </c>
      <c r="C78" s="479" t="s">
        <v>534</v>
      </c>
      <c r="D78" s="477" t="s">
        <v>535</v>
      </c>
      <c r="E78" s="417" t="s">
        <v>536</v>
      </c>
      <c r="F78" s="417" t="s">
        <v>537</v>
      </c>
      <c r="G78" s="417" t="s">
        <v>252</v>
      </c>
      <c r="H78" s="127" t="s">
        <v>238</v>
      </c>
      <c r="I78" s="128">
        <v>1</v>
      </c>
      <c r="J78" s="163" t="s">
        <v>277</v>
      </c>
      <c r="K78" s="130" t="s">
        <v>240</v>
      </c>
      <c r="L78" s="131">
        <v>1</v>
      </c>
      <c r="M78" s="132">
        <f t="shared" si="10"/>
        <v>1</v>
      </c>
      <c r="N78" s="133" t="s">
        <v>291</v>
      </c>
      <c r="O78" s="69" t="s">
        <v>242</v>
      </c>
      <c r="P78" s="131">
        <v>5</v>
      </c>
      <c r="Q78" s="134">
        <f>P78*L78*I78</f>
        <v>5</v>
      </c>
      <c r="R78" s="428"/>
      <c r="S78" s="428"/>
      <c r="T78" s="133"/>
      <c r="U78" s="405"/>
      <c r="V78" s="135"/>
      <c r="W78" s="133"/>
      <c r="X78" s="405"/>
      <c r="Y78" s="405"/>
      <c r="Z78" s="135"/>
      <c r="AA78" s="136"/>
      <c r="AB78" s="111"/>
      <c r="AC78" s="363"/>
      <c r="AD78" s="226">
        <f t="shared" si="13"/>
        <v>5204</v>
      </c>
    </row>
    <row r="79" spans="1:31" ht="153.75" outlineLevel="3" thickBot="1" x14ac:dyDescent="0.25">
      <c r="A79" s="199" t="s">
        <v>538</v>
      </c>
      <c r="B79" s="478"/>
      <c r="C79" s="480"/>
      <c r="D79" s="478"/>
      <c r="E79" s="417" t="s">
        <v>279</v>
      </c>
      <c r="F79" s="417" t="s">
        <v>539</v>
      </c>
      <c r="G79" s="417" t="s">
        <v>252</v>
      </c>
      <c r="H79" s="127" t="s">
        <v>238</v>
      </c>
      <c r="I79" s="128">
        <v>1</v>
      </c>
      <c r="J79" s="163" t="s">
        <v>412</v>
      </c>
      <c r="K79" s="130" t="s">
        <v>240</v>
      </c>
      <c r="L79" s="131">
        <v>1</v>
      </c>
      <c r="M79" s="132">
        <f t="shared" si="10"/>
        <v>1</v>
      </c>
      <c r="N79" s="133" t="s">
        <v>291</v>
      </c>
      <c r="O79" s="69" t="s">
        <v>242</v>
      </c>
      <c r="P79" s="131">
        <v>5</v>
      </c>
      <c r="Q79" s="134">
        <f t="shared" ref="Q79" si="14">I79*L79*P79</f>
        <v>5</v>
      </c>
      <c r="R79" s="428"/>
      <c r="S79" s="428"/>
      <c r="T79" s="133"/>
      <c r="U79" s="405"/>
      <c r="V79" s="135"/>
      <c r="W79" s="133"/>
      <c r="X79" s="405"/>
      <c r="Y79" s="405"/>
      <c r="Z79" s="135"/>
      <c r="AA79" s="136"/>
      <c r="AB79" s="111"/>
      <c r="AC79" s="363"/>
      <c r="AD79" s="226">
        <f t="shared" si="13"/>
        <v>5205</v>
      </c>
    </row>
    <row r="80" spans="1:31" ht="153.75" outlineLevel="3" thickBot="1" x14ac:dyDescent="0.25">
      <c r="A80" s="199" t="s">
        <v>540</v>
      </c>
      <c r="B80" s="569" t="s">
        <v>541</v>
      </c>
      <c r="C80" s="499" t="s">
        <v>542</v>
      </c>
      <c r="D80" s="571" t="s">
        <v>543</v>
      </c>
      <c r="E80" s="417" t="s">
        <v>275</v>
      </c>
      <c r="F80" s="417" t="s">
        <v>537</v>
      </c>
      <c r="G80" s="417" t="s">
        <v>252</v>
      </c>
      <c r="H80" s="127" t="s">
        <v>238</v>
      </c>
      <c r="I80" s="128">
        <v>1</v>
      </c>
      <c r="J80" s="163" t="s">
        <v>277</v>
      </c>
      <c r="K80" s="130" t="s">
        <v>240</v>
      </c>
      <c r="L80" s="131">
        <v>1</v>
      </c>
      <c r="M80" s="132">
        <f t="shared" si="10"/>
        <v>1</v>
      </c>
      <c r="N80" s="133" t="s">
        <v>291</v>
      </c>
      <c r="O80" s="69" t="s">
        <v>242</v>
      </c>
      <c r="P80" s="131">
        <v>5</v>
      </c>
      <c r="Q80" s="134">
        <f t="shared" si="11"/>
        <v>5</v>
      </c>
      <c r="R80" s="428"/>
      <c r="S80" s="428"/>
      <c r="T80" s="133"/>
      <c r="U80" s="405"/>
      <c r="V80" s="135"/>
      <c r="W80" s="133"/>
      <c r="X80" s="405"/>
      <c r="Y80" s="405"/>
      <c r="Z80" s="135"/>
      <c r="AA80" s="136">
        <f t="shared" si="12"/>
        <v>0</v>
      </c>
      <c r="AB80" s="111"/>
      <c r="AC80" s="363"/>
      <c r="AD80" s="226">
        <f t="shared" si="13"/>
        <v>5206</v>
      </c>
    </row>
    <row r="81" spans="1:31" ht="153.75" outlineLevel="3" thickBot="1" x14ac:dyDescent="0.25">
      <c r="A81" s="199" t="s">
        <v>544</v>
      </c>
      <c r="B81" s="570"/>
      <c r="C81" s="500"/>
      <c r="D81" s="572"/>
      <c r="E81" s="417" t="s">
        <v>279</v>
      </c>
      <c r="F81" s="405" t="s">
        <v>545</v>
      </c>
      <c r="G81" s="417" t="s">
        <v>252</v>
      </c>
      <c r="H81" s="127" t="s">
        <v>238</v>
      </c>
      <c r="I81" s="128">
        <v>1</v>
      </c>
      <c r="J81" s="163" t="s">
        <v>412</v>
      </c>
      <c r="K81" s="130" t="s">
        <v>240</v>
      </c>
      <c r="L81" s="131">
        <v>1</v>
      </c>
      <c r="M81" s="132">
        <f t="shared" si="10"/>
        <v>1</v>
      </c>
      <c r="N81" s="133" t="s">
        <v>291</v>
      </c>
      <c r="O81" s="69" t="s">
        <v>242</v>
      </c>
      <c r="P81" s="131">
        <v>5</v>
      </c>
      <c r="Q81" s="134">
        <f t="shared" si="11"/>
        <v>5</v>
      </c>
      <c r="R81" s="428"/>
      <c r="S81" s="428"/>
      <c r="T81" s="133"/>
      <c r="U81" s="405"/>
      <c r="V81" s="135"/>
      <c r="W81" s="133"/>
      <c r="X81" s="405"/>
      <c r="Y81" s="405"/>
      <c r="Z81" s="135"/>
      <c r="AA81" s="136"/>
      <c r="AB81" s="111"/>
      <c r="AC81" s="363"/>
      <c r="AD81" s="226">
        <f t="shared" si="13"/>
        <v>5207</v>
      </c>
    </row>
    <row r="82" spans="1:31" s="303" customFormat="1" ht="153.75" outlineLevel="3" thickBot="1" x14ac:dyDescent="0.25">
      <c r="A82" s="199" t="s">
        <v>546</v>
      </c>
      <c r="B82" s="477" t="s">
        <v>547</v>
      </c>
      <c r="C82" s="479" t="s">
        <v>548</v>
      </c>
      <c r="D82" s="477" t="s">
        <v>549</v>
      </c>
      <c r="E82" s="405" t="s">
        <v>275</v>
      </c>
      <c r="F82" s="405" t="s">
        <v>537</v>
      </c>
      <c r="G82" s="405" t="s">
        <v>252</v>
      </c>
      <c r="H82" s="420" t="s">
        <v>238</v>
      </c>
      <c r="I82" s="164">
        <v>1</v>
      </c>
      <c r="J82" s="163" t="s">
        <v>277</v>
      </c>
      <c r="K82" s="165" t="s">
        <v>240</v>
      </c>
      <c r="L82" s="138">
        <v>1</v>
      </c>
      <c r="M82" s="166">
        <f t="shared" si="10"/>
        <v>1</v>
      </c>
      <c r="N82" s="133" t="s">
        <v>241</v>
      </c>
      <c r="O82" s="420" t="s">
        <v>242</v>
      </c>
      <c r="P82" s="138">
        <v>5</v>
      </c>
      <c r="Q82" s="225">
        <f t="shared" si="11"/>
        <v>5</v>
      </c>
      <c r="R82" s="428"/>
      <c r="S82" s="428"/>
      <c r="T82" s="133"/>
      <c r="U82" s="405"/>
      <c r="V82" s="135"/>
      <c r="W82" s="133"/>
      <c r="X82" s="405"/>
      <c r="Y82" s="405"/>
      <c r="Z82" s="135"/>
      <c r="AA82" s="136"/>
      <c r="AB82" s="111"/>
      <c r="AC82" s="226"/>
      <c r="AD82" s="226">
        <f t="shared" si="13"/>
        <v>12380</v>
      </c>
      <c r="AE82" s="227"/>
    </row>
    <row r="83" spans="1:31" s="303" customFormat="1" ht="204.75" outlineLevel="3" thickBot="1" x14ac:dyDescent="0.25">
      <c r="A83" s="199" t="s">
        <v>550</v>
      </c>
      <c r="B83" s="478"/>
      <c r="C83" s="480"/>
      <c r="D83" s="478"/>
      <c r="E83" s="405" t="s">
        <v>279</v>
      </c>
      <c r="F83" s="405" t="s">
        <v>551</v>
      </c>
      <c r="G83" s="405" t="s">
        <v>237</v>
      </c>
      <c r="H83" s="420" t="s">
        <v>238</v>
      </c>
      <c r="I83" s="164">
        <v>2</v>
      </c>
      <c r="J83" s="163" t="s">
        <v>281</v>
      </c>
      <c r="K83" s="165" t="s">
        <v>282</v>
      </c>
      <c r="L83" s="138">
        <v>1</v>
      </c>
      <c r="M83" s="166">
        <f t="shared" si="10"/>
        <v>2</v>
      </c>
      <c r="N83" s="133" t="s">
        <v>283</v>
      </c>
      <c r="O83" s="420" t="s">
        <v>242</v>
      </c>
      <c r="P83" s="138">
        <v>5</v>
      </c>
      <c r="Q83" s="225">
        <f t="shared" si="11"/>
        <v>10</v>
      </c>
      <c r="R83" s="428"/>
      <c r="S83" s="428"/>
      <c r="T83" s="133"/>
      <c r="U83" s="405"/>
      <c r="V83" s="135"/>
      <c r="W83" s="133"/>
      <c r="X83" s="405"/>
      <c r="Y83" s="405"/>
      <c r="Z83" s="135"/>
      <c r="AA83" s="136"/>
      <c r="AB83" s="111"/>
      <c r="AC83" s="226"/>
      <c r="AD83" s="226">
        <f t="shared" si="13"/>
        <v>12381</v>
      </c>
      <c r="AE83" s="227"/>
    </row>
    <row r="84" spans="1:31" s="303" customFormat="1" ht="153.75" outlineLevel="3" thickBot="1" x14ac:dyDescent="0.25">
      <c r="A84" s="245" t="s">
        <v>552</v>
      </c>
      <c r="B84" s="518" t="s">
        <v>553</v>
      </c>
      <c r="C84" s="494" t="s">
        <v>554</v>
      </c>
      <c r="D84" s="518" t="s">
        <v>555</v>
      </c>
      <c r="E84" s="409" t="s">
        <v>275</v>
      </c>
      <c r="F84" s="409" t="s">
        <v>556</v>
      </c>
      <c r="G84" s="417" t="s">
        <v>252</v>
      </c>
      <c r="H84" s="295" t="s">
        <v>238</v>
      </c>
      <c r="I84" s="296">
        <v>1</v>
      </c>
      <c r="J84" s="297" t="s">
        <v>277</v>
      </c>
      <c r="K84" s="298" t="s">
        <v>240</v>
      </c>
      <c r="L84" s="234">
        <v>1</v>
      </c>
      <c r="M84" s="231">
        <f t="shared" si="10"/>
        <v>1</v>
      </c>
      <c r="N84" s="232" t="s">
        <v>241</v>
      </c>
      <c r="O84" s="233" t="s">
        <v>242</v>
      </c>
      <c r="P84" s="234">
        <v>5</v>
      </c>
      <c r="Q84" s="235">
        <f t="shared" si="11"/>
        <v>5</v>
      </c>
      <c r="R84" s="299"/>
      <c r="S84" s="299"/>
      <c r="T84" s="232"/>
      <c r="U84" s="409"/>
      <c r="V84" s="300"/>
      <c r="W84" s="232"/>
      <c r="X84" s="409"/>
      <c r="Y84" s="409"/>
      <c r="Z84" s="300"/>
      <c r="AA84" s="136"/>
      <c r="AB84" s="302"/>
      <c r="AC84" s="367"/>
      <c r="AD84" s="226">
        <f t="shared" si="13"/>
        <v>10923</v>
      </c>
      <c r="AE84" s="239"/>
    </row>
    <row r="85" spans="1:31" s="303" customFormat="1" ht="153.75" outlineLevel="3" thickBot="1" x14ac:dyDescent="0.25">
      <c r="A85" s="245" t="s">
        <v>557</v>
      </c>
      <c r="B85" s="518"/>
      <c r="C85" s="495"/>
      <c r="D85" s="518"/>
      <c r="E85" s="409" t="s">
        <v>279</v>
      </c>
      <c r="F85" s="409" t="s">
        <v>558</v>
      </c>
      <c r="G85" s="405" t="s">
        <v>237</v>
      </c>
      <c r="H85" s="295" t="s">
        <v>238</v>
      </c>
      <c r="I85" s="296">
        <v>2</v>
      </c>
      <c r="J85" s="297" t="s">
        <v>412</v>
      </c>
      <c r="K85" s="298" t="s">
        <v>240</v>
      </c>
      <c r="L85" s="234">
        <v>1</v>
      </c>
      <c r="M85" s="231">
        <f t="shared" si="10"/>
        <v>2</v>
      </c>
      <c r="N85" s="232" t="s">
        <v>291</v>
      </c>
      <c r="O85" s="233" t="s">
        <v>242</v>
      </c>
      <c r="P85" s="234">
        <v>5</v>
      </c>
      <c r="Q85" s="235">
        <f t="shared" si="11"/>
        <v>10</v>
      </c>
      <c r="R85" s="299"/>
      <c r="S85" s="299"/>
      <c r="T85" s="232"/>
      <c r="U85" s="409"/>
      <c r="V85" s="300"/>
      <c r="W85" s="232"/>
      <c r="X85" s="409"/>
      <c r="Y85" s="409"/>
      <c r="Z85" s="300"/>
      <c r="AA85" s="136"/>
      <c r="AB85" s="302"/>
      <c r="AC85" s="367"/>
      <c r="AD85" s="226">
        <f t="shared" si="13"/>
        <v>10924</v>
      </c>
      <c r="AE85" s="239"/>
    </row>
    <row r="86" spans="1:31" ht="153.75" outlineLevel="3" thickBot="1" x14ac:dyDescent="0.25">
      <c r="A86" s="245" t="s">
        <v>559</v>
      </c>
      <c r="B86" s="518" t="s">
        <v>560</v>
      </c>
      <c r="C86" s="494" t="s">
        <v>561</v>
      </c>
      <c r="D86" s="492" t="s">
        <v>562</v>
      </c>
      <c r="E86" s="409" t="s">
        <v>300</v>
      </c>
      <c r="F86" s="409" t="s">
        <v>563</v>
      </c>
      <c r="G86" s="417" t="s">
        <v>252</v>
      </c>
      <c r="H86" s="295" t="s">
        <v>238</v>
      </c>
      <c r="I86" s="296">
        <v>1</v>
      </c>
      <c r="J86" s="297" t="s">
        <v>302</v>
      </c>
      <c r="K86" s="298" t="s">
        <v>240</v>
      </c>
      <c r="L86" s="234">
        <v>1</v>
      </c>
      <c r="M86" s="231">
        <f t="shared" ref="M86:M87" si="15">I86*L86</f>
        <v>1</v>
      </c>
      <c r="N86" s="232" t="s">
        <v>291</v>
      </c>
      <c r="O86" s="233" t="s">
        <v>242</v>
      </c>
      <c r="P86" s="234">
        <v>5</v>
      </c>
      <c r="Q86" s="235">
        <f t="shared" si="11"/>
        <v>5</v>
      </c>
      <c r="R86" s="428"/>
      <c r="S86" s="428"/>
      <c r="T86" s="133"/>
      <c r="U86" s="405"/>
      <c r="V86" s="135"/>
      <c r="W86" s="133"/>
      <c r="X86" s="405"/>
      <c r="Y86" s="405"/>
      <c r="Z86" s="135"/>
      <c r="AA86" s="136">
        <f t="shared" si="12"/>
        <v>0</v>
      </c>
      <c r="AB86" s="111"/>
      <c r="AC86" s="363"/>
      <c r="AD86" s="226">
        <f t="shared" si="13"/>
        <v>10925</v>
      </c>
    </row>
    <row r="87" spans="1:31" ht="153.75" outlineLevel="3" thickBot="1" x14ac:dyDescent="0.25">
      <c r="A87" s="199" t="s">
        <v>564</v>
      </c>
      <c r="B87" s="506"/>
      <c r="C87" s="480"/>
      <c r="D87" s="517"/>
      <c r="E87" s="405" t="s">
        <v>393</v>
      </c>
      <c r="F87" s="405" t="s">
        <v>565</v>
      </c>
      <c r="G87" s="405" t="s">
        <v>237</v>
      </c>
      <c r="H87" s="420" t="s">
        <v>238</v>
      </c>
      <c r="I87" s="164">
        <v>2</v>
      </c>
      <c r="J87" s="163" t="s">
        <v>307</v>
      </c>
      <c r="K87" s="165" t="s">
        <v>240</v>
      </c>
      <c r="L87" s="138">
        <v>1</v>
      </c>
      <c r="M87" s="231">
        <f t="shared" si="15"/>
        <v>2</v>
      </c>
      <c r="N87" s="232" t="s">
        <v>291</v>
      </c>
      <c r="O87" s="233" t="s">
        <v>242</v>
      </c>
      <c r="P87" s="234">
        <v>5</v>
      </c>
      <c r="Q87" s="235">
        <f t="shared" si="11"/>
        <v>10</v>
      </c>
      <c r="R87" s="428"/>
      <c r="S87" s="428"/>
      <c r="T87" s="133"/>
      <c r="U87" s="405"/>
      <c r="V87" s="135"/>
      <c r="W87" s="133"/>
      <c r="X87" s="405"/>
      <c r="Y87" s="405"/>
      <c r="Z87" s="135"/>
      <c r="AA87" s="136"/>
      <c r="AB87" s="111"/>
      <c r="AC87" s="363"/>
      <c r="AD87" s="226">
        <f t="shared" si="13"/>
        <v>10926</v>
      </c>
    </row>
    <row r="88" spans="1:31" ht="153.75" outlineLevel="3" thickBot="1" x14ac:dyDescent="0.25">
      <c r="A88" s="199" t="s">
        <v>566</v>
      </c>
      <c r="B88" s="477" t="s">
        <v>567</v>
      </c>
      <c r="C88" s="479" t="s">
        <v>568</v>
      </c>
      <c r="D88" s="477" t="s">
        <v>569</v>
      </c>
      <c r="E88" s="405" t="s">
        <v>300</v>
      </c>
      <c r="F88" s="405" t="s">
        <v>570</v>
      </c>
      <c r="G88" s="405" t="s">
        <v>237</v>
      </c>
      <c r="H88" s="420" t="s">
        <v>238</v>
      </c>
      <c r="I88" s="164">
        <v>2</v>
      </c>
      <c r="J88" s="163" t="s">
        <v>302</v>
      </c>
      <c r="K88" s="165" t="s">
        <v>240</v>
      </c>
      <c r="L88" s="138">
        <v>1</v>
      </c>
      <c r="M88" s="132">
        <f t="shared" si="10"/>
        <v>2</v>
      </c>
      <c r="N88" s="133" t="s">
        <v>291</v>
      </c>
      <c r="O88" s="69" t="s">
        <v>242</v>
      </c>
      <c r="P88" s="131">
        <v>5</v>
      </c>
      <c r="Q88" s="134">
        <f t="shared" si="11"/>
        <v>10</v>
      </c>
      <c r="R88" s="428"/>
      <c r="S88" s="428"/>
      <c r="T88" s="133"/>
      <c r="U88" s="405"/>
      <c r="V88" s="135"/>
      <c r="W88" s="133"/>
      <c r="X88" s="405"/>
      <c r="Y88" s="405"/>
      <c r="Z88" s="135"/>
      <c r="AA88" s="136"/>
      <c r="AB88" s="111"/>
      <c r="AD88" s="226">
        <f t="shared" si="13"/>
        <v>5208</v>
      </c>
    </row>
    <row r="89" spans="1:31" ht="192" outlineLevel="3" thickBot="1" x14ac:dyDescent="0.25">
      <c r="A89" s="199" t="s">
        <v>571</v>
      </c>
      <c r="B89" s="517"/>
      <c r="C89" s="514"/>
      <c r="D89" s="517"/>
      <c r="E89" s="405" t="s">
        <v>393</v>
      </c>
      <c r="F89" s="405" t="s">
        <v>572</v>
      </c>
      <c r="G89" s="405" t="s">
        <v>237</v>
      </c>
      <c r="H89" s="420" t="s">
        <v>238</v>
      </c>
      <c r="I89" s="164">
        <v>2</v>
      </c>
      <c r="J89" s="163" t="s">
        <v>307</v>
      </c>
      <c r="K89" s="165" t="s">
        <v>240</v>
      </c>
      <c r="L89" s="138">
        <v>1</v>
      </c>
      <c r="M89" s="132">
        <f t="shared" si="10"/>
        <v>2</v>
      </c>
      <c r="N89" s="133" t="s">
        <v>291</v>
      </c>
      <c r="O89" s="69" t="s">
        <v>242</v>
      </c>
      <c r="P89" s="131">
        <v>5</v>
      </c>
      <c r="Q89" s="134">
        <f t="shared" si="11"/>
        <v>10</v>
      </c>
      <c r="R89" s="428"/>
      <c r="S89" s="428"/>
      <c r="T89" s="133"/>
      <c r="U89" s="405"/>
      <c r="V89" s="135"/>
      <c r="W89" s="133"/>
      <c r="X89" s="405"/>
      <c r="Y89" s="405"/>
      <c r="Z89" s="135"/>
      <c r="AA89" s="136">
        <f>X89*Y89*Z89</f>
        <v>0</v>
      </c>
      <c r="AB89" s="111"/>
      <c r="AC89" s="363"/>
      <c r="AD89" s="226">
        <f t="shared" si="13"/>
        <v>5209</v>
      </c>
    </row>
    <row r="90" spans="1:31" ht="21" outlineLevel="2" thickBot="1" x14ac:dyDescent="0.25">
      <c r="A90" s="199"/>
      <c r="B90" s="117" t="s">
        <v>573</v>
      </c>
      <c r="C90" s="190"/>
      <c r="D90" s="118"/>
      <c r="E90" s="118"/>
      <c r="F90" s="118"/>
      <c r="G90" s="118"/>
      <c r="H90" s="118"/>
      <c r="I90" s="118"/>
      <c r="J90" s="118"/>
      <c r="K90" s="118"/>
      <c r="L90" s="118"/>
      <c r="M90" s="118"/>
      <c r="N90" s="118"/>
      <c r="O90" s="118"/>
      <c r="P90" s="118"/>
      <c r="Q90" s="118"/>
      <c r="R90" s="118"/>
      <c r="S90" s="118"/>
      <c r="T90" s="118"/>
      <c r="U90" s="118"/>
      <c r="V90" s="118"/>
      <c r="W90" s="118"/>
      <c r="X90" s="118"/>
      <c r="Y90" s="118"/>
      <c r="Z90" s="118"/>
      <c r="AA90" s="118"/>
      <c r="AB90" s="119"/>
      <c r="AC90" s="363"/>
      <c r="AD90" s="226">
        <f t="shared" si="13"/>
        <v>0</v>
      </c>
    </row>
    <row r="91" spans="1:31" ht="192" outlineLevel="3" thickBot="1" x14ac:dyDescent="0.25">
      <c r="A91" s="252" t="s">
        <v>574</v>
      </c>
      <c r="B91" s="573" t="s">
        <v>575</v>
      </c>
      <c r="C91" s="574" t="s">
        <v>576</v>
      </c>
      <c r="D91" s="573" t="s">
        <v>577</v>
      </c>
      <c r="E91" s="415" t="s">
        <v>578</v>
      </c>
      <c r="F91" s="415" t="s">
        <v>579</v>
      </c>
      <c r="G91" s="405" t="s">
        <v>237</v>
      </c>
      <c r="H91" s="255" t="s">
        <v>238</v>
      </c>
      <c r="I91" s="244">
        <v>2</v>
      </c>
      <c r="J91" s="253" t="s">
        <v>580</v>
      </c>
      <c r="K91" s="130" t="s">
        <v>240</v>
      </c>
      <c r="L91" s="131">
        <v>1</v>
      </c>
      <c r="M91" s="132">
        <f t="shared" ref="M91:M145" si="16">I91*L91</f>
        <v>2</v>
      </c>
      <c r="N91" s="133" t="s">
        <v>291</v>
      </c>
      <c r="O91" s="69" t="s">
        <v>242</v>
      </c>
      <c r="P91" s="131">
        <v>5</v>
      </c>
      <c r="Q91" s="134">
        <f t="shared" ref="Q91:Q145" si="17">I91*L91*P91</f>
        <v>10</v>
      </c>
      <c r="R91" s="428"/>
      <c r="S91" s="428"/>
      <c r="T91" s="133"/>
      <c r="U91" s="405"/>
      <c r="V91" s="135"/>
      <c r="W91" s="133"/>
      <c r="X91" s="405"/>
      <c r="Y91" s="405"/>
      <c r="Z91" s="135"/>
      <c r="AA91" s="136"/>
      <c r="AB91" s="111"/>
      <c r="AC91" s="363"/>
      <c r="AD91" s="226">
        <f t="shared" si="13"/>
        <v>5210</v>
      </c>
    </row>
    <row r="92" spans="1:31" s="303" customFormat="1" ht="153.75" outlineLevel="3" thickBot="1" x14ac:dyDescent="0.25">
      <c r="A92" s="252" t="s">
        <v>581</v>
      </c>
      <c r="B92" s="496"/>
      <c r="C92" s="501"/>
      <c r="D92" s="496"/>
      <c r="E92" s="415" t="s">
        <v>582</v>
      </c>
      <c r="F92" s="415" t="s">
        <v>583</v>
      </c>
      <c r="G92" s="405" t="s">
        <v>237</v>
      </c>
      <c r="H92" s="255" t="s">
        <v>238</v>
      </c>
      <c r="I92" s="244">
        <v>2</v>
      </c>
      <c r="J92" s="253" t="s">
        <v>580</v>
      </c>
      <c r="K92" s="130" t="s">
        <v>240</v>
      </c>
      <c r="L92" s="131">
        <v>1</v>
      </c>
      <c r="M92" s="132">
        <f t="shared" si="16"/>
        <v>2</v>
      </c>
      <c r="N92" s="133" t="s">
        <v>291</v>
      </c>
      <c r="O92" s="69" t="s">
        <v>242</v>
      </c>
      <c r="P92" s="131">
        <v>5</v>
      </c>
      <c r="Q92" s="134">
        <f t="shared" si="17"/>
        <v>10</v>
      </c>
      <c r="R92" s="299"/>
      <c r="S92" s="299"/>
      <c r="T92" s="232"/>
      <c r="U92" s="409"/>
      <c r="V92" s="300"/>
      <c r="W92" s="232"/>
      <c r="X92" s="409"/>
      <c r="Y92" s="409"/>
      <c r="Z92" s="300"/>
      <c r="AA92" s="136"/>
      <c r="AB92" s="302"/>
      <c r="AC92" s="367"/>
      <c r="AD92" s="226">
        <f t="shared" si="13"/>
        <v>5211</v>
      </c>
      <c r="AE92" s="239"/>
    </row>
    <row r="93" spans="1:31" s="303" customFormat="1" ht="243" outlineLevel="3" thickBot="1" x14ac:dyDescent="0.25">
      <c r="A93" s="252" t="s">
        <v>584</v>
      </c>
      <c r="B93" s="491"/>
      <c r="C93" s="487"/>
      <c r="D93" s="491"/>
      <c r="E93" s="415" t="s">
        <v>585</v>
      </c>
      <c r="F93" s="415" t="s">
        <v>586</v>
      </c>
      <c r="G93" s="405" t="s">
        <v>237</v>
      </c>
      <c r="H93" s="255" t="s">
        <v>238</v>
      </c>
      <c r="I93" s="244">
        <v>2</v>
      </c>
      <c r="J93" s="253" t="s">
        <v>580</v>
      </c>
      <c r="K93" s="130" t="s">
        <v>240</v>
      </c>
      <c r="L93" s="131">
        <v>1</v>
      </c>
      <c r="M93" s="132">
        <f t="shared" si="16"/>
        <v>2</v>
      </c>
      <c r="N93" s="133" t="s">
        <v>291</v>
      </c>
      <c r="O93" s="69" t="s">
        <v>242</v>
      </c>
      <c r="P93" s="131">
        <v>5</v>
      </c>
      <c r="Q93" s="134">
        <f t="shared" si="17"/>
        <v>10</v>
      </c>
      <c r="R93" s="299"/>
      <c r="S93" s="299"/>
      <c r="T93" s="232"/>
      <c r="U93" s="409"/>
      <c r="V93" s="300"/>
      <c r="W93" s="232"/>
      <c r="X93" s="409"/>
      <c r="Y93" s="409"/>
      <c r="Z93" s="300"/>
      <c r="AA93" s="136"/>
      <c r="AB93" s="302"/>
      <c r="AC93" s="367"/>
      <c r="AD93" s="226">
        <f t="shared" si="13"/>
        <v>5212</v>
      </c>
      <c r="AE93" s="239"/>
    </row>
    <row r="94" spans="1:31" s="303" customFormat="1" ht="153.75" outlineLevel="3" thickBot="1" x14ac:dyDescent="0.25">
      <c r="A94" s="245" t="s">
        <v>587</v>
      </c>
      <c r="B94" s="575" t="s">
        <v>575</v>
      </c>
      <c r="C94" s="575" t="s">
        <v>576</v>
      </c>
      <c r="D94" s="576" t="s">
        <v>577</v>
      </c>
      <c r="E94" s="409" t="s">
        <v>588</v>
      </c>
      <c r="F94" s="409" t="s">
        <v>583</v>
      </c>
      <c r="G94" s="405" t="s">
        <v>237</v>
      </c>
      <c r="H94" s="295" t="s">
        <v>238</v>
      </c>
      <c r="I94" s="164">
        <v>2</v>
      </c>
      <c r="J94" s="297" t="s">
        <v>580</v>
      </c>
      <c r="K94" s="298" t="s">
        <v>240</v>
      </c>
      <c r="L94" s="234">
        <v>1</v>
      </c>
      <c r="M94" s="231">
        <f t="shared" si="16"/>
        <v>2</v>
      </c>
      <c r="N94" s="232" t="s">
        <v>291</v>
      </c>
      <c r="O94" s="233" t="s">
        <v>242</v>
      </c>
      <c r="P94" s="234">
        <v>5</v>
      </c>
      <c r="Q94" s="235">
        <f t="shared" si="17"/>
        <v>10</v>
      </c>
      <c r="R94" s="299"/>
      <c r="S94" s="299"/>
      <c r="T94" s="232"/>
      <c r="U94" s="409"/>
      <c r="V94" s="300"/>
      <c r="W94" s="232"/>
      <c r="X94" s="409"/>
      <c r="Y94" s="409"/>
      <c r="Z94" s="300"/>
      <c r="AA94" s="136"/>
      <c r="AB94" s="302"/>
      <c r="AC94" s="367"/>
      <c r="AD94" s="226">
        <f t="shared" si="13"/>
        <v>8896</v>
      </c>
      <c r="AE94" s="239"/>
    </row>
    <row r="95" spans="1:31" s="303" customFormat="1" ht="204.75" outlineLevel="3" thickBot="1" x14ac:dyDescent="0.25">
      <c r="A95" s="245" t="s">
        <v>589</v>
      </c>
      <c r="B95" s="502"/>
      <c r="C95" s="502"/>
      <c r="D95" s="577"/>
      <c r="E95" s="409" t="s">
        <v>590</v>
      </c>
      <c r="F95" s="409" t="s">
        <v>591</v>
      </c>
      <c r="G95" s="405" t="s">
        <v>237</v>
      </c>
      <c r="H95" s="295" t="s">
        <v>238</v>
      </c>
      <c r="I95" s="164">
        <v>2</v>
      </c>
      <c r="J95" s="297" t="s">
        <v>580</v>
      </c>
      <c r="K95" s="298" t="s">
        <v>240</v>
      </c>
      <c r="L95" s="234">
        <v>1</v>
      </c>
      <c r="M95" s="231">
        <f t="shared" si="16"/>
        <v>2</v>
      </c>
      <c r="N95" s="232" t="s">
        <v>291</v>
      </c>
      <c r="O95" s="233" t="s">
        <v>242</v>
      </c>
      <c r="P95" s="234">
        <v>5</v>
      </c>
      <c r="Q95" s="235">
        <f t="shared" si="17"/>
        <v>10</v>
      </c>
      <c r="R95" s="299"/>
      <c r="S95" s="299"/>
      <c r="T95" s="232"/>
      <c r="U95" s="409"/>
      <c r="V95" s="300"/>
      <c r="W95" s="232"/>
      <c r="X95" s="409"/>
      <c r="Y95" s="409"/>
      <c r="Z95" s="300"/>
      <c r="AA95" s="136"/>
      <c r="AB95" s="302"/>
      <c r="AC95" s="367"/>
      <c r="AD95" s="226">
        <f t="shared" si="13"/>
        <v>8897</v>
      </c>
      <c r="AE95" s="239"/>
    </row>
    <row r="96" spans="1:31" s="303" customFormat="1" ht="204.75" outlineLevel="3" thickBot="1" x14ac:dyDescent="0.25">
      <c r="A96" s="245" t="s">
        <v>592</v>
      </c>
      <c r="B96" s="495"/>
      <c r="C96" s="495"/>
      <c r="D96" s="493"/>
      <c r="E96" s="409" t="s">
        <v>593</v>
      </c>
      <c r="F96" s="409" t="s">
        <v>594</v>
      </c>
      <c r="G96" s="405" t="s">
        <v>237</v>
      </c>
      <c r="H96" s="295" t="s">
        <v>238</v>
      </c>
      <c r="I96" s="164">
        <v>2</v>
      </c>
      <c r="J96" s="297" t="s">
        <v>580</v>
      </c>
      <c r="K96" s="298" t="s">
        <v>240</v>
      </c>
      <c r="L96" s="234">
        <v>1</v>
      </c>
      <c r="M96" s="231">
        <f t="shared" si="16"/>
        <v>2</v>
      </c>
      <c r="N96" s="232" t="s">
        <v>291</v>
      </c>
      <c r="O96" s="233" t="s">
        <v>242</v>
      </c>
      <c r="P96" s="234">
        <v>5</v>
      </c>
      <c r="Q96" s="235">
        <f t="shared" si="17"/>
        <v>10</v>
      </c>
      <c r="R96" s="299"/>
      <c r="S96" s="299"/>
      <c r="T96" s="232"/>
      <c r="U96" s="409"/>
      <c r="V96" s="300"/>
      <c r="W96" s="232"/>
      <c r="X96" s="409"/>
      <c r="Y96" s="409"/>
      <c r="Z96" s="300"/>
      <c r="AA96" s="136"/>
      <c r="AB96" s="302"/>
      <c r="AC96" s="367"/>
      <c r="AD96" s="226">
        <f t="shared" si="13"/>
        <v>8898</v>
      </c>
      <c r="AE96" s="239"/>
    </row>
    <row r="97" spans="1:32" s="303" customFormat="1" ht="153.75" outlineLevel="3" thickBot="1" x14ac:dyDescent="0.25">
      <c r="A97" s="199" t="s">
        <v>595</v>
      </c>
      <c r="B97" s="477" t="s">
        <v>596</v>
      </c>
      <c r="C97" s="479" t="s">
        <v>597</v>
      </c>
      <c r="D97" s="419" t="s">
        <v>598</v>
      </c>
      <c r="E97" s="405" t="s">
        <v>275</v>
      </c>
      <c r="F97" s="405" t="s">
        <v>599</v>
      </c>
      <c r="G97" s="405" t="s">
        <v>237</v>
      </c>
      <c r="H97" s="420" t="s">
        <v>238</v>
      </c>
      <c r="I97" s="164">
        <v>2</v>
      </c>
      <c r="J97" s="163" t="s">
        <v>277</v>
      </c>
      <c r="K97" s="165" t="s">
        <v>240</v>
      </c>
      <c r="L97" s="138">
        <v>1</v>
      </c>
      <c r="M97" s="231">
        <f t="shared" si="16"/>
        <v>2</v>
      </c>
      <c r="N97" s="232" t="s">
        <v>291</v>
      </c>
      <c r="O97" s="233" t="s">
        <v>242</v>
      </c>
      <c r="P97" s="234">
        <v>5</v>
      </c>
      <c r="Q97" s="235">
        <f t="shared" si="17"/>
        <v>10</v>
      </c>
      <c r="R97" s="299"/>
      <c r="S97" s="299"/>
      <c r="T97" s="232"/>
      <c r="U97" s="409"/>
      <c r="V97" s="300"/>
      <c r="W97" s="232"/>
      <c r="X97" s="409"/>
      <c r="Y97" s="409"/>
      <c r="Z97" s="300"/>
      <c r="AA97" s="136"/>
      <c r="AB97" s="302"/>
      <c r="AC97" s="367"/>
      <c r="AD97" s="226">
        <f t="shared" si="13"/>
        <v>5213</v>
      </c>
      <c r="AE97" s="239"/>
    </row>
    <row r="98" spans="1:32" s="303" customFormat="1" ht="153.75" outlineLevel="3" thickBot="1" x14ac:dyDescent="0.25">
      <c r="A98" s="245" t="s">
        <v>600</v>
      </c>
      <c r="B98" s="482"/>
      <c r="C98" s="495"/>
      <c r="D98" s="388"/>
      <c r="E98" s="409" t="s">
        <v>279</v>
      </c>
      <c r="F98" s="409" t="s">
        <v>599</v>
      </c>
      <c r="G98" s="405" t="s">
        <v>237</v>
      </c>
      <c r="H98" s="295" t="s">
        <v>238</v>
      </c>
      <c r="I98" s="164">
        <v>2</v>
      </c>
      <c r="J98" s="297" t="s">
        <v>412</v>
      </c>
      <c r="K98" s="298" t="s">
        <v>240</v>
      </c>
      <c r="L98" s="234">
        <v>1</v>
      </c>
      <c r="M98" s="231">
        <f t="shared" si="16"/>
        <v>2</v>
      </c>
      <c r="N98" s="232" t="s">
        <v>291</v>
      </c>
      <c r="O98" s="233" t="s">
        <v>242</v>
      </c>
      <c r="P98" s="234">
        <v>5</v>
      </c>
      <c r="Q98" s="235">
        <f t="shared" si="17"/>
        <v>10</v>
      </c>
      <c r="R98" s="299"/>
      <c r="S98" s="299"/>
      <c r="T98" s="232"/>
      <c r="U98" s="409"/>
      <c r="V98" s="300"/>
      <c r="W98" s="232"/>
      <c r="X98" s="409"/>
      <c r="Y98" s="409"/>
      <c r="Z98" s="300"/>
      <c r="AA98" s="136"/>
      <c r="AB98" s="302"/>
      <c r="AC98" s="367"/>
      <c r="AD98" s="226">
        <f t="shared" si="13"/>
        <v>5214</v>
      </c>
      <c r="AE98" s="239"/>
    </row>
    <row r="99" spans="1:32" ht="153.75" outlineLevel="3" thickBot="1" x14ac:dyDescent="0.25">
      <c r="A99" s="245" t="s">
        <v>601</v>
      </c>
      <c r="B99" s="492" t="s">
        <v>602</v>
      </c>
      <c r="C99" s="494" t="s">
        <v>603</v>
      </c>
      <c r="D99" s="492" t="s">
        <v>604</v>
      </c>
      <c r="E99" s="409" t="s">
        <v>300</v>
      </c>
      <c r="F99" s="409" t="s">
        <v>605</v>
      </c>
      <c r="G99" s="405" t="s">
        <v>237</v>
      </c>
      <c r="H99" s="295" t="s">
        <v>238</v>
      </c>
      <c r="I99" s="164">
        <v>2</v>
      </c>
      <c r="J99" s="297" t="s">
        <v>302</v>
      </c>
      <c r="K99" s="298" t="s">
        <v>240</v>
      </c>
      <c r="L99" s="234">
        <v>1</v>
      </c>
      <c r="M99" s="231">
        <f t="shared" si="16"/>
        <v>2</v>
      </c>
      <c r="N99" s="232" t="s">
        <v>291</v>
      </c>
      <c r="O99" s="233" t="s">
        <v>242</v>
      </c>
      <c r="P99" s="234">
        <v>5</v>
      </c>
      <c r="Q99" s="235">
        <f t="shared" si="17"/>
        <v>10</v>
      </c>
      <c r="R99" s="428"/>
      <c r="S99" s="428"/>
      <c r="T99" s="133"/>
      <c r="U99" s="405"/>
      <c r="V99" s="135"/>
      <c r="W99" s="133"/>
      <c r="X99" s="405"/>
      <c r="Y99" s="405"/>
      <c r="Z99" s="135"/>
      <c r="AA99" s="136"/>
      <c r="AB99" s="111"/>
      <c r="AC99" s="363"/>
      <c r="AD99" s="226">
        <f t="shared" si="13"/>
        <v>5215</v>
      </c>
    </row>
    <row r="100" spans="1:32" ht="192" outlineLevel="3" thickBot="1" x14ac:dyDescent="0.25">
      <c r="A100" s="245" t="s">
        <v>606</v>
      </c>
      <c r="B100" s="493"/>
      <c r="C100" s="495"/>
      <c r="D100" s="493"/>
      <c r="E100" s="409" t="s">
        <v>393</v>
      </c>
      <c r="F100" s="409" t="s">
        <v>607</v>
      </c>
      <c r="G100" s="405" t="s">
        <v>237</v>
      </c>
      <c r="H100" s="295" t="s">
        <v>238</v>
      </c>
      <c r="I100" s="164">
        <v>2</v>
      </c>
      <c r="J100" s="297" t="s">
        <v>307</v>
      </c>
      <c r="K100" s="298" t="s">
        <v>240</v>
      </c>
      <c r="L100" s="234">
        <v>1</v>
      </c>
      <c r="M100" s="231">
        <f t="shared" si="16"/>
        <v>2</v>
      </c>
      <c r="N100" s="232" t="s">
        <v>291</v>
      </c>
      <c r="O100" s="233" t="s">
        <v>242</v>
      </c>
      <c r="P100" s="234">
        <v>5</v>
      </c>
      <c r="Q100" s="235">
        <f t="shared" si="17"/>
        <v>10</v>
      </c>
      <c r="R100" s="428"/>
      <c r="S100" s="428"/>
      <c r="T100" s="133"/>
      <c r="U100" s="405"/>
      <c r="V100" s="135"/>
      <c r="W100" s="133"/>
      <c r="X100" s="405"/>
      <c r="Y100" s="405"/>
      <c r="Z100" s="135"/>
      <c r="AA100" s="136"/>
      <c r="AB100" s="111"/>
      <c r="AC100" s="363"/>
      <c r="AD100" s="226">
        <f t="shared" si="13"/>
        <v>5216</v>
      </c>
    </row>
    <row r="101" spans="1:32" s="303" customFormat="1" ht="153.75" outlineLevel="3" thickBot="1" x14ac:dyDescent="0.25">
      <c r="A101" s="199" t="s">
        <v>608</v>
      </c>
      <c r="B101" s="569" t="s">
        <v>609</v>
      </c>
      <c r="C101" s="499" t="s">
        <v>610</v>
      </c>
      <c r="D101" s="477" t="s">
        <v>611</v>
      </c>
      <c r="E101" s="417" t="s">
        <v>288</v>
      </c>
      <c r="F101" s="417" t="s">
        <v>612</v>
      </c>
      <c r="G101" s="417" t="s">
        <v>252</v>
      </c>
      <c r="H101" s="127" t="s">
        <v>238</v>
      </c>
      <c r="I101" s="128">
        <v>1</v>
      </c>
      <c r="J101" s="129" t="s">
        <v>290</v>
      </c>
      <c r="K101" s="130" t="s">
        <v>240</v>
      </c>
      <c r="L101" s="131">
        <v>1</v>
      </c>
      <c r="M101" s="132">
        <f t="shared" si="16"/>
        <v>1</v>
      </c>
      <c r="N101" s="133" t="s">
        <v>291</v>
      </c>
      <c r="O101" s="69" t="s">
        <v>242</v>
      </c>
      <c r="P101" s="131">
        <v>5</v>
      </c>
      <c r="Q101" s="134">
        <f t="shared" si="17"/>
        <v>5</v>
      </c>
      <c r="R101" s="299"/>
      <c r="S101" s="299"/>
      <c r="T101" s="232"/>
      <c r="U101" s="409"/>
      <c r="V101" s="300"/>
      <c r="W101" s="232"/>
      <c r="X101" s="409"/>
      <c r="Y101" s="409"/>
      <c r="Z101" s="300"/>
      <c r="AA101" s="136"/>
      <c r="AB101" s="302"/>
      <c r="AC101" s="367"/>
      <c r="AD101" s="226">
        <f t="shared" si="13"/>
        <v>5217</v>
      </c>
      <c r="AE101" s="239"/>
    </row>
    <row r="102" spans="1:32" s="303" customFormat="1" ht="166.5" outlineLevel="3" thickBot="1" x14ac:dyDescent="0.25">
      <c r="A102" s="199" t="s">
        <v>613</v>
      </c>
      <c r="B102" s="570"/>
      <c r="C102" s="500"/>
      <c r="D102" s="478"/>
      <c r="E102" s="417" t="s">
        <v>614</v>
      </c>
      <c r="F102" s="417" t="s">
        <v>615</v>
      </c>
      <c r="G102" s="417" t="s">
        <v>252</v>
      </c>
      <c r="H102" s="127" t="s">
        <v>238</v>
      </c>
      <c r="I102" s="128">
        <v>1</v>
      </c>
      <c r="J102" s="163" t="s">
        <v>402</v>
      </c>
      <c r="K102" s="130" t="s">
        <v>504</v>
      </c>
      <c r="L102" s="131">
        <v>1</v>
      </c>
      <c r="M102" s="132">
        <f t="shared" si="16"/>
        <v>1</v>
      </c>
      <c r="N102" s="133" t="s">
        <v>291</v>
      </c>
      <c r="O102" s="69" t="s">
        <v>242</v>
      </c>
      <c r="P102" s="131">
        <v>5</v>
      </c>
      <c r="Q102" s="134">
        <f t="shared" si="17"/>
        <v>5</v>
      </c>
      <c r="R102" s="299"/>
      <c r="S102" s="299"/>
      <c r="T102" s="232"/>
      <c r="U102" s="409"/>
      <c r="V102" s="300"/>
      <c r="W102" s="232"/>
      <c r="X102" s="409"/>
      <c r="Y102" s="409"/>
      <c r="Z102" s="300"/>
      <c r="AA102" s="136"/>
      <c r="AB102" s="302"/>
      <c r="AC102" s="367"/>
      <c r="AD102" s="226">
        <f t="shared" si="13"/>
        <v>5218</v>
      </c>
      <c r="AE102" s="239"/>
    </row>
    <row r="103" spans="1:32" s="242" customFormat="1" ht="153.75" outlineLevel="3" thickBot="1" x14ac:dyDescent="0.25">
      <c r="A103" s="245" t="s">
        <v>616</v>
      </c>
      <c r="B103" s="492" t="s">
        <v>617</v>
      </c>
      <c r="C103" s="494" t="s">
        <v>618</v>
      </c>
      <c r="D103" s="492" t="s">
        <v>619</v>
      </c>
      <c r="E103" s="409" t="s">
        <v>300</v>
      </c>
      <c r="F103" s="328" t="s">
        <v>620</v>
      </c>
      <c r="G103" s="417" t="s">
        <v>252</v>
      </c>
      <c r="H103" s="295" t="s">
        <v>238</v>
      </c>
      <c r="I103" s="296">
        <v>1</v>
      </c>
      <c r="J103" s="297" t="s">
        <v>302</v>
      </c>
      <c r="K103" s="298" t="s">
        <v>240</v>
      </c>
      <c r="L103" s="234">
        <v>1</v>
      </c>
      <c r="M103" s="231">
        <f t="shared" ref="M103:M109" si="18">I103*L103</f>
        <v>1</v>
      </c>
      <c r="N103" s="232" t="s">
        <v>291</v>
      </c>
      <c r="O103" s="233" t="s">
        <v>242</v>
      </c>
      <c r="P103" s="234">
        <v>5</v>
      </c>
      <c r="Q103" s="235">
        <f t="shared" ref="Q103:Q109" si="19">I103*L103*P103</f>
        <v>5</v>
      </c>
      <c r="R103" s="305"/>
      <c r="S103" s="299"/>
      <c r="T103" s="232"/>
      <c r="U103" s="409"/>
      <c r="V103" s="300"/>
      <c r="W103" s="232"/>
      <c r="X103" s="305"/>
      <c r="Y103" s="305"/>
      <c r="Z103" s="305"/>
      <c r="AA103" s="136"/>
      <c r="AB103" s="378"/>
      <c r="AC103" s="239"/>
      <c r="AD103" s="226">
        <f t="shared" si="13"/>
        <v>10927</v>
      </c>
      <c r="AE103" s="239"/>
      <c r="AF103" s="346"/>
    </row>
    <row r="104" spans="1:32" s="239" customFormat="1" ht="153.75" outlineLevel="3" thickBot="1" x14ac:dyDescent="0.25">
      <c r="A104" s="245" t="s">
        <v>621</v>
      </c>
      <c r="B104" s="493"/>
      <c r="C104" s="495"/>
      <c r="D104" s="493"/>
      <c r="E104" s="409" t="s">
        <v>393</v>
      </c>
      <c r="F104" s="328" t="s">
        <v>622</v>
      </c>
      <c r="G104" s="417" t="s">
        <v>252</v>
      </c>
      <c r="H104" s="295" t="s">
        <v>238</v>
      </c>
      <c r="I104" s="296">
        <v>1</v>
      </c>
      <c r="J104" s="297" t="s">
        <v>307</v>
      </c>
      <c r="K104" s="298" t="s">
        <v>240</v>
      </c>
      <c r="L104" s="234">
        <v>1</v>
      </c>
      <c r="M104" s="231">
        <f t="shared" si="18"/>
        <v>1</v>
      </c>
      <c r="N104" s="232" t="s">
        <v>291</v>
      </c>
      <c r="O104" s="233" t="s">
        <v>242</v>
      </c>
      <c r="P104" s="234">
        <v>5</v>
      </c>
      <c r="Q104" s="235">
        <f t="shared" si="19"/>
        <v>5</v>
      </c>
      <c r="R104" s="236"/>
      <c r="S104" s="299"/>
      <c r="T104" s="232"/>
      <c r="U104" s="409"/>
      <c r="V104" s="300"/>
      <c r="W104" s="232"/>
      <c r="X104" s="237"/>
      <c r="Y104" s="237"/>
      <c r="Z104" s="238"/>
      <c r="AA104" s="136"/>
      <c r="AB104" s="379"/>
      <c r="AD104" s="226">
        <f t="shared" si="13"/>
        <v>10928</v>
      </c>
    </row>
    <row r="105" spans="1:32" s="303" customFormat="1" ht="153.75" outlineLevel="3" thickBot="1" x14ac:dyDescent="0.25">
      <c r="A105" s="304" t="s">
        <v>623</v>
      </c>
      <c r="B105" s="518" t="s">
        <v>349</v>
      </c>
      <c r="C105" s="507" t="s">
        <v>624</v>
      </c>
      <c r="D105" s="518" t="s">
        <v>625</v>
      </c>
      <c r="E105" s="410" t="s">
        <v>352</v>
      </c>
      <c r="F105" s="328" t="s">
        <v>626</v>
      </c>
      <c r="G105" s="405" t="s">
        <v>237</v>
      </c>
      <c r="H105" s="295" t="s">
        <v>238</v>
      </c>
      <c r="I105" s="296">
        <v>2</v>
      </c>
      <c r="J105" s="410" t="s">
        <v>302</v>
      </c>
      <c r="K105" s="410" t="s">
        <v>240</v>
      </c>
      <c r="L105" s="410">
        <v>1</v>
      </c>
      <c r="M105" s="231">
        <f t="shared" si="18"/>
        <v>2</v>
      </c>
      <c r="N105" s="232" t="s">
        <v>303</v>
      </c>
      <c r="O105" s="233" t="s">
        <v>242</v>
      </c>
      <c r="P105" s="234">
        <v>5</v>
      </c>
      <c r="Q105" s="235">
        <f>P105*L105*I105</f>
        <v>10</v>
      </c>
      <c r="R105" s="299"/>
      <c r="S105" s="299"/>
      <c r="T105" s="232"/>
      <c r="U105" s="409"/>
      <c r="V105" s="300"/>
      <c r="W105" s="232"/>
      <c r="X105" s="409"/>
      <c r="Y105" s="409"/>
      <c r="Z105" s="300"/>
      <c r="AA105" s="136"/>
      <c r="AB105" s="302"/>
      <c r="AC105" s="367"/>
      <c r="AD105" s="226">
        <f t="shared" si="13"/>
        <v>10929</v>
      </c>
      <c r="AE105" s="239"/>
    </row>
    <row r="106" spans="1:32" s="303" customFormat="1" ht="153.75" outlineLevel="3" thickBot="1" x14ac:dyDescent="0.25">
      <c r="A106" s="306" t="s">
        <v>627</v>
      </c>
      <c r="B106" s="518"/>
      <c r="C106" s="507"/>
      <c r="D106" s="518"/>
      <c r="E106" s="410" t="s">
        <v>355</v>
      </c>
      <c r="F106" s="410" t="s">
        <v>628</v>
      </c>
      <c r="G106" s="405" t="s">
        <v>237</v>
      </c>
      <c r="H106" s="295" t="s">
        <v>238</v>
      </c>
      <c r="I106" s="296">
        <v>2</v>
      </c>
      <c r="J106" s="410" t="s">
        <v>307</v>
      </c>
      <c r="K106" s="410" t="s">
        <v>240</v>
      </c>
      <c r="L106" s="410">
        <v>1</v>
      </c>
      <c r="M106" s="231">
        <f t="shared" si="18"/>
        <v>2</v>
      </c>
      <c r="N106" s="232" t="s">
        <v>303</v>
      </c>
      <c r="O106" s="233" t="s">
        <v>242</v>
      </c>
      <c r="P106" s="234">
        <v>5</v>
      </c>
      <c r="Q106" s="235">
        <f>P106*L106*I106</f>
        <v>10</v>
      </c>
      <c r="R106" s="299"/>
      <c r="S106" s="299"/>
      <c r="T106" s="232"/>
      <c r="U106" s="409"/>
      <c r="V106" s="300"/>
      <c r="W106" s="232"/>
      <c r="X106" s="409"/>
      <c r="Y106" s="409"/>
      <c r="Z106" s="300"/>
      <c r="AA106" s="136"/>
      <c r="AB106" s="302"/>
      <c r="AC106" s="367"/>
      <c r="AD106" s="226">
        <f t="shared" si="13"/>
        <v>10930</v>
      </c>
      <c r="AE106" s="239"/>
    </row>
    <row r="107" spans="1:32" s="303" customFormat="1" ht="153.75" outlineLevel="3" thickBot="1" x14ac:dyDescent="0.25">
      <c r="A107" s="199" t="s">
        <v>629</v>
      </c>
      <c r="B107" s="477" t="s">
        <v>630</v>
      </c>
      <c r="C107" s="479" t="s">
        <v>631</v>
      </c>
      <c r="D107" s="477" t="s">
        <v>632</v>
      </c>
      <c r="E107" s="405" t="s">
        <v>633</v>
      </c>
      <c r="F107" s="405" t="s">
        <v>634</v>
      </c>
      <c r="G107" s="405" t="s">
        <v>252</v>
      </c>
      <c r="H107" s="420" t="s">
        <v>238</v>
      </c>
      <c r="I107" s="164">
        <v>1</v>
      </c>
      <c r="J107" s="163" t="s">
        <v>277</v>
      </c>
      <c r="K107" s="165" t="s">
        <v>240</v>
      </c>
      <c r="L107" s="138">
        <v>1</v>
      </c>
      <c r="M107" s="231">
        <f t="shared" si="18"/>
        <v>1</v>
      </c>
      <c r="N107" s="232" t="s">
        <v>291</v>
      </c>
      <c r="O107" s="233" t="s">
        <v>242</v>
      </c>
      <c r="P107" s="234">
        <v>5</v>
      </c>
      <c r="Q107" s="235">
        <f t="shared" si="19"/>
        <v>5</v>
      </c>
      <c r="R107" s="299"/>
      <c r="S107" s="299"/>
      <c r="T107" s="232"/>
      <c r="U107" s="409"/>
      <c r="V107" s="300"/>
      <c r="W107" s="232"/>
      <c r="X107" s="409"/>
      <c r="Y107" s="409"/>
      <c r="Z107" s="300"/>
      <c r="AA107" s="136"/>
      <c r="AB107" s="302"/>
      <c r="AC107" s="367"/>
      <c r="AD107" s="226">
        <f t="shared" si="13"/>
        <v>10931</v>
      </c>
      <c r="AE107" s="239"/>
    </row>
    <row r="108" spans="1:32" s="312" customFormat="1" ht="153.75" outlineLevel="3" thickBot="1" x14ac:dyDescent="0.25">
      <c r="A108" s="245" t="s">
        <v>635</v>
      </c>
      <c r="B108" s="481"/>
      <c r="C108" s="502"/>
      <c r="D108" s="481"/>
      <c r="E108" s="409" t="s">
        <v>636</v>
      </c>
      <c r="F108" s="409" t="s">
        <v>637</v>
      </c>
      <c r="G108" s="405" t="s">
        <v>237</v>
      </c>
      <c r="H108" s="295" t="s">
        <v>238</v>
      </c>
      <c r="I108" s="296">
        <v>2</v>
      </c>
      <c r="J108" s="297" t="s">
        <v>277</v>
      </c>
      <c r="K108" s="298" t="s">
        <v>240</v>
      </c>
      <c r="L108" s="234">
        <v>1</v>
      </c>
      <c r="M108" s="231">
        <f t="shared" ref="M108" si="20">I108*L108</f>
        <v>2</v>
      </c>
      <c r="N108" s="232" t="s">
        <v>291</v>
      </c>
      <c r="O108" s="233" t="s">
        <v>242</v>
      </c>
      <c r="P108" s="234">
        <v>5</v>
      </c>
      <c r="Q108" s="235">
        <f t="shared" ref="Q108" si="21">I108*L108*P108</f>
        <v>10</v>
      </c>
      <c r="R108" s="307"/>
      <c r="S108" s="307"/>
      <c r="T108" s="308"/>
      <c r="U108" s="430"/>
      <c r="V108" s="309"/>
      <c r="W108" s="308"/>
      <c r="X108" s="430"/>
      <c r="Y108" s="430"/>
      <c r="Z108" s="309"/>
      <c r="AA108" s="136"/>
      <c r="AB108" s="310"/>
      <c r="AC108" s="311"/>
      <c r="AD108" s="226">
        <f t="shared" si="13"/>
        <v>10932</v>
      </c>
    </row>
    <row r="109" spans="1:32" s="317" customFormat="1" ht="153.75" outlineLevel="3" thickBot="1" x14ac:dyDescent="0.25">
      <c r="A109" s="245" t="s">
        <v>638</v>
      </c>
      <c r="B109" s="482"/>
      <c r="C109" s="495"/>
      <c r="D109" s="482"/>
      <c r="E109" s="409" t="s">
        <v>279</v>
      </c>
      <c r="F109" s="409" t="s">
        <v>639</v>
      </c>
      <c r="G109" s="405" t="s">
        <v>237</v>
      </c>
      <c r="H109" s="295" t="s">
        <v>238</v>
      </c>
      <c r="I109" s="296">
        <v>2</v>
      </c>
      <c r="J109" s="297" t="s">
        <v>412</v>
      </c>
      <c r="K109" s="298" t="s">
        <v>240</v>
      </c>
      <c r="L109" s="234">
        <v>1</v>
      </c>
      <c r="M109" s="231">
        <f t="shared" si="18"/>
        <v>2</v>
      </c>
      <c r="N109" s="232" t="s">
        <v>291</v>
      </c>
      <c r="O109" s="233" t="s">
        <v>242</v>
      </c>
      <c r="P109" s="234">
        <v>5</v>
      </c>
      <c r="Q109" s="235">
        <f t="shared" si="19"/>
        <v>10</v>
      </c>
      <c r="R109" s="313"/>
      <c r="S109" s="313"/>
      <c r="T109" s="248"/>
      <c r="U109" s="415"/>
      <c r="V109" s="314"/>
      <c r="W109" s="248"/>
      <c r="X109" s="415"/>
      <c r="Y109" s="415"/>
      <c r="Z109" s="314"/>
      <c r="AA109" s="136"/>
      <c r="AB109" s="316"/>
      <c r="AC109" s="368"/>
      <c r="AD109" s="226">
        <f t="shared" si="13"/>
        <v>10933</v>
      </c>
      <c r="AE109" s="264"/>
    </row>
    <row r="110" spans="1:32" ht="153.75" outlineLevel="3" thickBot="1" x14ac:dyDescent="0.25">
      <c r="A110" s="252" t="s">
        <v>640</v>
      </c>
      <c r="B110" s="489" t="s">
        <v>641</v>
      </c>
      <c r="C110" s="486" t="s">
        <v>642</v>
      </c>
      <c r="D110" s="489" t="s">
        <v>643</v>
      </c>
      <c r="E110" s="415" t="s">
        <v>326</v>
      </c>
      <c r="F110" s="415" t="s">
        <v>644</v>
      </c>
      <c r="G110" s="405" t="s">
        <v>237</v>
      </c>
      <c r="H110" s="255" t="s">
        <v>238</v>
      </c>
      <c r="I110" s="244">
        <v>2</v>
      </c>
      <c r="J110" s="253" t="s">
        <v>328</v>
      </c>
      <c r="K110" s="247" t="s">
        <v>240</v>
      </c>
      <c r="L110" s="258">
        <v>1</v>
      </c>
      <c r="M110" s="256">
        <f t="shared" si="16"/>
        <v>2</v>
      </c>
      <c r="N110" s="248" t="s">
        <v>291</v>
      </c>
      <c r="O110" s="257" t="s">
        <v>242</v>
      </c>
      <c r="P110" s="258">
        <v>5</v>
      </c>
      <c r="Q110" s="259">
        <f t="shared" si="17"/>
        <v>10</v>
      </c>
      <c r="R110" s="428"/>
      <c r="S110" s="428"/>
      <c r="T110" s="133"/>
      <c r="U110" s="405"/>
      <c r="V110" s="135"/>
      <c r="W110" s="133"/>
      <c r="X110" s="405"/>
      <c r="Y110" s="405"/>
      <c r="Z110" s="135"/>
      <c r="AA110" s="136"/>
      <c r="AB110" s="111"/>
      <c r="AC110" s="363"/>
      <c r="AD110" s="226">
        <f t="shared" si="13"/>
        <v>5219</v>
      </c>
    </row>
    <row r="111" spans="1:32" ht="204.75" outlineLevel="3" thickBot="1" x14ac:dyDescent="0.25">
      <c r="A111" s="252" t="s">
        <v>645</v>
      </c>
      <c r="B111" s="491"/>
      <c r="C111" s="487"/>
      <c r="D111" s="491"/>
      <c r="E111" s="415" t="s">
        <v>330</v>
      </c>
      <c r="F111" s="415" t="s">
        <v>646</v>
      </c>
      <c r="G111" s="405" t="s">
        <v>237</v>
      </c>
      <c r="H111" s="255" t="s">
        <v>238</v>
      </c>
      <c r="I111" s="244">
        <v>2</v>
      </c>
      <c r="J111" s="253" t="s">
        <v>332</v>
      </c>
      <c r="K111" s="247" t="s">
        <v>240</v>
      </c>
      <c r="L111" s="258">
        <v>1</v>
      </c>
      <c r="M111" s="256">
        <f t="shared" si="16"/>
        <v>2</v>
      </c>
      <c r="N111" s="248" t="s">
        <v>291</v>
      </c>
      <c r="O111" s="257" t="s">
        <v>242</v>
      </c>
      <c r="P111" s="258">
        <v>5</v>
      </c>
      <c r="Q111" s="259">
        <f t="shared" si="17"/>
        <v>10</v>
      </c>
      <c r="R111" s="428"/>
      <c r="S111" s="428"/>
      <c r="T111" s="133"/>
      <c r="U111" s="405"/>
      <c r="V111" s="135"/>
      <c r="W111" s="133"/>
      <c r="X111" s="405"/>
      <c r="Y111" s="405"/>
      <c r="Z111" s="135"/>
      <c r="AA111" s="136"/>
      <c r="AB111" s="111"/>
      <c r="AC111" s="363"/>
      <c r="AD111" s="226">
        <f t="shared" si="13"/>
        <v>5220</v>
      </c>
    </row>
    <row r="112" spans="1:32" ht="153.75" outlineLevel="3" thickBot="1" x14ac:dyDescent="0.25">
      <c r="A112" s="245" t="s">
        <v>647</v>
      </c>
      <c r="B112" s="492" t="s">
        <v>648</v>
      </c>
      <c r="C112" s="494" t="s">
        <v>649</v>
      </c>
      <c r="D112" s="492" t="s">
        <v>650</v>
      </c>
      <c r="E112" s="409" t="s">
        <v>651</v>
      </c>
      <c r="F112" s="409" t="s">
        <v>652</v>
      </c>
      <c r="G112" s="417" t="s">
        <v>252</v>
      </c>
      <c r="H112" s="295" t="s">
        <v>238</v>
      </c>
      <c r="I112" s="296">
        <v>1</v>
      </c>
      <c r="J112" s="297" t="s">
        <v>302</v>
      </c>
      <c r="K112" s="298" t="s">
        <v>240</v>
      </c>
      <c r="L112" s="234">
        <v>1</v>
      </c>
      <c r="M112" s="213">
        <f t="shared" si="16"/>
        <v>1</v>
      </c>
      <c r="N112" s="232" t="s">
        <v>291</v>
      </c>
      <c r="O112" s="233" t="s">
        <v>242</v>
      </c>
      <c r="P112" s="234">
        <v>5</v>
      </c>
      <c r="Q112" s="214">
        <f t="shared" si="17"/>
        <v>5</v>
      </c>
      <c r="R112" s="428"/>
      <c r="S112" s="428"/>
      <c r="T112" s="133"/>
      <c r="U112" s="405"/>
      <c r="V112" s="135"/>
      <c r="W112" s="133"/>
      <c r="X112" s="405"/>
      <c r="Y112" s="405"/>
      <c r="Z112" s="135"/>
      <c r="AA112" s="136"/>
      <c r="AB112" s="111"/>
      <c r="AC112" s="363"/>
      <c r="AD112" s="226">
        <f t="shared" si="13"/>
        <v>10934</v>
      </c>
    </row>
    <row r="113" spans="1:30" ht="153.75" outlineLevel="3" thickBot="1" x14ac:dyDescent="0.25">
      <c r="A113" s="245" t="s">
        <v>653</v>
      </c>
      <c r="B113" s="577"/>
      <c r="C113" s="502"/>
      <c r="D113" s="577"/>
      <c r="E113" s="409" t="s">
        <v>654</v>
      </c>
      <c r="F113" s="409" t="s">
        <v>655</v>
      </c>
      <c r="G113" s="405" t="s">
        <v>237</v>
      </c>
      <c r="H113" s="295" t="s">
        <v>238</v>
      </c>
      <c r="I113" s="296">
        <v>2</v>
      </c>
      <c r="J113" s="297" t="s">
        <v>302</v>
      </c>
      <c r="K113" s="298" t="s">
        <v>240</v>
      </c>
      <c r="L113" s="234">
        <v>1</v>
      </c>
      <c r="M113" s="213">
        <f t="shared" si="16"/>
        <v>2</v>
      </c>
      <c r="N113" s="232" t="s">
        <v>291</v>
      </c>
      <c r="O113" s="233" t="s">
        <v>242</v>
      </c>
      <c r="P113" s="234">
        <v>5</v>
      </c>
      <c r="Q113" s="214">
        <f t="shared" ref="Q113" si="22">I113*L113*P113</f>
        <v>10</v>
      </c>
      <c r="R113" s="428"/>
      <c r="S113" s="428"/>
      <c r="T113" s="133"/>
      <c r="U113" s="405"/>
      <c r="V113" s="135"/>
      <c r="W113" s="133"/>
      <c r="X113" s="405"/>
      <c r="Y113" s="405"/>
      <c r="Z113" s="135"/>
      <c r="AA113" s="136"/>
      <c r="AB113" s="111"/>
      <c r="AC113" s="226"/>
      <c r="AD113" s="226">
        <f t="shared" si="13"/>
        <v>10935</v>
      </c>
    </row>
    <row r="114" spans="1:30" ht="153.75" outlineLevel="3" thickBot="1" x14ac:dyDescent="0.25">
      <c r="A114" s="245" t="s">
        <v>656</v>
      </c>
      <c r="B114" s="493"/>
      <c r="C114" s="495"/>
      <c r="D114" s="493"/>
      <c r="E114" s="409" t="s">
        <v>393</v>
      </c>
      <c r="F114" s="409" t="s">
        <v>657</v>
      </c>
      <c r="G114" s="417" t="s">
        <v>252</v>
      </c>
      <c r="H114" s="295" t="s">
        <v>238</v>
      </c>
      <c r="I114" s="296">
        <v>1</v>
      </c>
      <c r="J114" s="297" t="s">
        <v>307</v>
      </c>
      <c r="K114" s="298" t="s">
        <v>240</v>
      </c>
      <c r="L114" s="234">
        <v>1</v>
      </c>
      <c r="M114" s="213">
        <f t="shared" si="16"/>
        <v>1</v>
      </c>
      <c r="N114" s="232" t="s">
        <v>291</v>
      </c>
      <c r="O114" s="233" t="s">
        <v>242</v>
      </c>
      <c r="P114" s="234">
        <v>5</v>
      </c>
      <c r="Q114" s="214">
        <f t="shared" si="17"/>
        <v>5</v>
      </c>
      <c r="R114" s="428"/>
      <c r="S114" s="428"/>
      <c r="T114" s="133"/>
      <c r="U114" s="405"/>
      <c r="V114" s="135"/>
      <c r="W114" s="133"/>
      <c r="X114" s="405"/>
      <c r="Y114" s="405"/>
      <c r="Z114" s="135"/>
      <c r="AA114" s="136"/>
      <c r="AB114" s="111"/>
      <c r="AC114" s="363"/>
      <c r="AD114" s="226">
        <f t="shared" si="13"/>
        <v>10936</v>
      </c>
    </row>
    <row r="115" spans="1:30" ht="153.75" outlineLevel="3" thickBot="1" x14ac:dyDescent="0.25">
      <c r="A115" s="252" t="s">
        <v>658</v>
      </c>
      <c r="B115" s="489" t="s">
        <v>659</v>
      </c>
      <c r="C115" s="486" t="s">
        <v>660</v>
      </c>
      <c r="D115" s="489" t="s">
        <v>661</v>
      </c>
      <c r="E115" s="415" t="s">
        <v>662</v>
      </c>
      <c r="F115" s="415" t="s">
        <v>663</v>
      </c>
      <c r="G115" s="405" t="s">
        <v>237</v>
      </c>
      <c r="H115" s="255" t="s">
        <v>238</v>
      </c>
      <c r="I115" s="265">
        <v>2</v>
      </c>
      <c r="J115" s="163" t="s">
        <v>664</v>
      </c>
      <c r="K115" s="165" t="s">
        <v>240</v>
      </c>
      <c r="L115" s="138">
        <v>1</v>
      </c>
      <c r="M115" s="166">
        <f t="shared" si="16"/>
        <v>2</v>
      </c>
      <c r="N115" s="133" t="s">
        <v>291</v>
      </c>
      <c r="O115" s="420" t="s">
        <v>242</v>
      </c>
      <c r="P115" s="138">
        <v>5</v>
      </c>
      <c r="Q115" s="225">
        <f t="shared" si="17"/>
        <v>10</v>
      </c>
      <c r="R115" s="428"/>
      <c r="S115" s="428"/>
      <c r="T115" s="133"/>
      <c r="U115" s="405"/>
      <c r="V115" s="135"/>
      <c r="W115" s="133"/>
      <c r="X115" s="405"/>
      <c r="Y115" s="405"/>
      <c r="Z115" s="135"/>
      <c r="AA115" s="136"/>
      <c r="AB115" s="111"/>
      <c r="AC115" s="363"/>
      <c r="AD115" s="226">
        <f t="shared" si="13"/>
        <v>5221</v>
      </c>
    </row>
    <row r="116" spans="1:30" ht="153.75" outlineLevel="3" thickBot="1" x14ac:dyDescent="0.25">
      <c r="A116" s="252" t="s">
        <v>665</v>
      </c>
      <c r="B116" s="496"/>
      <c r="C116" s="501"/>
      <c r="D116" s="496"/>
      <c r="E116" s="415" t="s">
        <v>666</v>
      </c>
      <c r="F116" s="415" t="s">
        <v>667</v>
      </c>
      <c r="G116" s="405" t="s">
        <v>237</v>
      </c>
      <c r="H116" s="255" t="s">
        <v>238</v>
      </c>
      <c r="I116" s="244">
        <v>2</v>
      </c>
      <c r="J116" s="129" t="s">
        <v>664</v>
      </c>
      <c r="K116" s="130" t="s">
        <v>240</v>
      </c>
      <c r="L116" s="131">
        <v>1</v>
      </c>
      <c r="M116" s="132">
        <f t="shared" si="16"/>
        <v>2</v>
      </c>
      <c r="N116" s="133" t="s">
        <v>291</v>
      </c>
      <c r="O116" s="69" t="s">
        <v>242</v>
      </c>
      <c r="P116" s="131">
        <v>5</v>
      </c>
      <c r="Q116" s="134">
        <f t="shared" si="17"/>
        <v>10</v>
      </c>
      <c r="R116" s="428"/>
      <c r="S116" s="428"/>
      <c r="T116" s="133"/>
      <c r="U116" s="405"/>
      <c r="V116" s="135"/>
      <c r="W116" s="133"/>
      <c r="X116" s="405"/>
      <c r="Y116" s="405"/>
      <c r="Z116" s="135"/>
      <c r="AA116" s="136"/>
      <c r="AB116" s="111"/>
      <c r="AC116" s="363"/>
      <c r="AD116" s="226">
        <f t="shared" si="13"/>
        <v>5222</v>
      </c>
    </row>
    <row r="117" spans="1:30" ht="153.75" outlineLevel="3" thickBot="1" x14ac:dyDescent="0.25">
      <c r="A117" s="252" t="s">
        <v>668</v>
      </c>
      <c r="B117" s="496"/>
      <c r="C117" s="501"/>
      <c r="D117" s="496"/>
      <c r="E117" s="415" t="s">
        <v>669</v>
      </c>
      <c r="F117" s="415" t="s">
        <v>670</v>
      </c>
      <c r="G117" s="405" t="s">
        <v>237</v>
      </c>
      <c r="H117" s="255" t="s">
        <v>238</v>
      </c>
      <c r="I117" s="265">
        <v>1</v>
      </c>
      <c r="J117" s="163" t="s">
        <v>671</v>
      </c>
      <c r="K117" s="130" t="s">
        <v>240</v>
      </c>
      <c r="L117" s="131">
        <v>1</v>
      </c>
      <c r="M117" s="132">
        <f t="shared" si="16"/>
        <v>1</v>
      </c>
      <c r="N117" s="133" t="s">
        <v>291</v>
      </c>
      <c r="O117" s="69" t="s">
        <v>242</v>
      </c>
      <c r="P117" s="131">
        <v>5</v>
      </c>
      <c r="Q117" s="134">
        <f t="shared" si="17"/>
        <v>5</v>
      </c>
      <c r="R117" s="428"/>
      <c r="S117" s="428"/>
      <c r="T117" s="133"/>
      <c r="U117" s="405"/>
      <c r="V117" s="135"/>
      <c r="W117" s="133"/>
      <c r="X117" s="405"/>
      <c r="Y117" s="405"/>
      <c r="Z117" s="135"/>
      <c r="AA117" s="136">
        <f t="shared" ref="AA117:AA142" si="23">X117*Y117*Z117</f>
        <v>0</v>
      </c>
      <c r="AB117" s="111"/>
      <c r="AC117" s="363"/>
      <c r="AD117" s="226">
        <f t="shared" si="13"/>
        <v>5223</v>
      </c>
    </row>
    <row r="118" spans="1:30" ht="153.75" outlineLevel="3" thickBot="1" x14ac:dyDescent="0.25">
      <c r="A118" s="252" t="s">
        <v>672</v>
      </c>
      <c r="B118" s="496"/>
      <c r="C118" s="501"/>
      <c r="D118" s="496"/>
      <c r="E118" s="415" t="s">
        <v>673</v>
      </c>
      <c r="F118" s="415" t="s">
        <v>674</v>
      </c>
      <c r="G118" s="405" t="s">
        <v>237</v>
      </c>
      <c r="H118" s="255" t="s">
        <v>238</v>
      </c>
      <c r="I118" s="244">
        <v>2</v>
      </c>
      <c r="J118" s="129" t="s">
        <v>675</v>
      </c>
      <c r="K118" s="130" t="s">
        <v>240</v>
      </c>
      <c r="L118" s="131">
        <v>1</v>
      </c>
      <c r="M118" s="132">
        <f t="shared" si="16"/>
        <v>2</v>
      </c>
      <c r="N118" s="133" t="s">
        <v>291</v>
      </c>
      <c r="O118" s="69" t="s">
        <v>242</v>
      </c>
      <c r="P118" s="131">
        <v>5</v>
      </c>
      <c r="Q118" s="134">
        <f t="shared" si="17"/>
        <v>10</v>
      </c>
      <c r="R118" s="428"/>
      <c r="S118" s="428"/>
      <c r="T118" s="133"/>
      <c r="U118" s="405"/>
      <c r="V118" s="135"/>
      <c r="W118" s="133"/>
      <c r="X118" s="405"/>
      <c r="Y118" s="405"/>
      <c r="Z118" s="135"/>
      <c r="AA118" s="136"/>
      <c r="AB118" s="111"/>
      <c r="AC118" s="363"/>
      <c r="AD118" s="226">
        <f t="shared" si="13"/>
        <v>5224</v>
      </c>
    </row>
    <row r="119" spans="1:30" ht="179.25" outlineLevel="3" thickBot="1" x14ac:dyDescent="0.25">
      <c r="A119" s="252" t="s">
        <v>676</v>
      </c>
      <c r="B119" s="496"/>
      <c r="C119" s="501"/>
      <c r="D119" s="496"/>
      <c r="E119" s="415" t="s">
        <v>677</v>
      </c>
      <c r="F119" s="415" t="s">
        <v>678</v>
      </c>
      <c r="G119" s="415" t="s">
        <v>679</v>
      </c>
      <c r="H119" s="255" t="s">
        <v>680</v>
      </c>
      <c r="I119" s="265">
        <v>5</v>
      </c>
      <c r="J119" s="163" t="s">
        <v>681</v>
      </c>
      <c r="K119" s="130" t="s">
        <v>682</v>
      </c>
      <c r="L119" s="138">
        <v>1</v>
      </c>
      <c r="M119" s="166">
        <f t="shared" si="16"/>
        <v>5</v>
      </c>
      <c r="N119" s="133" t="s">
        <v>291</v>
      </c>
      <c r="O119" s="69" t="s">
        <v>242</v>
      </c>
      <c r="P119" s="131">
        <v>5</v>
      </c>
      <c r="Q119" s="134">
        <f>I119*L119*P119</f>
        <v>25</v>
      </c>
      <c r="R119" s="428"/>
      <c r="S119" s="428"/>
      <c r="T119" s="133"/>
      <c r="U119" s="405"/>
      <c r="V119" s="135"/>
      <c r="W119" s="133"/>
      <c r="X119" s="405"/>
      <c r="Y119" s="405"/>
      <c r="Z119" s="135"/>
      <c r="AA119" s="136">
        <f t="shared" si="23"/>
        <v>0</v>
      </c>
      <c r="AB119" s="111"/>
      <c r="AC119" s="363"/>
      <c r="AD119" s="226">
        <f t="shared" si="13"/>
        <v>6752</v>
      </c>
    </row>
    <row r="120" spans="1:30" ht="128.25" outlineLevel="3" thickBot="1" x14ac:dyDescent="0.25">
      <c r="A120" s="252" t="s">
        <v>683</v>
      </c>
      <c r="B120" s="496"/>
      <c r="C120" s="501"/>
      <c r="D120" s="496"/>
      <c r="E120" s="415" t="s">
        <v>684</v>
      </c>
      <c r="F120" s="415" t="s">
        <v>685</v>
      </c>
      <c r="G120" s="405" t="s">
        <v>237</v>
      </c>
      <c r="H120" s="255" t="s">
        <v>238</v>
      </c>
      <c r="I120" s="244">
        <v>2</v>
      </c>
      <c r="J120" s="163" t="s">
        <v>675</v>
      </c>
      <c r="K120" s="130" t="s">
        <v>682</v>
      </c>
      <c r="L120" s="138">
        <v>1</v>
      </c>
      <c r="M120" s="166">
        <f t="shared" si="16"/>
        <v>2</v>
      </c>
      <c r="N120" s="133" t="s">
        <v>291</v>
      </c>
      <c r="O120" s="69" t="s">
        <v>242</v>
      </c>
      <c r="P120" s="131">
        <v>5</v>
      </c>
      <c r="Q120" s="134">
        <f t="shared" ref="Q120:Q122" si="24">I120*L120*P120</f>
        <v>10</v>
      </c>
      <c r="R120" s="428"/>
      <c r="S120" s="428"/>
      <c r="T120" s="133"/>
      <c r="U120" s="405"/>
      <c r="V120" s="135"/>
      <c r="W120" s="133"/>
      <c r="X120" s="405"/>
      <c r="Y120" s="405"/>
      <c r="Z120" s="135"/>
      <c r="AA120" s="136"/>
      <c r="AB120" s="111"/>
      <c r="AC120" s="363"/>
      <c r="AD120" s="226">
        <f t="shared" si="13"/>
        <v>6753</v>
      </c>
    </row>
    <row r="121" spans="1:30" ht="204.75" outlineLevel="3" thickBot="1" x14ac:dyDescent="0.25">
      <c r="A121" s="252" t="s">
        <v>686</v>
      </c>
      <c r="B121" s="496"/>
      <c r="C121" s="501"/>
      <c r="D121" s="496"/>
      <c r="E121" s="415" t="s">
        <v>687</v>
      </c>
      <c r="F121" s="415" t="s">
        <v>688</v>
      </c>
      <c r="G121" s="415" t="s">
        <v>679</v>
      </c>
      <c r="H121" s="255" t="s">
        <v>680</v>
      </c>
      <c r="I121" s="265">
        <v>5</v>
      </c>
      <c r="J121" s="163" t="s">
        <v>689</v>
      </c>
      <c r="K121" s="130" t="s">
        <v>682</v>
      </c>
      <c r="L121" s="138">
        <v>1</v>
      </c>
      <c r="M121" s="166">
        <f t="shared" si="16"/>
        <v>5</v>
      </c>
      <c r="N121" s="133" t="s">
        <v>291</v>
      </c>
      <c r="O121" s="69" t="s">
        <v>242</v>
      </c>
      <c r="P121" s="131">
        <v>5</v>
      </c>
      <c r="Q121" s="134">
        <f t="shared" si="24"/>
        <v>25</v>
      </c>
      <c r="R121" s="428"/>
      <c r="S121" s="428"/>
      <c r="T121" s="133"/>
      <c r="U121" s="405"/>
      <c r="V121" s="135"/>
      <c r="W121" s="133"/>
      <c r="X121" s="405"/>
      <c r="Y121" s="405"/>
      <c r="Z121" s="135"/>
      <c r="AA121" s="136">
        <f t="shared" si="23"/>
        <v>0</v>
      </c>
      <c r="AB121" s="111"/>
      <c r="AC121" s="363"/>
      <c r="AD121" s="226">
        <f t="shared" si="13"/>
        <v>6754</v>
      </c>
    </row>
    <row r="122" spans="1:30" ht="115.5" outlineLevel="3" thickBot="1" x14ac:dyDescent="0.25">
      <c r="A122" s="243" t="s">
        <v>690</v>
      </c>
      <c r="B122" s="491"/>
      <c r="C122" s="487"/>
      <c r="D122" s="491"/>
      <c r="E122" s="415" t="s">
        <v>691</v>
      </c>
      <c r="F122" s="415" t="s">
        <v>692</v>
      </c>
      <c r="G122" s="417" t="s">
        <v>252</v>
      </c>
      <c r="H122" s="255" t="s">
        <v>238</v>
      </c>
      <c r="I122" s="244">
        <v>2</v>
      </c>
      <c r="J122" s="129" t="s">
        <v>693</v>
      </c>
      <c r="K122" s="130" t="s">
        <v>682</v>
      </c>
      <c r="L122" s="138">
        <v>1</v>
      </c>
      <c r="M122" s="166">
        <f t="shared" si="16"/>
        <v>2</v>
      </c>
      <c r="N122" s="133" t="s">
        <v>291</v>
      </c>
      <c r="O122" s="69" t="s">
        <v>242</v>
      </c>
      <c r="P122" s="131">
        <v>5</v>
      </c>
      <c r="Q122" s="134">
        <f t="shared" si="24"/>
        <v>10</v>
      </c>
      <c r="R122" s="427"/>
      <c r="S122" s="427"/>
      <c r="T122" s="221"/>
      <c r="U122" s="404"/>
      <c r="V122" s="222"/>
      <c r="W122" s="221"/>
      <c r="X122" s="404"/>
      <c r="Y122" s="404"/>
      <c r="Z122" s="222"/>
      <c r="AA122" s="136">
        <f t="shared" si="23"/>
        <v>0</v>
      </c>
      <c r="AB122" s="223"/>
      <c r="AC122" s="363"/>
      <c r="AD122" s="226">
        <f t="shared" si="13"/>
        <v>6755</v>
      </c>
    </row>
    <row r="123" spans="1:30" ht="153.75" outlineLevel="3" thickBot="1" x14ac:dyDescent="0.25">
      <c r="A123" s="199" t="s">
        <v>694</v>
      </c>
      <c r="B123" s="477" t="s">
        <v>695</v>
      </c>
      <c r="C123" s="479" t="s">
        <v>696</v>
      </c>
      <c r="D123" s="477" t="s">
        <v>697</v>
      </c>
      <c r="E123" s="405" t="s">
        <v>698</v>
      </c>
      <c r="F123" s="405" t="s">
        <v>699</v>
      </c>
      <c r="G123" s="405" t="s">
        <v>237</v>
      </c>
      <c r="H123" s="420" t="s">
        <v>238</v>
      </c>
      <c r="I123" s="164">
        <v>2</v>
      </c>
      <c r="J123" s="163" t="s">
        <v>290</v>
      </c>
      <c r="K123" s="165" t="s">
        <v>240</v>
      </c>
      <c r="L123" s="138">
        <v>1</v>
      </c>
      <c r="M123" s="132">
        <f t="shared" si="16"/>
        <v>2</v>
      </c>
      <c r="N123" s="133" t="s">
        <v>291</v>
      </c>
      <c r="O123" s="69" t="s">
        <v>242</v>
      </c>
      <c r="P123" s="131">
        <v>5</v>
      </c>
      <c r="Q123" s="134">
        <f t="shared" si="17"/>
        <v>10</v>
      </c>
      <c r="R123" s="224"/>
      <c r="S123" s="299"/>
      <c r="T123" s="232"/>
      <c r="U123" s="409"/>
      <c r="V123" s="300"/>
      <c r="W123" s="232"/>
      <c r="X123" s="224"/>
      <c r="Y123" s="224"/>
      <c r="Z123" s="224"/>
      <c r="AA123" s="136">
        <f t="shared" si="23"/>
        <v>0</v>
      </c>
      <c r="AB123" s="380"/>
      <c r="AD123" s="226">
        <f t="shared" si="13"/>
        <v>5225</v>
      </c>
    </row>
    <row r="124" spans="1:30" ht="217.5" outlineLevel="3" thickBot="1" x14ac:dyDescent="0.25">
      <c r="A124" s="252" t="s">
        <v>700</v>
      </c>
      <c r="B124" s="491"/>
      <c r="C124" s="504"/>
      <c r="D124" s="491"/>
      <c r="E124" s="415" t="s">
        <v>701</v>
      </c>
      <c r="F124" s="415" t="s">
        <v>702</v>
      </c>
      <c r="G124" s="405" t="s">
        <v>237</v>
      </c>
      <c r="H124" s="255" t="s">
        <v>238</v>
      </c>
      <c r="I124" s="244">
        <v>2</v>
      </c>
      <c r="J124" s="163" t="s">
        <v>402</v>
      </c>
      <c r="K124" s="130" t="s">
        <v>240</v>
      </c>
      <c r="L124" s="131">
        <v>1</v>
      </c>
      <c r="M124" s="132">
        <f t="shared" si="16"/>
        <v>2</v>
      </c>
      <c r="N124" s="133" t="s">
        <v>291</v>
      </c>
      <c r="O124" s="69" t="s">
        <v>242</v>
      </c>
      <c r="P124" s="131">
        <v>5</v>
      </c>
      <c r="Q124" s="134">
        <f t="shared" si="17"/>
        <v>10</v>
      </c>
      <c r="R124" s="428"/>
      <c r="S124" s="428"/>
      <c r="T124" s="133"/>
      <c r="U124" s="405"/>
      <c r="V124" s="135"/>
      <c r="W124" s="133"/>
      <c r="X124" s="405"/>
      <c r="Y124" s="405"/>
      <c r="Z124" s="135"/>
      <c r="AA124" s="136">
        <f t="shared" si="23"/>
        <v>0</v>
      </c>
      <c r="AB124" s="219"/>
      <c r="AC124" s="363"/>
      <c r="AD124" s="226">
        <f t="shared" si="13"/>
        <v>5226</v>
      </c>
    </row>
    <row r="125" spans="1:30" ht="153.75" outlineLevel="3" thickBot="1" x14ac:dyDescent="0.25">
      <c r="A125" s="245" t="s">
        <v>703</v>
      </c>
      <c r="B125" s="492" t="s">
        <v>704</v>
      </c>
      <c r="C125" s="494" t="s">
        <v>705</v>
      </c>
      <c r="D125" s="492" t="s">
        <v>706</v>
      </c>
      <c r="E125" s="409" t="s">
        <v>275</v>
      </c>
      <c r="F125" s="409" t="s">
        <v>707</v>
      </c>
      <c r="G125" s="417" t="s">
        <v>252</v>
      </c>
      <c r="H125" s="295" t="s">
        <v>238</v>
      </c>
      <c r="I125" s="296">
        <v>1</v>
      </c>
      <c r="J125" s="297" t="s">
        <v>277</v>
      </c>
      <c r="K125" s="298" t="s">
        <v>240</v>
      </c>
      <c r="L125" s="234">
        <v>1</v>
      </c>
      <c r="M125" s="213">
        <f t="shared" ref="M125:M126" si="25">I125*L125</f>
        <v>1</v>
      </c>
      <c r="N125" s="232" t="s">
        <v>291</v>
      </c>
      <c r="O125" s="233" t="s">
        <v>242</v>
      </c>
      <c r="P125" s="234">
        <v>5</v>
      </c>
      <c r="Q125" s="220">
        <f t="shared" ref="Q125:Q126" si="26">I125*L125*P125</f>
        <v>5</v>
      </c>
      <c r="R125" s="427"/>
      <c r="S125" s="299"/>
      <c r="T125" s="232"/>
      <c r="U125" s="409"/>
      <c r="V125" s="300"/>
      <c r="W125" s="232"/>
      <c r="X125" s="404"/>
      <c r="Y125" s="404"/>
      <c r="Z125" s="222"/>
      <c r="AA125" s="136">
        <f t="shared" si="23"/>
        <v>0</v>
      </c>
      <c r="AB125" s="223"/>
      <c r="AC125" s="363"/>
      <c r="AD125" s="226">
        <f t="shared" si="13"/>
        <v>5229</v>
      </c>
    </row>
    <row r="126" spans="1:30" ht="153.75" outlineLevel="3" thickBot="1" x14ac:dyDescent="0.25">
      <c r="A126" s="245" t="s">
        <v>708</v>
      </c>
      <c r="B126" s="493"/>
      <c r="C126" s="495"/>
      <c r="D126" s="493"/>
      <c r="E126" s="409" t="s">
        <v>279</v>
      </c>
      <c r="F126" s="409" t="s">
        <v>709</v>
      </c>
      <c r="G126" s="405" t="s">
        <v>237</v>
      </c>
      <c r="H126" s="295" t="s">
        <v>238</v>
      </c>
      <c r="I126" s="318">
        <v>2</v>
      </c>
      <c r="J126" s="297" t="s">
        <v>412</v>
      </c>
      <c r="K126" s="298" t="s">
        <v>240</v>
      </c>
      <c r="L126" s="234">
        <v>1</v>
      </c>
      <c r="M126" s="213">
        <f t="shared" si="25"/>
        <v>2</v>
      </c>
      <c r="N126" s="232" t="s">
        <v>291</v>
      </c>
      <c r="O126" s="233" t="s">
        <v>242</v>
      </c>
      <c r="P126" s="234">
        <v>5</v>
      </c>
      <c r="Q126" s="214">
        <f t="shared" si="26"/>
        <v>10</v>
      </c>
      <c r="R126" s="339"/>
      <c r="S126" s="299"/>
      <c r="T126" s="232"/>
      <c r="U126" s="409"/>
      <c r="V126" s="300"/>
      <c r="W126" s="232"/>
      <c r="X126" s="339"/>
      <c r="Y126" s="339"/>
      <c r="Z126" s="382"/>
      <c r="AA126" s="136">
        <f t="shared" si="23"/>
        <v>0</v>
      </c>
      <c r="AB126" s="383"/>
      <c r="AC126" s="369"/>
      <c r="AD126" s="226">
        <f t="shared" si="13"/>
        <v>5230</v>
      </c>
    </row>
    <row r="127" spans="1:30" ht="153.75" outlineLevel="3" thickBot="1" x14ac:dyDescent="0.25">
      <c r="A127" s="252" t="s">
        <v>710</v>
      </c>
      <c r="B127" s="489" t="s">
        <v>711</v>
      </c>
      <c r="C127" s="486" t="s">
        <v>712</v>
      </c>
      <c r="D127" s="489" t="s">
        <v>713</v>
      </c>
      <c r="E127" s="415" t="s">
        <v>698</v>
      </c>
      <c r="F127" s="415" t="s">
        <v>714</v>
      </c>
      <c r="G127" s="405" t="s">
        <v>237</v>
      </c>
      <c r="H127" s="255" t="s">
        <v>238</v>
      </c>
      <c r="I127" s="244">
        <v>2</v>
      </c>
      <c r="J127" s="253" t="s">
        <v>290</v>
      </c>
      <c r="K127" s="130" t="s">
        <v>240</v>
      </c>
      <c r="L127" s="131">
        <v>1</v>
      </c>
      <c r="M127" s="132">
        <f t="shared" si="16"/>
        <v>2</v>
      </c>
      <c r="N127" s="133" t="s">
        <v>291</v>
      </c>
      <c r="O127" s="69" t="s">
        <v>242</v>
      </c>
      <c r="P127" s="131">
        <v>5</v>
      </c>
      <c r="Q127" s="134">
        <f t="shared" si="17"/>
        <v>10</v>
      </c>
      <c r="R127" s="339"/>
      <c r="S127" s="299"/>
      <c r="T127" s="232"/>
      <c r="U127" s="409"/>
      <c r="V127" s="300"/>
      <c r="W127" s="232"/>
      <c r="X127" s="339"/>
      <c r="Y127" s="339"/>
      <c r="Z127" s="382"/>
      <c r="AA127" s="136">
        <f t="shared" si="23"/>
        <v>0</v>
      </c>
      <c r="AB127" s="383"/>
      <c r="AC127" s="227"/>
      <c r="AD127" s="226">
        <f t="shared" si="13"/>
        <v>5227</v>
      </c>
    </row>
    <row r="128" spans="1:30" ht="217.5" outlineLevel="3" thickBot="1" x14ac:dyDescent="0.25">
      <c r="A128" s="252" t="s">
        <v>715</v>
      </c>
      <c r="B128" s="491"/>
      <c r="C128" s="487"/>
      <c r="D128" s="491"/>
      <c r="E128" s="415" t="s">
        <v>701</v>
      </c>
      <c r="F128" s="415" t="s">
        <v>702</v>
      </c>
      <c r="G128" s="405" t="s">
        <v>237</v>
      </c>
      <c r="H128" s="255" t="s">
        <v>238</v>
      </c>
      <c r="I128" s="244">
        <v>2</v>
      </c>
      <c r="J128" s="253" t="s">
        <v>402</v>
      </c>
      <c r="K128" s="130" t="s">
        <v>240</v>
      </c>
      <c r="L128" s="131">
        <v>1</v>
      </c>
      <c r="M128" s="132">
        <f t="shared" si="16"/>
        <v>2</v>
      </c>
      <c r="N128" s="133" t="s">
        <v>291</v>
      </c>
      <c r="O128" s="69" t="s">
        <v>242</v>
      </c>
      <c r="P128" s="131">
        <v>5</v>
      </c>
      <c r="Q128" s="381">
        <f t="shared" si="17"/>
        <v>10</v>
      </c>
      <c r="R128" s="428"/>
      <c r="S128" s="428"/>
      <c r="T128" s="133"/>
      <c r="U128" s="405"/>
      <c r="V128" s="135"/>
      <c r="W128" s="133"/>
      <c r="X128" s="405"/>
      <c r="Y128" s="405"/>
      <c r="Z128" s="135"/>
      <c r="AA128" s="136">
        <f t="shared" si="23"/>
        <v>0</v>
      </c>
      <c r="AB128" s="219"/>
      <c r="AC128" s="363"/>
      <c r="AD128" s="226">
        <f t="shared" si="13"/>
        <v>5228</v>
      </c>
    </row>
    <row r="129" spans="1:32" s="303" customFormat="1" ht="153.75" outlineLevel="3" thickBot="1" x14ac:dyDescent="0.25">
      <c r="A129" s="252" t="s">
        <v>703</v>
      </c>
      <c r="B129" s="489" t="s">
        <v>704</v>
      </c>
      <c r="C129" s="486" t="s">
        <v>716</v>
      </c>
      <c r="D129" s="489" t="s">
        <v>706</v>
      </c>
      <c r="E129" s="415" t="s">
        <v>275</v>
      </c>
      <c r="F129" s="415" t="s">
        <v>707</v>
      </c>
      <c r="G129" s="417" t="s">
        <v>252</v>
      </c>
      <c r="H129" s="255" t="s">
        <v>238</v>
      </c>
      <c r="I129" s="265">
        <v>1</v>
      </c>
      <c r="J129" s="253" t="s">
        <v>277</v>
      </c>
      <c r="K129" s="130" t="s">
        <v>240</v>
      </c>
      <c r="L129" s="131">
        <v>1</v>
      </c>
      <c r="M129" s="132">
        <f t="shared" si="16"/>
        <v>1</v>
      </c>
      <c r="N129" s="133" t="s">
        <v>291</v>
      </c>
      <c r="O129" s="69" t="s">
        <v>242</v>
      </c>
      <c r="P129" s="131">
        <v>5</v>
      </c>
      <c r="Q129" s="381">
        <f t="shared" si="17"/>
        <v>5</v>
      </c>
      <c r="R129" s="299"/>
      <c r="S129" s="299"/>
      <c r="T129" s="232"/>
      <c r="U129" s="409"/>
      <c r="V129" s="300"/>
      <c r="W129" s="232"/>
      <c r="X129" s="409"/>
      <c r="Y129" s="409"/>
      <c r="Z129" s="300"/>
      <c r="AA129" s="136">
        <f t="shared" si="23"/>
        <v>0</v>
      </c>
      <c r="AB129" s="302"/>
      <c r="AC129" s="367"/>
      <c r="AD129" s="226">
        <f t="shared" si="13"/>
        <v>5229</v>
      </c>
      <c r="AE129" s="239"/>
    </row>
    <row r="130" spans="1:32" s="303" customFormat="1" ht="153.75" outlineLevel="3" thickBot="1" x14ac:dyDescent="0.25">
      <c r="A130" s="252" t="s">
        <v>708</v>
      </c>
      <c r="B130" s="491"/>
      <c r="C130" s="487"/>
      <c r="D130" s="491"/>
      <c r="E130" s="415" t="s">
        <v>279</v>
      </c>
      <c r="F130" s="415" t="s">
        <v>709</v>
      </c>
      <c r="G130" s="405" t="s">
        <v>237</v>
      </c>
      <c r="H130" s="255" t="s">
        <v>238</v>
      </c>
      <c r="I130" s="244">
        <v>2</v>
      </c>
      <c r="J130" s="253" t="s">
        <v>412</v>
      </c>
      <c r="K130" s="130" t="s">
        <v>240</v>
      </c>
      <c r="L130" s="131">
        <v>1</v>
      </c>
      <c r="M130" s="132">
        <f t="shared" si="16"/>
        <v>2</v>
      </c>
      <c r="N130" s="133" t="s">
        <v>291</v>
      </c>
      <c r="O130" s="69" t="s">
        <v>242</v>
      </c>
      <c r="P130" s="131">
        <v>5</v>
      </c>
      <c r="Q130" s="134">
        <f t="shared" si="17"/>
        <v>10</v>
      </c>
      <c r="R130" s="299"/>
      <c r="S130" s="299"/>
      <c r="T130" s="232"/>
      <c r="U130" s="409"/>
      <c r="V130" s="300"/>
      <c r="W130" s="232"/>
      <c r="X130" s="409"/>
      <c r="Y130" s="409"/>
      <c r="Z130" s="300"/>
      <c r="AA130" s="136">
        <f t="shared" si="23"/>
        <v>0</v>
      </c>
      <c r="AB130" s="302"/>
      <c r="AC130" s="367"/>
      <c r="AD130" s="226">
        <f t="shared" si="13"/>
        <v>5230</v>
      </c>
      <c r="AE130" s="239"/>
    </row>
    <row r="131" spans="1:32" s="303" customFormat="1" ht="153.75" outlineLevel="3" thickBot="1" x14ac:dyDescent="0.25">
      <c r="A131" s="304" t="s">
        <v>717</v>
      </c>
      <c r="B131" s="518" t="s">
        <v>718</v>
      </c>
      <c r="C131" s="519" t="s">
        <v>719</v>
      </c>
      <c r="D131" s="518" t="s">
        <v>720</v>
      </c>
      <c r="E131" s="410" t="s">
        <v>352</v>
      </c>
      <c r="F131" s="409" t="s">
        <v>721</v>
      </c>
      <c r="G131" s="417" t="s">
        <v>252</v>
      </c>
      <c r="H131" s="295" t="s">
        <v>238</v>
      </c>
      <c r="I131" s="296">
        <v>1</v>
      </c>
      <c r="J131" s="410" t="s">
        <v>302</v>
      </c>
      <c r="K131" s="410" t="s">
        <v>240</v>
      </c>
      <c r="L131" s="410">
        <v>1</v>
      </c>
      <c r="M131" s="231">
        <f t="shared" si="16"/>
        <v>1</v>
      </c>
      <c r="N131" s="232" t="s">
        <v>303</v>
      </c>
      <c r="O131" s="233" t="s">
        <v>242</v>
      </c>
      <c r="P131" s="234">
        <v>5</v>
      </c>
      <c r="Q131" s="235">
        <f t="shared" ref="Q131:Q136" si="27">P131*L131*I131</f>
        <v>5</v>
      </c>
      <c r="R131" s="299"/>
      <c r="S131" s="299"/>
      <c r="T131" s="232"/>
      <c r="U131" s="409"/>
      <c r="V131" s="300"/>
      <c r="W131" s="232"/>
      <c r="X131" s="409"/>
      <c r="Y131" s="409"/>
      <c r="Z131" s="300"/>
      <c r="AA131" s="136">
        <f t="shared" si="23"/>
        <v>0</v>
      </c>
      <c r="AB131" s="302"/>
      <c r="AC131" s="367"/>
      <c r="AD131" s="226">
        <f t="shared" si="13"/>
        <v>10937</v>
      </c>
      <c r="AE131" s="239"/>
    </row>
    <row r="132" spans="1:32" s="303" customFormat="1" ht="153.75" outlineLevel="3" thickBot="1" x14ac:dyDescent="0.25">
      <c r="A132" s="306" t="s">
        <v>722</v>
      </c>
      <c r="B132" s="518"/>
      <c r="C132" s="519"/>
      <c r="D132" s="518"/>
      <c r="E132" s="410" t="s">
        <v>355</v>
      </c>
      <c r="F132" s="409" t="s">
        <v>721</v>
      </c>
      <c r="G132" s="417" t="s">
        <v>252</v>
      </c>
      <c r="H132" s="295" t="s">
        <v>238</v>
      </c>
      <c r="I132" s="296">
        <v>1</v>
      </c>
      <c r="J132" s="410" t="s">
        <v>307</v>
      </c>
      <c r="K132" s="410" t="s">
        <v>240</v>
      </c>
      <c r="L132" s="410">
        <v>1</v>
      </c>
      <c r="M132" s="231">
        <f t="shared" si="16"/>
        <v>1</v>
      </c>
      <c r="N132" s="232" t="s">
        <v>303</v>
      </c>
      <c r="O132" s="233" t="s">
        <v>242</v>
      </c>
      <c r="P132" s="234">
        <v>5</v>
      </c>
      <c r="Q132" s="235">
        <f t="shared" si="27"/>
        <v>5</v>
      </c>
      <c r="R132" s="299"/>
      <c r="S132" s="299"/>
      <c r="T132" s="232"/>
      <c r="U132" s="409"/>
      <c r="V132" s="300"/>
      <c r="W132" s="232"/>
      <c r="X132" s="409"/>
      <c r="Y132" s="409"/>
      <c r="Z132" s="300"/>
      <c r="AA132" s="136">
        <f t="shared" si="23"/>
        <v>0</v>
      </c>
      <c r="AB132" s="302"/>
      <c r="AC132" s="367"/>
      <c r="AD132" s="226">
        <f t="shared" si="13"/>
        <v>10938</v>
      </c>
      <c r="AE132" s="239"/>
    </row>
    <row r="133" spans="1:32" s="303" customFormat="1" ht="153.75" outlineLevel="3" thickBot="1" x14ac:dyDescent="0.25">
      <c r="A133" s="304" t="s">
        <v>723</v>
      </c>
      <c r="B133" s="518" t="s">
        <v>724</v>
      </c>
      <c r="C133" s="519" t="s">
        <v>725</v>
      </c>
      <c r="D133" s="518" t="s">
        <v>726</v>
      </c>
      <c r="E133" s="410" t="s">
        <v>437</v>
      </c>
      <c r="F133" s="409" t="s">
        <v>721</v>
      </c>
      <c r="G133" s="417" t="s">
        <v>252</v>
      </c>
      <c r="H133" s="295" t="s">
        <v>238</v>
      </c>
      <c r="I133" s="296">
        <v>1</v>
      </c>
      <c r="J133" s="410" t="s">
        <v>302</v>
      </c>
      <c r="K133" s="410" t="s">
        <v>240</v>
      </c>
      <c r="L133" s="410">
        <v>1</v>
      </c>
      <c r="M133" s="231">
        <f t="shared" ref="M133:M138" si="28">I133*L133</f>
        <v>1</v>
      </c>
      <c r="N133" s="232" t="s">
        <v>303</v>
      </c>
      <c r="O133" s="233" t="s">
        <v>242</v>
      </c>
      <c r="P133" s="234">
        <v>5</v>
      </c>
      <c r="Q133" s="235">
        <f t="shared" si="27"/>
        <v>5</v>
      </c>
      <c r="R133" s="299"/>
      <c r="S133" s="299"/>
      <c r="T133" s="232"/>
      <c r="U133" s="409"/>
      <c r="V133" s="300"/>
      <c r="W133" s="232"/>
      <c r="X133" s="409"/>
      <c r="Y133" s="409"/>
      <c r="Z133" s="300"/>
      <c r="AA133" s="136">
        <f t="shared" si="23"/>
        <v>0</v>
      </c>
      <c r="AB133" s="302"/>
      <c r="AC133" s="367"/>
      <c r="AD133" s="226">
        <f t="shared" si="13"/>
        <v>10939</v>
      </c>
      <c r="AE133" s="239"/>
    </row>
    <row r="134" spans="1:32" s="303" customFormat="1" ht="153.75" outlineLevel="3" thickBot="1" x14ac:dyDescent="0.25">
      <c r="A134" s="306" t="s">
        <v>727</v>
      </c>
      <c r="B134" s="518"/>
      <c r="C134" s="519"/>
      <c r="D134" s="518"/>
      <c r="E134" s="410" t="s">
        <v>701</v>
      </c>
      <c r="F134" s="409" t="s">
        <v>721</v>
      </c>
      <c r="G134" s="417" t="s">
        <v>252</v>
      </c>
      <c r="H134" s="295" t="s">
        <v>238</v>
      </c>
      <c r="I134" s="296">
        <v>1</v>
      </c>
      <c r="J134" s="410" t="s">
        <v>307</v>
      </c>
      <c r="K134" s="410" t="s">
        <v>240</v>
      </c>
      <c r="L134" s="410">
        <v>1</v>
      </c>
      <c r="M134" s="231">
        <f t="shared" si="28"/>
        <v>1</v>
      </c>
      <c r="N134" s="232" t="s">
        <v>303</v>
      </c>
      <c r="O134" s="233" t="s">
        <v>242</v>
      </c>
      <c r="P134" s="234">
        <v>5</v>
      </c>
      <c r="Q134" s="235">
        <f t="shared" si="27"/>
        <v>5</v>
      </c>
      <c r="R134" s="299"/>
      <c r="S134" s="299"/>
      <c r="T134" s="232"/>
      <c r="U134" s="409"/>
      <c r="V134" s="300"/>
      <c r="W134" s="232"/>
      <c r="X134" s="409"/>
      <c r="Y134" s="409"/>
      <c r="Z134" s="300"/>
      <c r="AA134" s="136">
        <f t="shared" si="23"/>
        <v>0</v>
      </c>
      <c r="AB134" s="302"/>
      <c r="AC134" s="367"/>
      <c r="AD134" s="226">
        <f t="shared" ref="AD134:AD197" si="29">VALUE(RIGHT((IF(A134="",0,A134)),5))</f>
        <v>10940</v>
      </c>
      <c r="AE134" s="239"/>
    </row>
    <row r="135" spans="1:32" s="242" customFormat="1" ht="153.75" outlineLevel="3" thickBot="1" x14ac:dyDescent="0.25">
      <c r="A135" s="304" t="s">
        <v>728</v>
      </c>
      <c r="B135" s="518" t="s">
        <v>729</v>
      </c>
      <c r="C135" s="519" t="s">
        <v>730</v>
      </c>
      <c r="D135" s="518" t="s">
        <v>731</v>
      </c>
      <c r="E135" s="410" t="s">
        <v>352</v>
      </c>
      <c r="F135" s="410" t="s">
        <v>441</v>
      </c>
      <c r="G135" s="417" t="s">
        <v>252</v>
      </c>
      <c r="H135" s="295" t="s">
        <v>238</v>
      </c>
      <c r="I135" s="296">
        <v>1</v>
      </c>
      <c r="J135" s="410" t="s">
        <v>302</v>
      </c>
      <c r="K135" s="410" t="s">
        <v>240</v>
      </c>
      <c r="L135" s="410">
        <v>1</v>
      </c>
      <c r="M135" s="231">
        <f t="shared" si="28"/>
        <v>1</v>
      </c>
      <c r="N135" s="232" t="s">
        <v>303</v>
      </c>
      <c r="O135" s="233" t="s">
        <v>242</v>
      </c>
      <c r="P135" s="234">
        <v>5</v>
      </c>
      <c r="Q135" s="235">
        <f t="shared" si="27"/>
        <v>5</v>
      </c>
      <c r="R135" s="299"/>
      <c r="S135" s="299"/>
      <c r="T135" s="232"/>
      <c r="U135" s="409"/>
      <c r="V135" s="300"/>
      <c r="W135" s="232"/>
      <c r="X135" s="409"/>
      <c r="Y135" s="409"/>
      <c r="Z135" s="300"/>
      <c r="AA135" s="136">
        <f t="shared" si="23"/>
        <v>0</v>
      </c>
      <c r="AB135" s="302"/>
      <c r="AC135" s="239"/>
      <c r="AD135" s="226">
        <f t="shared" si="29"/>
        <v>10941</v>
      </c>
      <c r="AE135" s="239"/>
      <c r="AF135" s="346"/>
    </row>
    <row r="136" spans="1:32" s="239" customFormat="1" ht="153.75" outlineLevel="3" thickBot="1" x14ac:dyDescent="0.25">
      <c r="A136" s="306" t="s">
        <v>732</v>
      </c>
      <c r="B136" s="518"/>
      <c r="C136" s="519"/>
      <c r="D136" s="518"/>
      <c r="E136" s="410" t="s">
        <v>355</v>
      </c>
      <c r="F136" s="410" t="s">
        <v>733</v>
      </c>
      <c r="G136" s="405" t="s">
        <v>237</v>
      </c>
      <c r="H136" s="295" t="s">
        <v>238</v>
      </c>
      <c r="I136" s="296">
        <v>2</v>
      </c>
      <c r="J136" s="410" t="s">
        <v>307</v>
      </c>
      <c r="K136" s="410" t="s">
        <v>240</v>
      </c>
      <c r="L136" s="410">
        <v>1</v>
      </c>
      <c r="M136" s="231">
        <f t="shared" si="28"/>
        <v>2</v>
      </c>
      <c r="N136" s="232" t="s">
        <v>303</v>
      </c>
      <c r="O136" s="233" t="s">
        <v>242</v>
      </c>
      <c r="P136" s="234">
        <v>5</v>
      </c>
      <c r="Q136" s="235">
        <f t="shared" si="27"/>
        <v>10</v>
      </c>
      <c r="R136" s="299"/>
      <c r="S136" s="299"/>
      <c r="T136" s="232"/>
      <c r="U136" s="409"/>
      <c r="V136" s="300"/>
      <c r="W136" s="232"/>
      <c r="X136" s="409"/>
      <c r="Y136" s="409"/>
      <c r="Z136" s="300"/>
      <c r="AA136" s="136">
        <f t="shared" si="23"/>
        <v>0</v>
      </c>
      <c r="AB136" s="302"/>
      <c r="AD136" s="226">
        <f t="shared" si="29"/>
        <v>10942</v>
      </c>
    </row>
    <row r="137" spans="1:32" s="242" customFormat="1" ht="153.75" outlineLevel="3" thickBot="1" x14ac:dyDescent="0.25">
      <c r="A137" s="240" t="s">
        <v>734</v>
      </c>
      <c r="B137" s="493" t="s">
        <v>735</v>
      </c>
      <c r="C137" s="495" t="s">
        <v>736</v>
      </c>
      <c r="D137" s="493" t="s">
        <v>737</v>
      </c>
      <c r="E137" s="409" t="s">
        <v>235</v>
      </c>
      <c r="F137" s="409" t="s">
        <v>738</v>
      </c>
      <c r="G137" s="405" t="s">
        <v>237</v>
      </c>
      <c r="H137" s="295" t="s">
        <v>238</v>
      </c>
      <c r="I137" s="409">
        <v>2</v>
      </c>
      <c r="J137" s="409" t="s">
        <v>239</v>
      </c>
      <c r="K137" s="409" t="s">
        <v>240</v>
      </c>
      <c r="L137" s="409">
        <v>1</v>
      </c>
      <c r="M137" s="231">
        <f t="shared" si="28"/>
        <v>2</v>
      </c>
      <c r="N137" s="232" t="s">
        <v>241</v>
      </c>
      <c r="O137" s="241" t="s">
        <v>242</v>
      </c>
      <c r="P137" s="234">
        <v>5</v>
      </c>
      <c r="Q137" s="235">
        <f t="shared" ref="Q137:Q138" si="30">I137*L137*P137</f>
        <v>10</v>
      </c>
      <c r="R137" s="299"/>
      <c r="S137" s="299"/>
      <c r="T137" s="232"/>
      <c r="U137" s="409"/>
      <c r="V137" s="300"/>
      <c r="W137" s="232"/>
      <c r="X137" s="409"/>
      <c r="Y137" s="409"/>
      <c r="Z137" s="300"/>
      <c r="AA137" s="136">
        <f t="shared" si="23"/>
        <v>0</v>
      </c>
      <c r="AB137" s="302"/>
      <c r="AC137" s="239"/>
      <c r="AD137" s="226">
        <f t="shared" si="29"/>
        <v>11403</v>
      </c>
      <c r="AE137" s="239"/>
      <c r="AF137" s="346"/>
    </row>
    <row r="138" spans="1:32" s="239" customFormat="1" ht="153.75" outlineLevel="3" thickBot="1" x14ac:dyDescent="0.25">
      <c r="A138" s="230" t="s">
        <v>739</v>
      </c>
      <c r="B138" s="518"/>
      <c r="C138" s="519"/>
      <c r="D138" s="518"/>
      <c r="E138" s="410" t="s">
        <v>740</v>
      </c>
      <c r="F138" s="410" t="s">
        <v>741</v>
      </c>
      <c r="G138" s="405" t="s">
        <v>237</v>
      </c>
      <c r="H138" s="295" t="s">
        <v>238</v>
      </c>
      <c r="I138" s="410">
        <v>2</v>
      </c>
      <c r="J138" s="410" t="s">
        <v>742</v>
      </c>
      <c r="K138" s="410" t="s">
        <v>240</v>
      </c>
      <c r="L138" s="410">
        <v>1</v>
      </c>
      <c r="M138" s="231">
        <f t="shared" si="28"/>
        <v>2</v>
      </c>
      <c r="N138" s="232" t="s">
        <v>241</v>
      </c>
      <c r="O138" s="233" t="s">
        <v>242</v>
      </c>
      <c r="P138" s="234">
        <v>5</v>
      </c>
      <c r="Q138" s="235">
        <f t="shared" si="30"/>
        <v>10</v>
      </c>
      <c r="R138" s="299"/>
      <c r="S138" s="299"/>
      <c r="T138" s="232"/>
      <c r="U138" s="409"/>
      <c r="V138" s="300"/>
      <c r="W138" s="232"/>
      <c r="X138" s="409"/>
      <c r="Y138" s="409"/>
      <c r="Z138" s="300"/>
      <c r="AA138" s="136">
        <f t="shared" si="23"/>
        <v>0</v>
      </c>
      <c r="AB138" s="302"/>
      <c r="AD138" s="226">
        <f t="shared" si="29"/>
        <v>11404</v>
      </c>
    </row>
    <row r="139" spans="1:32" s="242" customFormat="1" ht="153.75" outlineLevel="3" thickBot="1" x14ac:dyDescent="0.25">
      <c r="A139" s="240" t="s">
        <v>743</v>
      </c>
      <c r="B139" s="493" t="s">
        <v>744</v>
      </c>
      <c r="C139" s="495" t="s">
        <v>745</v>
      </c>
      <c r="D139" s="493" t="s">
        <v>746</v>
      </c>
      <c r="E139" s="409" t="s">
        <v>235</v>
      </c>
      <c r="F139" s="409" t="s">
        <v>747</v>
      </c>
      <c r="G139" s="405" t="s">
        <v>237</v>
      </c>
      <c r="H139" s="295" t="s">
        <v>238</v>
      </c>
      <c r="I139" s="409">
        <v>2</v>
      </c>
      <c r="J139" s="409" t="s">
        <v>239</v>
      </c>
      <c r="K139" s="409" t="s">
        <v>240</v>
      </c>
      <c r="L139" s="409">
        <v>1</v>
      </c>
      <c r="M139" s="231">
        <f t="shared" ref="M139:M140" si="31">I139*L139</f>
        <v>2</v>
      </c>
      <c r="N139" s="232" t="s">
        <v>241</v>
      </c>
      <c r="O139" s="241" t="s">
        <v>242</v>
      </c>
      <c r="P139" s="234">
        <v>5</v>
      </c>
      <c r="Q139" s="235">
        <f t="shared" ref="Q139:Q140" si="32">I139*L139*P139</f>
        <v>10</v>
      </c>
      <c r="R139" s="299"/>
      <c r="S139" s="299"/>
      <c r="T139" s="232"/>
      <c r="U139" s="409"/>
      <c r="V139" s="300"/>
      <c r="W139" s="232"/>
      <c r="X139" s="409"/>
      <c r="Y139" s="409"/>
      <c r="Z139" s="300"/>
      <c r="AA139" s="136">
        <f t="shared" si="23"/>
        <v>0</v>
      </c>
      <c r="AB139" s="302"/>
      <c r="AC139" s="239"/>
      <c r="AD139" s="226">
        <f t="shared" si="29"/>
        <v>11405</v>
      </c>
      <c r="AE139" s="239"/>
      <c r="AF139" s="346"/>
    </row>
    <row r="140" spans="1:32" s="239" customFormat="1" ht="153.75" outlineLevel="3" thickBot="1" x14ac:dyDescent="0.25">
      <c r="A140" s="230" t="s">
        <v>748</v>
      </c>
      <c r="B140" s="518"/>
      <c r="C140" s="519"/>
      <c r="D140" s="518"/>
      <c r="E140" s="410" t="s">
        <v>740</v>
      </c>
      <c r="F140" s="410" t="s">
        <v>749</v>
      </c>
      <c r="G140" s="405" t="s">
        <v>237</v>
      </c>
      <c r="H140" s="295" t="s">
        <v>238</v>
      </c>
      <c r="I140" s="410">
        <v>2</v>
      </c>
      <c r="J140" s="410" t="s">
        <v>742</v>
      </c>
      <c r="K140" s="410" t="s">
        <v>240</v>
      </c>
      <c r="L140" s="410">
        <v>1</v>
      </c>
      <c r="M140" s="231">
        <f t="shared" si="31"/>
        <v>2</v>
      </c>
      <c r="N140" s="232" t="s">
        <v>241</v>
      </c>
      <c r="O140" s="233" t="s">
        <v>242</v>
      </c>
      <c r="P140" s="234">
        <v>5</v>
      </c>
      <c r="Q140" s="235">
        <f t="shared" si="32"/>
        <v>10</v>
      </c>
      <c r="R140" s="299"/>
      <c r="S140" s="299"/>
      <c r="T140" s="232"/>
      <c r="U140" s="409"/>
      <c r="V140" s="300"/>
      <c r="W140" s="232"/>
      <c r="X140" s="409"/>
      <c r="Y140" s="409"/>
      <c r="Z140" s="300"/>
      <c r="AA140" s="136">
        <f t="shared" si="23"/>
        <v>0</v>
      </c>
      <c r="AB140" s="302"/>
      <c r="AD140" s="226">
        <f t="shared" si="29"/>
        <v>11406</v>
      </c>
    </row>
    <row r="141" spans="1:32" s="242" customFormat="1" ht="153.75" outlineLevel="3" thickBot="1" x14ac:dyDescent="0.25">
      <c r="A141" s="240" t="s">
        <v>750</v>
      </c>
      <c r="B141" s="493" t="s">
        <v>751</v>
      </c>
      <c r="C141" s="495" t="s">
        <v>752</v>
      </c>
      <c r="D141" s="493" t="s">
        <v>753</v>
      </c>
      <c r="E141" s="409" t="s">
        <v>235</v>
      </c>
      <c r="F141" s="409" t="s">
        <v>754</v>
      </c>
      <c r="G141" s="405" t="s">
        <v>237</v>
      </c>
      <c r="H141" s="295" t="s">
        <v>238</v>
      </c>
      <c r="I141" s="409">
        <v>2</v>
      </c>
      <c r="J141" s="409" t="s">
        <v>239</v>
      </c>
      <c r="K141" s="409" t="s">
        <v>240</v>
      </c>
      <c r="L141" s="409">
        <v>1</v>
      </c>
      <c r="M141" s="231">
        <f t="shared" ref="M141:M142" si="33">I141*L141</f>
        <v>2</v>
      </c>
      <c r="N141" s="232" t="s">
        <v>241</v>
      </c>
      <c r="O141" s="241" t="s">
        <v>242</v>
      </c>
      <c r="P141" s="234">
        <v>5</v>
      </c>
      <c r="Q141" s="235">
        <f t="shared" ref="Q141:Q142" si="34">I141*L141*P141</f>
        <v>10</v>
      </c>
      <c r="R141" s="299"/>
      <c r="S141" s="299"/>
      <c r="T141" s="232"/>
      <c r="U141" s="409"/>
      <c r="V141" s="300"/>
      <c r="W141" s="232"/>
      <c r="X141" s="409"/>
      <c r="Y141" s="409"/>
      <c r="Z141" s="300"/>
      <c r="AA141" s="136">
        <f t="shared" si="23"/>
        <v>0</v>
      </c>
      <c r="AB141" s="302"/>
      <c r="AC141" s="239"/>
      <c r="AD141" s="226">
        <f t="shared" si="29"/>
        <v>11407</v>
      </c>
      <c r="AE141" s="239"/>
      <c r="AF141" s="346"/>
    </row>
    <row r="142" spans="1:32" s="239" customFormat="1" ht="204.75" outlineLevel="3" thickBot="1" x14ac:dyDescent="0.25">
      <c r="A142" s="230" t="s">
        <v>755</v>
      </c>
      <c r="B142" s="518"/>
      <c r="C142" s="519"/>
      <c r="D142" s="518"/>
      <c r="E142" s="410" t="s">
        <v>740</v>
      </c>
      <c r="F142" s="410" t="s">
        <v>756</v>
      </c>
      <c r="G142" s="405" t="s">
        <v>237</v>
      </c>
      <c r="H142" s="295" t="s">
        <v>238</v>
      </c>
      <c r="I142" s="410">
        <v>2</v>
      </c>
      <c r="J142" s="410" t="s">
        <v>742</v>
      </c>
      <c r="K142" s="410" t="s">
        <v>240</v>
      </c>
      <c r="L142" s="410">
        <v>1</v>
      </c>
      <c r="M142" s="231">
        <f t="shared" si="33"/>
        <v>2</v>
      </c>
      <c r="N142" s="232" t="s">
        <v>241</v>
      </c>
      <c r="O142" s="233" t="s">
        <v>242</v>
      </c>
      <c r="P142" s="234">
        <v>5</v>
      </c>
      <c r="Q142" s="235">
        <f t="shared" si="34"/>
        <v>10</v>
      </c>
      <c r="R142" s="299"/>
      <c r="S142" s="299"/>
      <c r="T142" s="232"/>
      <c r="U142" s="409"/>
      <c r="V142" s="300"/>
      <c r="W142" s="232"/>
      <c r="X142" s="409"/>
      <c r="Y142" s="409"/>
      <c r="Z142" s="300"/>
      <c r="AA142" s="136">
        <f t="shared" si="23"/>
        <v>0</v>
      </c>
      <c r="AB142" s="302"/>
      <c r="AD142" s="226">
        <f t="shared" si="29"/>
        <v>11408</v>
      </c>
    </row>
    <row r="143" spans="1:32" ht="37.5" customHeight="1" outlineLevel="3" thickBot="1" x14ac:dyDescent="0.25">
      <c r="A143" s="240" t="s">
        <v>757</v>
      </c>
      <c r="B143" s="493" t="s">
        <v>758</v>
      </c>
      <c r="C143" s="495" t="s">
        <v>759</v>
      </c>
      <c r="D143" s="493" t="s">
        <v>760</v>
      </c>
      <c r="E143" s="409" t="s">
        <v>235</v>
      </c>
      <c r="F143" s="409" t="s">
        <v>761</v>
      </c>
      <c r="G143" s="405" t="s">
        <v>237</v>
      </c>
      <c r="H143" s="295" t="s">
        <v>238</v>
      </c>
      <c r="I143" s="409">
        <v>2</v>
      </c>
      <c r="J143" s="409" t="s">
        <v>239</v>
      </c>
      <c r="K143" s="409" t="s">
        <v>240</v>
      </c>
      <c r="L143" s="409">
        <v>1</v>
      </c>
      <c r="M143" s="231">
        <f t="shared" ref="M143:M144" si="35">I143*L143</f>
        <v>2</v>
      </c>
      <c r="N143" s="232" t="s">
        <v>241</v>
      </c>
      <c r="O143" s="241" t="s">
        <v>242</v>
      </c>
      <c r="P143" s="234">
        <v>5</v>
      </c>
      <c r="Q143" s="235">
        <f t="shared" ref="Q143:Q144" si="36">I143*L143*P143</f>
        <v>10</v>
      </c>
      <c r="R143" s="299"/>
      <c r="S143" s="299"/>
      <c r="T143" s="232"/>
      <c r="U143" s="409"/>
      <c r="V143" s="300"/>
      <c r="W143" s="232"/>
      <c r="X143" s="409"/>
      <c r="Y143" s="409"/>
      <c r="Z143" s="300"/>
      <c r="AA143" s="136">
        <f t="shared" ref="AA143:AA180" si="37">X143*Y143*Z143</f>
        <v>0</v>
      </c>
      <c r="AB143" s="302"/>
      <c r="AC143" s="363"/>
      <c r="AD143" s="226">
        <f t="shared" si="29"/>
        <v>11409</v>
      </c>
    </row>
    <row r="144" spans="1:32" ht="153.75" outlineLevel="3" thickBot="1" x14ac:dyDescent="0.25">
      <c r="A144" s="230" t="s">
        <v>762</v>
      </c>
      <c r="B144" s="518"/>
      <c r="C144" s="519"/>
      <c r="D144" s="518"/>
      <c r="E144" s="410" t="s">
        <v>740</v>
      </c>
      <c r="F144" s="410" t="s">
        <v>763</v>
      </c>
      <c r="G144" s="405" t="s">
        <v>237</v>
      </c>
      <c r="H144" s="295" t="s">
        <v>238</v>
      </c>
      <c r="I144" s="410">
        <v>2</v>
      </c>
      <c r="J144" s="410" t="s">
        <v>742</v>
      </c>
      <c r="K144" s="410" t="s">
        <v>240</v>
      </c>
      <c r="L144" s="410">
        <v>1</v>
      </c>
      <c r="M144" s="231">
        <f t="shared" si="35"/>
        <v>2</v>
      </c>
      <c r="N144" s="232" t="s">
        <v>241</v>
      </c>
      <c r="O144" s="233" t="s">
        <v>242</v>
      </c>
      <c r="P144" s="234">
        <v>5</v>
      </c>
      <c r="Q144" s="235">
        <f t="shared" si="36"/>
        <v>10</v>
      </c>
      <c r="R144" s="299"/>
      <c r="S144" s="299"/>
      <c r="T144" s="232"/>
      <c r="U144" s="409"/>
      <c r="V144" s="300"/>
      <c r="W144" s="232"/>
      <c r="X144" s="409"/>
      <c r="Y144" s="409"/>
      <c r="Z144" s="300"/>
      <c r="AA144" s="136"/>
      <c r="AB144" s="302"/>
      <c r="AC144" s="363"/>
      <c r="AD144" s="226">
        <f t="shared" si="29"/>
        <v>11410</v>
      </c>
    </row>
    <row r="145" spans="1:31" ht="179.25" outlineLevel="3" thickBot="1" x14ac:dyDescent="0.25">
      <c r="A145" s="252" t="s">
        <v>764</v>
      </c>
      <c r="B145" s="416" t="s">
        <v>765</v>
      </c>
      <c r="C145" s="335" t="s">
        <v>766</v>
      </c>
      <c r="D145" s="415" t="s">
        <v>767</v>
      </c>
      <c r="E145" s="415" t="s">
        <v>768</v>
      </c>
      <c r="F145" s="415" t="s">
        <v>769</v>
      </c>
      <c r="G145" s="405" t="s">
        <v>237</v>
      </c>
      <c r="H145" s="255" t="s">
        <v>238</v>
      </c>
      <c r="I145" s="244">
        <v>2</v>
      </c>
      <c r="J145" s="163" t="s">
        <v>770</v>
      </c>
      <c r="K145" s="130" t="s">
        <v>240</v>
      </c>
      <c r="L145" s="131">
        <v>1</v>
      </c>
      <c r="M145" s="132">
        <f t="shared" si="16"/>
        <v>2</v>
      </c>
      <c r="N145" s="133" t="s">
        <v>291</v>
      </c>
      <c r="O145" s="69" t="s">
        <v>242</v>
      </c>
      <c r="P145" s="131">
        <v>5</v>
      </c>
      <c r="Q145" s="134">
        <f t="shared" si="17"/>
        <v>10</v>
      </c>
      <c r="R145" s="299"/>
      <c r="S145" s="299"/>
      <c r="T145" s="232"/>
      <c r="U145" s="409"/>
      <c r="V145" s="300"/>
      <c r="W145" s="232"/>
      <c r="X145" s="409"/>
      <c r="Y145" s="409"/>
      <c r="Z145" s="300"/>
      <c r="AA145" s="136"/>
      <c r="AB145" s="302"/>
      <c r="AC145" s="363"/>
      <c r="AD145" s="226">
        <f t="shared" si="29"/>
        <v>5231</v>
      </c>
    </row>
    <row r="146" spans="1:31" ht="21" outlineLevel="1" thickBot="1" x14ac:dyDescent="0.25">
      <c r="A146" s="199"/>
      <c r="B146" s="77" t="s">
        <v>771</v>
      </c>
      <c r="C146" s="189"/>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9"/>
      <c r="AC146" s="363"/>
      <c r="AD146" s="226">
        <f t="shared" si="29"/>
        <v>0</v>
      </c>
    </row>
    <row r="147" spans="1:31" ht="21" outlineLevel="2" thickBot="1" x14ac:dyDescent="0.25">
      <c r="A147" s="199"/>
      <c r="B147" s="117" t="s">
        <v>230</v>
      </c>
      <c r="C147" s="190"/>
      <c r="D147" s="118"/>
      <c r="E147" s="118"/>
      <c r="F147" s="118"/>
      <c r="G147" s="118"/>
      <c r="H147" s="118"/>
      <c r="I147" s="118"/>
      <c r="J147" s="118"/>
      <c r="K147" s="118"/>
      <c r="L147" s="118"/>
      <c r="M147" s="118"/>
      <c r="N147" s="118"/>
      <c r="O147" s="118"/>
      <c r="P147" s="118"/>
      <c r="Q147" s="118"/>
      <c r="R147" s="118"/>
      <c r="S147" s="118"/>
      <c r="T147" s="118"/>
      <c r="U147" s="118"/>
      <c r="V147" s="118"/>
      <c r="W147" s="118"/>
      <c r="X147" s="118"/>
      <c r="Y147" s="118"/>
      <c r="Z147" s="118"/>
      <c r="AA147" s="118"/>
      <c r="AB147" s="119"/>
      <c r="AC147" s="363"/>
      <c r="AD147" s="226">
        <f t="shared" si="29"/>
        <v>0</v>
      </c>
    </row>
    <row r="148" spans="1:31" ht="153.75" outlineLevel="3" thickBot="1" x14ac:dyDescent="0.25">
      <c r="A148" s="199" t="s">
        <v>772</v>
      </c>
      <c r="B148" s="503" t="s">
        <v>247</v>
      </c>
      <c r="C148" s="505" t="s">
        <v>248</v>
      </c>
      <c r="D148" s="503" t="s">
        <v>249</v>
      </c>
      <c r="E148" s="405" t="s">
        <v>250</v>
      </c>
      <c r="F148" s="405" t="s">
        <v>773</v>
      </c>
      <c r="G148" s="405" t="s">
        <v>774</v>
      </c>
      <c r="H148" s="420" t="s">
        <v>238</v>
      </c>
      <c r="I148" s="164">
        <v>1</v>
      </c>
      <c r="J148" s="163" t="s">
        <v>775</v>
      </c>
      <c r="K148" s="165" t="s">
        <v>776</v>
      </c>
      <c r="L148" s="138">
        <v>1</v>
      </c>
      <c r="M148" s="166">
        <f t="shared" ref="M148:M199" si="38">I148*L148</f>
        <v>1</v>
      </c>
      <c r="N148" s="133" t="s">
        <v>291</v>
      </c>
      <c r="O148" s="69" t="s">
        <v>242</v>
      </c>
      <c r="P148" s="131">
        <v>5</v>
      </c>
      <c r="Q148" s="134">
        <f t="shared" ref="Q148:Q199" si="39">I148*L148*P148</f>
        <v>5</v>
      </c>
      <c r="R148" s="299"/>
      <c r="S148" s="299"/>
      <c r="T148" s="232"/>
      <c r="U148" s="409"/>
      <c r="V148" s="300"/>
      <c r="W148" s="232"/>
      <c r="X148" s="409"/>
      <c r="Y148" s="409"/>
      <c r="Z148" s="300"/>
      <c r="AA148" s="136"/>
      <c r="AB148" s="302"/>
      <c r="AC148" s="363"/>
      <c r="AD148" s="226">
        <f t="shared" si="29"/>
        <v>5232</v>
      </c>
    </row>
    <row r="149" spans="1:31" ht="153.75" outlineLevel="3" thickBot="1" x14ac:dyDescent="0.25">
      <c r="A149" s="199" t="s">
        <v>777</v>
      </c>
      <c r="B149" s="483"/>
      <c r="C149" s="484"/>
      <c r="D149" s="483"/>
      <c r="E149" s="405" t="s">
        <v>255</v>
      </c>
      <c r="F149" s="167" t="s">
        <v>778</v>
      </c>
      <c r="G149" s="405" t="s">
        <v>774</v>
      </c>
      <c r="H149" s="420" t="s">
        <v>238</v>
      </c>
      <c r="I149" s="164">
        <v>1</v>
      </c>
      <c r="J149" s="163" t="s">
        <v>257</v>
      </c>
      <c r="K149" s="165" t="s">
        <v>776</v>
      </c>
      <c r="L149" s="138">
        <v>1</v>
      </c>
      <c r="M149" s="166">
        <f t="shared" si="38"/>
        <v>1</v>
      </c>
      <c r="N149" s="133" t="s">
        <v>291</v>
      </c>
      <c r="O149" s="69" t="s">
        <v>242</v>
      </c>
      <c r="P149" s="131">
        <v>5</v>
      </c>
      <c r="Q149" s="134">
        <f t="shared" si="39"/>
        <v>5</v>
      </c>
      <c r="R149" s="299"/>
      <c r="S149" s="299"/>
      <c r="T149" s="232"/>
      <c r="U149" s="409"/>
      <c r="V149" s="300"/>
      <c r="W149" s="232"/>
      <c r="X149" s="409"/>
      <c r="Y149" s="409"/>
      <c r="Z149" s="300"/>
      <c r="AA149" s="136">
        <f t="shared" si="37"/>
        <v>0</v>
      </c>
      <c r="AB149" s="302"/>
      <c r="AC149" s="363"/>
      <c r="AD149" s="226">
        <f t="shared" si="29"/>
        <v>5233</v>
      </c>
    </row>
    <row r="150" spans="1:31" ht="153.75" outlineLevel="3" thickBot="1" x14ac:dyDescent="0.25">
      <c r="A150" s="199" t="s">
        <v>779</v>
      </c>
      <c r="B150" s="483"/>
      <c r="C150" s="484"/>
      <c r="D150" s="483"/>
      <c r="E150" s="405" t="s">
        <v>260</v>
      </c>
      <c r="F150" s="405" t="s">
        <v>261</v>
      </c>
      <c r="G150" s="405" t="s">
        <v>774</v>
      </c>
      <c r="H150" s="420" t="s">
        <v>238</v>
      </c>
      <c r="I150" s="164">
        <v>1</v>
      </c>
      <c r="J150" s="163" t="s">
        <v>257</v>
      </c>
      <c r="K150" s="165" t="s">
        <v>776</v>
      </c>
      <c r="L150" s="138">
        <v>1</v>
      </c>
      <c r="M150" s="166">
        <f t="shared" si="38"/>
        <v>1</v>
      </c>
      <c r="N150" s="133" t="s">
        <v>291</v>
      </c>
      <c r="O150" s="69" t="s">
        <v>242</v>
      </c>
      <c r="P150" s="131">
        <v>5</v>
      </c>
      <c r="Q150" s="134">
        <f>P150*L150*I150</f>
        <v>5</v>
      </c>
      <c r="R150" s="299"/>
      <c r="S150" s="299"/>
      <c r="T150" s="232"/>
      <c r="U150" s="409"/>
      <c r="V150" s="300"/>
      <c r="W150" s="232"/>
      <c r="X150" s="409"/>
      <c r="Y150" s="409"/>
      <c r="Z150" s="300"/>
      <c r="AA150" s="136"/>
      <c r="AB150" s="302"/>
      <c r="AC150" s="363"/>
      <c r="AD150" s="226">
        <f t="shared" si="29"/>
        <v>6756</v>
      </c>
    </row>
    <row r="151" spans="1:31" ht="153.75" outlineLevel="3" thickBot="1" x14ac:dyDescent="0.25">
      <c r="A151" s="199" t="s">
        <v>780</v>
      </c>
      <c r="B151" s="478"/>
      <c r="C151" s="480"/>
      <c r="D151" s="478"/>
      <c r="E151" s="405" t="s">
        <v>263</v>
      </c>
      <c r="F151" s="405" t="s">
        <v>781</v>
      </c>
      <c r="G151" s="415" t="s">
        <v>782</v>
      </c>
      <c r="H151" s="420" t="s">
        <v>238</v>
      </c>
      <c r="I151" s="164">
        <v>2</v>
      </c>
      <c r="J151" s="163" t="s">
        <v>775</v>
      </c>
      <c r="K151" s="165" t="s">
        <v>776</v>
      </c>
      <c r="L151" s="138">
        <v>1</v>
      </c>
      <c r="M151" s="166">
        <f t="shared" si="38"/>
        <v>2</v>
      </c>
      <c r="N151" s="133" t="s">
        <v>291</v>
      </c>
      <c r="O151" s="69" t="s">
        <v>242</v>
      </c>
      <c r="P151" s="131">
        <v>5</v>
      </c>
      <c r="Q151" s="134">
        <f>P151*L151*I151</f>
        <v>10</v>
      </c>
      <c r="R151" s="299"/>
      <c r="S151" s="299"/>
      <c r="T151" s="232"/>
      <c r="U151" s="409"/>
      <c r="V151" s="300"/>
      <c r="W151" s="232"/>
      <c r="X151" s="409"/>
      <c r="Y151" s="409"/>
      <c r="Z151" s="300"/>
      <c r="AA151" s="136"/>
      <c r="AB151" s="302"/>
      <c r="AC151" s="363"/>
      <c r="AD151" s="226">
        <f t="shared" si="29"/>
        <v>6757</v>
      </c>
    </row>
    <row r="152" spans="1:31" ht="153.75" outlineLevel="3" thickBot="1" x14ac:dyDescent="0.25">
      <c r="A152" s="199" t="s">
        <v>783</v>
      </c>
      <c r="B152" s="411" t="s">
        <v>266</v>
      </c>
      <c r="C152" s="412" t="s">
        <v>267</v>
      </c>
      <c r="D152" s="405" t="s">
        <v>268</v>
      </c>
      <c r="E152" s="405" t="s">
        <v>269</v>
      </c>
      <c r="F152" s="405" t="s">
        <v>327</v>
      </c>
      <c r="G152" s="415" t="s">
        <v>782</v>
      </c>
      <c r="H152" s="420" t="s">
        <v>238</v>
      </c>
      <c r="I152" s="164">
        <v>2</v>
      </c>
      <c r="J152" s="163" t="s">
        <v>784</v>
      </c>
      <c r="K152" s="165" t="s">
        <v>776</v>
      </c>
      <c r="L152" s="138">
        <v>1</v>
      </c>
      <c r="M152" s="166">
        <f t="shared" si="38"/>
        <v>2</v>
      </c>
      <c r="N152" s="133" t="s">
        <v>291</v>
      </c>
      <c r="O152" s="69" t="s">
        <v>242</v>
      </c>
      <c r="P152" s="131">
        <v>5</v>
      </c>
      <c r="Q152" s="134">
        <f t="shared" si="39"/>
        <v>10</v>
      </c>
      <c r="R152" s="299"/>
      <c r="S152" s="299"/>
      <c r="T152" s="232"/>
      <c r="U152" s="409"/>
      <c r="V152" s="300"/>
      <c r="W152" s="232"/>
      <c r="X152" s="409"/>
      <c r="Y152" s="409"/>
      <c r="Z152" s="300"/>
      <c r="AA152" s="136"/>
      <c r="AB152" s="302"/>
      <c r="AC152" s="363"/>
      <c r="AD152" s="226">
        <f t="shared" si="29"/>
        <v>5234</v>
      </c>
    </row>
    <row r="153" spans="1:31" ht="153.75" outlineLevel="3" thickBot="1" x14ac:dyDescent="0.25">
      <c r="A153" s="252" t="s">
        <v>785</v>
      </c>
      <c r="B153" s="489" t="s">
        <v>272</v>
      </c>
      <c r="C153" s="486" t="s">
        <v>273</v>
      </c>
      <c r="D153" s="565" t="s">
        <v>274</v>
      </c>
      <c r="E153" s="415" t="s">
        <v>275</v>
      </c>
      <c r="F153" s="415" t="s">
        <v>276</v>
      </c>
      <c r="G153" s="415" t="s">
        <v>774</v>
      </c>
      <c r="H153" s="255" t="s">
        <v>238</v>
      </c>
      <c r="I153" s="265">
        <v>1</v>
      </c>
      <c r="J153" s="253" t="s">
        <v>277</v>
      </c>
      <c r="K153" s="247" t="s">
        <v>776</v>
      </c>
      <c r="L153" s="138">
        <v>1</v>
      </c>
      <c r="M153" s="166">
        <f t="shared" si="38"/>
        <v>1</v>
      </c>
      <c r="N153" s="133" t="s">
        <v>291</v>
      </c>
      <c r="O153" s="69" t="s">
        <v>242</v>
      </c>
      <c r="P153" s="131">
        <v>5</v>
      </c>
      <c r="Q153" s="134">
        <f t="shared" si="39"/>
        <v>5</v>
      </c>
      <c r="R153" s="299"/>
      <c r="S153" s="299"/>
      <c r="T153" s="232"/>
      <c r="U153" s="409"/>
      <c r="V153" s="300"/>
      <c r="W153" s="232"/>
      <c r="X153" s="409"/>
      <c r="Y153" s="409"/>
      <c r="Z153" s="300"/>
      <c r="AA153" s="136"/>
      <c r="AB153" s="302"/>
      <c r="AC153" s="363"/>
      <c r="AD153" s="226">
        <f t="shared" si="29"/>
        <v>5235</v>
      </c>
    </row>
    <row r="154" spans="1:31" ht="204.75" outlineLevel="3" thickBot="1" x14ac:dyDescent="0.25">
      <c r="A154" s="243" t="s">
        <v>786</v>
      </c>
      <c r="B154" s="491"/>
      <c r="C154" s="487"/>
      <c r="D154" s="478"/>
      <c r="E154" s="415" t="s">
        <v>279</v>
      </c>
      <c r="F154" s="430" t="s">
        <v>787</v>
      </c>
      <c r="G154" s="415" t="s">
        <v>782</v>
      </c>
      <c r="H154" s="255" t="s">
        <v>238</v>
      </c>
      <c r="I154" s="244">
        <v>2</v>
      </c>
      <c r="J154" s="246" t="s">
        <v>281</v>
      </c>
      <c r="K154" s="247" t="s">
        <v>788</v>
      </c>
      <c r="L154" s="138">
        <v>1</v>
      </c>
      <c r="M154" s="166">
        <f t="shared" si="38"/>
        <v>2</v>
      </c>
      <c r="N154" s="248" t="s">
        <v>283</v>
      </c>
      <c r="O154" s="69" t="s">
        <v>242</v>
      </c>
      <c r="P154" s="131">
        <v>5</v>
      </c>
      <c r="Q154" s="134">
        <f t="shared" si="39"/>
        <v>10</v>
      </c>
      <c r="R154" s="299"/>
      <c r="S154" s="299"/>
      <c r="T154" s="232"/>
      <c r="U154" s="409"/>
      <c r="V154" s="300"/>
      <c r="W154" s="232"/>
      <c r="X154" s="409"/>
      <c r="Y154" s="409"/>
      <c r="Z154" s="300"/>
      <c r="AA154" s="136"/>
      <c r="AB154" s="302"/>
      <c r="AC154" s="363"/>
      <c r="AD154" s="226">
        <f t="shared" si="29"/>
        <v>5236</v>
      </c>
    </row>
    <row r="155" spans="1:31" s="250" customFormat="1" ht="192" outlineLevel="3" thickBot="1" x14ac:dyDescent="0.25">
      <c r="A155" s="243" t="s">
        <v>789</v>
      </c>
      <c r="B155" s="489" t="s">
        <v>285</v>
      </c>
      <c r="C155" s="486" t="s">
        <v>286</v>
      </c>
      <c r="D155" s="489" t="s">
        <v>287</v>
      </c>
      <c r="E155" s="415" t="s">
        <v>288</v>
      </c>
      <c r="F155" s="415" t="s">
        <v>790</v>
      </c>
      <c r="G155" s="415" t="s">
        <v>782</v>
      </c>
      <c r="H155" s="255" t="s">
        <v>238</v>
      </c>
      <c r="I155" s="265">
        <v>2</v>
      </c>
      <c r="J155" s="253" t="s">
        <v>290</v>
      </c>
      <c r="K155" s="247" t="s">
        <v>791</v>
      </c>
      <c r="L155" s="249">
        <v>2</v>
      </c>
      <c r="M155" s="166">
        <f t="shared" si="38"/>
        <v>4</v>
      </c>
      <c r="N155" s="133" t="s">
        <v>291</v>
      </c>
      <c r="O155" s="69" t="s">
        <v>242</v>
      </c>
      <c r="P155" s="131">
        <v>5</v>
      </c>
      <c r="Q155" s="134">
        <f t="shared" si="39"/>
        <v>20</v>
      </c>
      <c r="R155" s="299"/>
      <c r="S155" s="299"/>
      <c r="T155" s="232"/>
      <c r="U155" s="409"/>
      <c r="V155" s="300"/>
      <c r="W155" s="232"/>
      <c r="X155" s="409"/>
      <c r="Y155" s="409"/>
      <c r="Z155" s="300"/>
      <c r="AA155" s="136"/>
      <c r="AB155" s="302"/>
      <c r="AC155" s="364"/>
      <c r="AD155" s="226">
        <f t="shared" si="29"/>
        <v>5237</v>
      </c>
      <c r="AE155" s="351"/>
    </row>
    <row r="156" spans="1:31" s="251" customFormat="1" ht="204.75" outlineLevel="3" thickBot="1" x14ac:dyDescent="0.25">
      <c r="A156" s="243" t="s">
        <v>792</v>
      </c>
      <c r="B156" s="491"/>
      <c r="C156" s="487"/>
      <c r="D156" s="491"/>
      <c r="E156" s="415" t="s">
        <v>293</v>
      </c>
      <c r="F156" s="415" t="s">
        <v>294</v>
      </c>
      <c r="G156" s="415" t="s">
        <v>774</v>
      </c>
      <c r="H156" s="255" t="s">
        <v>238</v>
      </c>
      <c r="I156" s="265">
        <v>2</v>
      </c>
      <c r="J156" s="253" t="s">
        <v>257</v>
      </c>
      <c r="K156" s="247" t="s">
        <v>791</v>
      </c>
      <c r="L156" s="249">
        <v>2</v>
      </c>
      <c r="M156" s="166">
        <f t="shared" si="38"/>
        <v>4</v>
      </c>
      <c r="N156" s="133" t="s">
        <v>291</v>
      </c>
      <c r="O156" s="69" t="s">
        <v>242</v>
      </c>
      <c r="P156" s="131">
        <v>5</v>
      </c>
      <c r="Q156" s="134">
        <f>P156*L156*I156</f>
        <v>20</v>
      </c>
      <c r="R156" s="299"/>
      <c r="S156" s="299"/>
      <c r="T156" s="232"/>
      <c r="U156" s="409"/>
      <c r="V156" s="300"/>
      <c r="W156" s="232"/>
      <c r="X156" s="409"/>
      <c r="Y156" s="409"/>
      <c r="Z156" s="300"/>
      <c r="AA156" s="136"/>
      <c r="AB156" s="302"/>
      <c r="AC156" s="365"/>
      <c r="AD156" s="226">
        <f t="shared" si="29"/>
        <v>5238</v>
      </c>
      <c r="AE156" s="352"/>
    </row>
    <row r="157" spans="1:31" ht="153.75" outlineLevel="3" thickBot="1" x14ac:dyDescent="0.25">
      <c r="A157" s="280" t="s">
        <v>793</v>
      </c>
      <c r="B157" s="508" t="s">
        <v>297</v>
      </c>
      <c r="C157" s="511" t="s">
        <v>298</v>
      </c>
      <c r="D157" s="508" t="s">
        <v>299</v>
      </c>
      <c r="E157" s="432" t="s">
        <v>300</v>
      </c>
      <c r="F157" s="432" t="s">
        <v>301</v>
      </c>
      <c r="G157" s="415" t="s">
        <v>782</v>
      </c>
      <c r="H157" s="281" t="s">
        <v>238</v>
      </c>
      <c r="I157" s="282">
        <v>2</v>
      </c>
      <c r="J157" s="283" t="s">
        <v>302</v>
      </c>
      <c r="K157" s="247" t="s">
        <v>791</v>
      </c>
      <c r="L157" s="285">
        <v>1</v>
      </c>
      <c r="M157" s="286">
        <f t="shared" si="38"/>
        <v>2</v>
      </c>
      <c r="N157" s="287" t="s">
        <v>303</v>
      </c>
      <c r="O157" s="288" t="s">
        <v>242</v>
      </c>
      <c r="P157" s="289">
        <v>5</v>
      </c>
      <c r="Q157" s="290">
        <f>P157*L157*I157</f>
        <v>10</v>
      </c>
      <c r="R157" s="299"/>
      <c r="S157" s="299"/>
      <c r="T157" s="232"/>
      <c r="U157" s="409"/>
      <c r="V157" s="300"/>
      <c r="W157" s="232"/>
      <c r="X157" s="409"/>
      <c r="Y157" s="409"/>
      <c r="Z157" s="300"/>
      <c r="AA157" s="136"/>
      <c r="AB157" s="302"/>
      <c r="AC157" s="363"/>
      <c r="AD157" s="226">
        <f t="shared" si="29"/>
        <v>10943</v>
      </c>
    </row>
    <row r="158" spans="1:31" ht="153.75" outlineLevel="3" thickBot="1" x14ac:dyDescent="0.25">
      <c r="A158" s="280" t="s">
        <v>794</v>
      </c>
      <c r="B158" s="510"/>
      <c r="C158" s="513"/>
      <c r="D158" s="510"/>
      <c r="E158" s="432" t="s">
        <v>305</v>
      </c>
      <c r="F158" s="432" t="s">
        <v>795</v>
      </c>
      <c r="G158" s="281" t="s">
        <v>774</v>
      </c>
      <c r="H158" s="281" t="s">
        <v>238</v>
      </c>
      <c r="I158" s="282">
        <v>2</v>
      </c>
      <c r="J158" s="283" t="s">
        <v>307</v>
      </c>
      <c r="K158" s="247" t="s">
        <v>791</v>
      </c>
      <c r="L158" s="285">
        <v>1</v>
      </c>
      <c r="M158" s="286">
        <f t="shared" si="38"/>
        <v>2</v>
      </c>
      <c r="N158" s="287" t="s">
        <v>303</v>
      </c>
      <c r="O158" s="288" t="s">
        <v>242</v>
      </c>
      <c r="P158" s="289">
        <v>5</v>
      </c>
      <c r="Q158" s="290">
        <f>P158*L158*I158</f>
        <v>10</v>
      </c>
      <c r="R158" s="299"/>
      <c r="S158" s="299"/>
      <c r="T158" s="232"/>
      <c r="U158" s="409"/>
      <c r="V158" s="300"/>
      <c r="W158" s="232"/>
      <c r="X158" s="409"/>
      <c r="Y158" s="409"/>
      <c r="Z158" s="300"/>
      <c r="AA158" s="136"/>
      <c r="AB158" s="302"/>
      <c r="AC158" s="363"/>
      <c r="AD158" s="226">
        <f t="shared" si="29"/>
        <v>10944</v>
      </c>
    </row>
    <row r="159" spans="1:31" ht="153.75" outlineLevel="3" thickBot="1" x14ac:dyDescent="0.25">
      <c r="A159" s="243" t="s">
        <v>796</v>
      </c>
      <c r="B159" s="489" t="s">
        <v>309</v>
      </c>
      <c r="C159" s="486" t="s">
        <v>310</v>
      </c>
      <c r="D159" s="489" t="s">
        <v>311</v>
      </c>
      <c r="E159" s="415" t="s">
        <v>300</v>
      </c>
      <c r="F159" s="415" t="s">
        <v>797</v>
      </c>
      <c r="G159" s="415" t="s">
        <v>782</v>
      </c>
      <c r="H159" s="255" t="s">
        <v>238</v>
      </c>
      <c r="I159" s="265">
        <v>2</v>
      </c>
      <c r="J159" s="253" t="s">
        <v>302</v>
      </c>
      <c r="K159" s="165" t="s">
        <v>791</v>
      </c>
      <c r="L159" s="138">
        <v>1</v>
      </c>
      <c r="M159" s="166">
        <f t="shared" si="38"/>
        <v>2</v>
      </c>
      <c r="N159" s="133" t="s">
        <v>291</v>
      </c>
      <c r="O159" s="69" t="s">
        <v>242</v>
      </c>
      <c r="P159" s="131">
        <v>5</v>
      </c>
      <c r="Q159" s="134">
        <f t="shared" si="39"/>
        <v>10</v>
      </c>
      <c r="R159" s="299"/>
      <c r="S159" s="299"/>
      <c r="T159" s="232"/>
      <c r="U159" s="409"/>
      <c r="V159" s="300"/>
      <c r="W159" s="232"/>
      <c r="X159" s="409"/>
      <c r="Y159" s="409"/>
      <c r="Z159" s="300"/>
      <c r="AA159" s="136">
        <f t="shared" si="37"/>
        <v>0</v>
      </c>
      <c r="AB159" s="302"/>
      <c r="AC159" s="363"/>
      <c r="AD159" s="226">
        <f t="shared" si="29"/>
        <v>5239</v>
      </c>
    </row>
    <row r="160" spans="1:31" ht="153.75" outlineLevel="3" thickBot="1" x14ac:dyDescent="0.25">
      <c r="A160" s="199" t="s">
        <v>798</v>
      </c>
      <c r="B160" s="483"/>
      <c r="C160" s="484"/>
      <c r="D160" s="483"/>
      <c r="E160" s="405" t="s">
        <v>314</v>
      </c>
      <c r="F160" s="405" t="s">
        <v>315</v>
      </c>
      <c r="G160" s="405" t="s">
        <v>774</v>
      </c>
      <c r="H160" s="420" t="s">
        <v>238</v>
      </c>
      <c r="I160" s="164">
        <v>1</v>
      </c>
      <c r="J160" s="163" t="s">
        <v>307</v>
      </c>
      <c r="K160" s="165" t="s">
        <v>791</v>
      </c>
      <c r="L160" s="138">
        <v>1</v>
      </c>
      <c r="M160" s="166">
        <f t="shared" si="38"/>
        <v>1</v>
      </c>
      <c r="N160" s="133" t="s">
        <v>291</v>
      </c>
      <c r="O160" s="69" t="s">
        <v>242</v>
      </c>
      <c r="P160" s="131">
        <v>5</v>
      </c>
      <c r="Q160" s="134">
        <f t="shared" si="39"/>
        <v>5</v>
      </c>
      <c r="R160" s="299"/>
      <c r="S160" s="299"/>
      <c r="T160" s="232"/>
      <c r="U160" s="409"/>
      <c r="V160" s="300"/>
      <c r="W160" s="232"/>
      <c r="X160" s="409"/>
      <c r="Y160" s="409"/>
      <c r="Z160" s="300"/>
      <c r="AA160" s="136"/>
      <c r="AB160" s="302"/>
      <c r="AC160" s="363"/>
      <c r="AD160" s="226">
        <f t="shared" si="29"/>
        <v>5240</v>
      </c>
    </row>
    <row r="161" spans="1:31" ht="128.25" outlineLevel="3" thickBot="1" x14ac:dyDescent="0.25">
      <c r="A161" s="199" t="s">
        <v>799</v>
      </c>
      <c r="B161" s="478"/>
      <c r="C161" s="480"/>
      <c r="D161" s="478"/>
      <c r="E161" s="405" t="s">
        <v>319</v>
      </c>
      <c r="F161" s="405" t="s">
        <v>320</v>
      </c>
      <c r="G161" s="405" t="s">
        <v>782</v>
      </c>
      <c r="H161" s="420" t="s">
        <v>238</v>
      </c>
      <c r="I161" s="164">
        <v>2</v>
      </c>
      <c r="J161" s="163" t="s">
        <v>316</v>
      </c>
      <c r="K161" s="165" t="s">
        <v>321</v>
      </c>
      <c r="L161" s="138">
        <v>1</v>
      </c>
      <c r="M161" s="166">
        <f t="shared" si="38"/>
        <v>2</v>
      </c>
      <c r="N161" s="133" t="s">
        <v>303</v>
      </c>
      <c r="O161" s="420" t="s">
        <v>242</v>
      </c>
      <c r="P161" s="138">
        <v>5</v>
      </c>
      <c r="Q161" s="225">
        <f t="shared" si="39"/>
        <v>10</v>
      </c>
      <c r="R161" s="299"/>
      <c r="S161" s="299"/>
      <c r="T161" s="232"/>
      <c r="U161" s="409"/>
      <c r="V161" s="300"/>
      <c r="W161" s="232"/>
      <c r="X161" s="409"/>
      <c r="Y161" s="409"/>
      <c r="Z161" s="300"/>
      <c r="AA161" s="136"/>
      <c r="AB161" s="302"/>
      <c r="AC161" s="226"/>
      <c r="AD161" s="226">
        <f t="shared" si="29"/>
        <v>12382</v>
      </c>
    </row>
    <row r="162" spans="1:31" ht="153.75" outlineLevel="3" thickBot="1" x14ac:dyDescent="0.25">
      <c r="A162" s="252" t="s">
        <v>800</v>
      </c>
      <c r="B162" s="489" t="s">
        <v>323</v>
      </c>
      <c r="C162" s="486" t="s">
        <v>324</v>
      </c>
      <c r="D162" s="489" t="s">
        <v>325</v>
      </c>
      <c r="E162" s="415" t="s">
        <v>326</v>
      </c>
      <c r="F162" s="415" t="s">
        <v>801</v>
      </c>
      <c r="G162" s="415" t="s">
        <v>782</v>
      </c>
      <c r="H162" s="420" t="s">
        <v>238</v>
      </c>
      <c r="I162" s="164">
        <v>2</v>
      </c>
      <c r="J162" s="163" t="s">
        <v>328</v>
      </c>
      <c r="K162" s="165" t="s">
        <v>791</v>
      </c>
      <c r="L162" s="138">
        <v>1</v>
      </c>
      <c r="M162" s="166">
        <f t="shared" si="38"/>
        <v>2</v>
      </c>
      <c r="N162" s="133" t="s">
        <v>291</v>
      </c>
      <c r="O162" s="69" t="s">
        <v>242</v>
      </c>
      <c r="P162" s="131">
        <v>5</v>
      </c>
      <c r="Q162" s="134">
        <f t="shared" si="39"/>
        <v>10</v>
      </c>
      <c r="R162" s="299"/>
      <c r="S162" s="299"/>
      <c r="T162" s="232"/>
      <c r="U162" s="409"/>
      <c r="V162" s="300"/>
      <c r="W162" s="232"/>
      <c r="X162" s="409"/>
      <c r="Y162" s="409"/>
      <c r="Z162" s="300"/>
      <c r="AA162" s="136">
        <f t="shared" si="37"/>
        <v>0</v>
      </c>
      <c r="AB162" s="302"/>
      <c r="AC162" s="363"/>
      <c r="AD162" s="226">
        <f t="shared" si="29"/>
        <v>5241</v>
      </c>
    </row>
    <row r="163" spans="1:31" ht="204.75" outlineLevel="3" thickBot="1" x14ac:dyDescent="0.25">
      <c r="A163" s="243" t="s">
        <v>802</v>
      </c>
      <c r="B163" s="491"/>
      <c r="C163" s="487"/>
      <c r="D163" s="491"/>
      <c r="E163" s="415" t="s">
        <v>330</v>
      </c>
      <c r="F163" s="430" t="s">
        <v>803</v>
      </c>
      <c r="G163" s="415" t="s">
        <v>782</v>
      </c>
      <c r="H163" s="420" t="s">
        <v>238</v>
      </c>
      <c r="I163" s="164">
        <v>2</v>
      </c>
      <c r="J163" s="163" t="s">
        <v>332</v>
      </c>
      <c r="K163" s="165" t="s">
        <v>791</v>
      </c>
      <c r="L163" s="138">
        <v>1</v>
      </c>
      <c r="M163" s="166">
        <f t="shared" si="38"/>
        <v>2</v>
      </c>
      <c r="N163" s="133" t="s">
        <v>291</v>
      </c>
      <c r="O163" s="69" t="s">
        <v>242</v>
      </c>
      <c r="P163" s="131">
        <v>5</v>
      </c>
      <c r="Q163" s="134">
        <f t="shared" si="39"/>
        <v>10</v>
      </c>
      <c r="R163" s="299"/>
      <c r="S163" s="299"/>
      <c r="T163" s="232"/>
      <c r="U163" s="409"/>
      <c r="V163" s="300"/>
      <c r="W163" s="232"/>
      <c r="X163" s="409"/>
      <c r="Y163" s="409"/>
      <c r="Z163" s="300"/>
      <c r="AA163" s="136"/>
      <c r="AB163" s="302"/>
      <c r="AC163" s="363"/>
      <c r="AD163" s="226">
        <f t="shared" si="29"/>
        <v>5242</v>
      </c>
    </row>
    <row r="164" spans="1:31" s="303" customFormat="1" ht="153.75" customHeight="1" outlineLevel="3" thickBot="1" x14ac:dyDescent="0.25">
      <c r="A164" s="199" t="s">
        <v>804</v>
      </c>
      <c r="B164" s="477" t="s">
        <v>334</v>
      </c>
      <c r="C164" s="479" t="s">
        <v>335</v>
      </c>
      <c r="D164" s="477" t="s">
        <v>336</v>
      </c>
      <c r="E164" s="405" t="s">
        <v>288</v>
      </c>
      <c r="F164" s="405" t="s">
        <v>337</v>
      </c>
      <c r="G164" s="405" t="s">
        <v>774</v>
      </c>
      <c r="H164" s="420" t="s">
        <v>238</v>
      </c>
      <c r="I164" s="164">
        <v>1</v>
      </c>
      <c r="J164" s="163" t="s">
        <v>290</v>
      </c>
      <c r="K164" s="165" t="s">
        <v>791</v>
      </c>
      <c r="L164" s="138">
        <v>2</v>
      </c>
      <c r="M164" s="166">
        <f t="shared" si="38"/>
        <v>2</v>
      </c>
      <c r="N164" s="133" t="s">
        <v>291</v>
      </c>
      <c r="O164" s="69" t="s">
        <v>242</v>
      </c>
      <c r="P164" s="131">
        <v>5</v>
      </c>
      <c r="Q164" s="134">
        <f t="shared" si="39"/>
        <v>10</v>
      </c>
      <c r="R164" s="299"/>
      <c r="S164" s="299"/>
      <c r="T164" s="232"/>
      <c r="U164" s="409"/>
      <c r="V164" s="300"/>
      <c r="W164" s="232"/>
      <c r="X164" s="409"/>
      <c r="Y164" s="409"/>
      <c r="Z164" s="300"/>
      <c r="AA164" s="136"/>
      <c r="AB164" s="302"/>
      <c r="AC164" s="370"/>
      <c r="AD164" s="226">
        <f t="shared" si="29"/>
        <v>5243</v>
      </c>
      <c r="AE164" s="353"/>
    </row>
    <row r="165" spans="1:31" s="303" customFormat="1" ht="153.75" customHeight="1" outlineLevel="3" thickBot="1" x14ac:dyDescent="0.25">
      <c r="A165" s="243" t="s">
        <v>805</v>
      </c>
      <c r="B165" s="491"/>
      <c r="C165" s="487"/>
      <c r="D165" s="491"/>
      <c r="E165" s="415" t="s">
        <v>340</v>
      </c>
      <c r="F165" s="430" t="s">
        <v>341</v>
      </c>
      <c r="G165" s="415" t="s">
        <v>782</v>
      </c>
      <c r="H165" s="255" t="s">
        <v>238</v>
      </c>
      <c r="I165" s="265">
        <v>2</v>
      </c>
      <c r="J165" s="253" t="s">
        <v>257</v>
      </c>
      <c r="K165" s="247" t="s">
        <v>791</v>
      </c>
      <c r="L165" s="249">
        <v>2</v>
      </c>
      <c r="M165" s="166">
        <f t="shared" si="38"/>
        <v>4</v>
      </c>
      <c r="N165" s="133" t="s">
        <v>291</v>
      </c>
      <c r="O165" s="69" t="s">
        <v>242</v>
      </c>
      <c r="P165" s="131">
        <v>5</v>
      </c>
      <c r="Q165" s="134">
        <f t="shared" si="39"/>
        <v>20</v>
      </c>
      <c r="R165" s="299"/>
      <c r="S165" s="299"/>
      <c r="T165" s="232"/>
      <c r="U165" s="409"/>
      <c r="V165" s="300"/>
      <c r="W165" s="232"/>
      <c r="X165" s="409"/>
      <c r="Y165" s="409"/>
      <c r="Z165" s="300"/>
      <c r="AA165" s="136"/>
      <c r="AB165" s="302"/>
      <c r="AC165" s="367"/>
      <c r="AD165" s="226">
        <f t="shared" si="29"/>
        <v>5244</v>
      </c>
      <c r="AE165" s="239"/>
    </row>
    <row r="166" spans="1:31" ht="153.75" outlineLevel="3" thickBot="1" x14ac:dyDescent="0.25">
      <c r="A166" s="199" t="s">
        <v>806</v>
      </c>
      <c r="B166" s="477" t="s">
        <v>343</v>
      </c>
      <c r="C166" s="479" t="s">
        <v>344</v>
      </c>
      <c r="D166" s="477" t="s">
        <v>345</v>
      </c>
      <c r="E166" s="405" t="s">
        <v>275</v>
      </c>
      <c r="F166" s="405" t="s">
        <v>315</v>
      </c>
      <c r="G166" s="405" t="s">
        <v>774</v>
      </c>
      <c r="H166" s="420" t="s">
        <v>238</v>
      </c>
      <c r="I166" s="164">
        <v>1</v>
      </c>
      <c r="J166" s="163" t="s">
        <v>277</v>
      </c>
      <c r="K166" s="165" t="s">
        <v>791</v>
      </c>
      <c r="L166" s="138">
        <v>1</v>
      </c>
      <c r="M166" s="166">
        <f t="shared" si="38"/>
        <v>1</v>
      </c>
      <c r="N166" s="133" t="s">
        <v>241</v>
      </c>
      <c r="O166" s="420" t="s">
        <v>242</v>
      </c>
      <c r="P166" s="138">
        <v>5</v>
      </c>
      <c r="Q166" s="225">
        <f t="shared" si="39"/>
        <v>5</v>
      </c>
      <c r="R166" s="299"/>
      <c r="S166" s="299"/>
      <c r="T166" s="232"/>
      <c r="U166" s="409"/>
      <c r="V166" s="300"/>
      <c r="W166" s="232"/>
      <c r="X166" s="409"/>
      <c r="Y166" s="409"/>
      <c r="Z166" s="300"/>
      <c r="AA166" s="136">
        <f t="shared" si="37"/>
        <v>0</v>
      </c>
      <c r="AB166" s="302"/>
      <c r="AC166" s="226"/>
      <c r="AD166" s="226">
        <f t="shared" si="29"/>
        <v>12383</v>
      </c>
    </row>
    <row r="167" spans="1:31" ht="166.5" outlineLevel="3" thickBot="1" x14ac:dyDescent="0.25">
      <c r="A167" s="199" t="s">
        <v>807</v>
      </c>
      <c r="B167" s="478"/>
      <c r="C167" s="480"/>
      <c r="D167" s="478"/>
      <c r="E167" s="405" t="s">
        <v>279</v>
      </c>
      <c r="F167" s="405" t="s">
        <v>347</v>
      </c>
      <c r="G167" s="405" t="s">
        <v>782</v>
      </c>
      <c r="H167" s="420" t="s">
        <v>238</v>
      </c>
      <c r="I167" s="164">
        <v>2</v>
      </c>
      <c r="J167" s="163" t="s">
        <v>281</v>
      </c>
      <c r="K167" s="165" t="s">
        <v>791</v>
      </c>
      <c r="L167" s="138">
        <v>1</v>
      </c>
      <c r="M167" s="166">
        <f t="shared" si="38"/>
        <v>2</v>
      </c>
      <c r="N167" s="133" t="s">
        <v>283</v>
      </c>
      <c r="O167" s="420" t="s">
        <v>242</v>
      </c>
      <c r="P167" s="138">
        <v>5</v>
      </c>
      <c r="Q167" s="225">
        <f t="shared" si="39"/>
        <v>10</v>
      </c>
      <c r="R167" s="299"/>
      <c r="S167" s="299"/>
      <c r="T167" s="232"/>
      <c r="U167" s="409"/>
      <c r="V167" s="300"/>
      <c r="W167" s="232"/>
      <c r="X167" s="409"/>
      <c r="Y167" s="409"/>
      <c r="Z167" s="300"/>
      <c r="AA167" s="136"/>
      <c r="AB167" s="302"/>
      <c r="AC167" s="226"/>
      <c r="AD167" s="226">
        <f t="shared" si="29"/>
        <v>12384</v>
      </c>
    </row>
    <row r="168" spans="1:31" ht="153.75" outlineLevel="3" thickBot="1" x14ac:dyDescent="0.25">
      <c r="A168" s="304" t="s">
        <v>808</v>
      </c>
      <c r="B168" s="492" t="s">
        <v>349</v>
      </c>
      <c r="C168" s="494" t="s">
        <v>350</v>
      </c>
      <c r="D168" s="492" t="s">
        <v>351</v>
      </c>
      <c r="E168" s="410" t="s">
        <v>352</v>
      </c>
      <c r="F168" s="410" t="s">
        <v>809</v>
      </c>
      <c r="G168" s="415" t="s">
        <v>782</v>
      </c>
      <c r="H168" s="295" t="s">
        <v>238</v>
      </c>
      <c r="I168" s="410">
        <v>2</v>
      </c>
      <c r="J168" s="410" t="s">
        <v>302</v>
      </c>
      <c r="K168" s="247" t="s">
        <v>791</v>
      </c>
      <c r="L168" s="410">
        <v>1</v>
      </c>
      <c r="M168" s="231">
        <f t="shared" si="38"/>
        <v>2</v>
      </c>
      <c r="N168" s="232" t="s">
        <v>303</v>
      </c>
      <c r="O168" s="233" t="s">
        <v>242</v>
      </c>
      <c r="P168" s="234">
        <v>5</v>
      </c>
      <c r="Q168" s="235">
        <f>P168*L168*I168</f>
        <v>10</v>
      </c>
      <c r="R168" s="299"/>
      <c r="S168" s="299"/>
      <c r="T168" s="232"/>
      <c r="U168" s="409"/>
      <c r="V168" s="300"/>
      <c r="W168" s="232"/>
      <c r="X168" s="409"/>
      <c r="Y168" s="409"/>
      <c r="Z168" s="300"/>
      <c r="AA168" s="136">
        <f t="shared" si="37"/>
        <v>0</v>
      </c>
      <c r="AB168" s="302"/>
      <c r="AC168" s="363"/>
      <c r="AD168" s="226">
        <f t="shared" si="29"/>
        <v>10945</v>
      </c>
    </row>
    <row r="169" spans="1:31" ht="153.75" outlineLevel="3" thickBot="1" x14ac:dyDescent="0.25">
      <c r="A169" s="306" t="s">
        <v>810</v>
      </c>
      <c r="B169" s="493"/>
      <c r="C169" s="495"/>
      <c r="D169" s="493"/>
      <c r="E169" s="410" t="s">
        <v>355</v>
      </c>
      <c r="F169" s="410" t="s">
        <v>356</v>
      </c>
      <c r="G169" s="415" t="s">
        <v>782</v>
      </c>
      <c r="H169" s="295" t="s">
        <v>238</v>
      </c>
      <c r="I169" s="410">
        <v>2</v>
      </c>
      <c r="J169" s="410" t="s">
        <v>307</v>
      </c>
      <c r="K169" s="247" t="s">
        <v>791</v>
      </c>
      <c r="L169" s="410">
        <v>1</v>
      </c>
      <c r="M169" s="231">
        <f t="shared" si="38"/>
        <v>2</v>
      </c>
      <c r="N169" s="232" t="s">
        <v>303</v>
      </c>
      <c r="O169" s="233" t="s">
        <v>242</v>
      </c>
      <c r="P169" s="234">
        <v>5</v>
      </c>
      <c r="Q169" s="235">
        <f>P169*L169*I169</f>
        <v>10</v>
      </c>
      <c r="R169" s="299"/>
      <c r="S169" s="299"/>
      <c r="T169" s="232"/>
      <c r="U169" s="409"/>
      <c r="V169" s="300"/>
      <c r="W169" s="232"/>
      <c r="X169" s="409"/>
      <c r="Y169" s="409"/>
      <c r="Z169" s="300"/>
      <c r="AA169" s="136"/>
      <c r="AB169" s="302"/>
      <c r="AC169" s="363"/>
      <c r="AD169" s="226">
        <f t="shared" si="29"/>
        <v>10946</v>
      </c>
    </row>
    <row r="170" spans="1:31" ht="153.75" outlineLevel="3" thickBot="1" x14ac:dyDescent="0.25">
      <c r="A170" s="199" t="s">
        <v>811</v>
      </c>
      <c r="B170" s="477" t="s">
        <v>358</v>
      </c>
      <c r="C170" s="479" t="s">
        <v>359</v>
      </c>
      <c r="D170" s="477" t="s">
        <v>360</v>
      </c>
      <c r="E170" s="405" t="s">
        <v>288</v>
      </c>
      <c r="F170" s="405" t="s">
        <v>361</v>
      </c>
      <c r="G170" s="415" t="s">
        <v>782</v>
      </c>
      <c r="H170" s="420" t="s">
        <v>238</v>
      </c>
      <c r="I170" s="164">
        <v>2</v>
      </c>
      <c r="J170" s="129" t="s">
        <v>290</v>
      </c>
      <c r="K170" s="165" t="s">
        <v>791</v>
      </c>
      <c r="L170" s="138">
        <v>1</v>
      </c>
      <c r="M170" s="166">
        <f t="shared" si="38"/>
        <v>2</v>
      </c>
      <c r="N170" s="133" t="s">
        <v>291</v>
      </c>
      <c r="O170" s="69" t="s">
        <v>242</v>
      </c>
      <c r="P170" s="131">
        <v>5</v>
      </c>
      <c r="Q170" s="134">
        <f t="shared" si="39"/>
        <v>10</v>
      </c>
      <c r="R170" s="299"/>
      <c r="S170" s="299"/>
      <c r="T170" s="232"/>
      <c r="U170" s="409"/>
      <c r="V170" s="300"/>
      <c r="W170" s="232"/>
      <c r="X170" s="409"/>
      <c r="Y170" s="409"/>
      <c r="Z170" s="300"/>
      <c r="AA170" s="136"/>
      <c r="AB170" s="302"/>
      <c r="AC170" s="363"/>
      <c r="AD170" s="226">
        <f t="shared" si="29"/>
        <v>6758</v>
      </c>
    </row>
    <row r="171" spans="1:31" ht="153.75" outlineLevel="3" thickBot="1" x14ac:dyDescent="0.25">
      <c r="A171" s="199" t="s">
        <v>812</v>
      </c>
      <c r="B171" s="478"/>
      <c r="C171" s="480"/>
      <c r="D171" s="478"/>
      <c r="E171" s="405" t="s">
        <v>340</v>
      </c>
      <c r="F171" s="405" t="s">
        <v>363</v>
      </c>
      <c r="G171" s="415" t="s">
        <v>782</v>
      </c>
      <c r="H171" s="420" t="s">
        <v>238</v>
      </c>
      <c r="I171" s="164">
        <v>2</v>
      </c>
      <c r="J171" s="163" t="s">
        <v>257</v>
      </c>
      <c r="K171" s="165" t="s">
        <v>791</v>
      </c>
      <c r="L171" s="138">
        <v>1</v>
      </c>
      <c r="M171" s="166">
        <f t="shared" si="38"/>
        <v>2</v>
      </c>
      <c r="N171" s="133" t="s">
        <v>291</v>
      </c>
      <c r="O171" s="69" t="s">
        <v>242</v>
      </c>
      <c r="P171" s="131">
        <v>5</v>
      </c>
      <c r="Q171" s="134">
        <f t="shared" si="39"/>
        <v>10</v>
      </c>
      <c r="R171" s="299"/>
      <c r="S171" s="299"/>
      <c r="T171" s="232"/>
      <c r="U171" s="409"/>
      <c r="V171" s="300"/>
      <c r="W171" s="232"/>
      <c r="X171" s="409"/>
      <c r="Y171" s="409"/>
      <c r="Z171" s="300"/>
      <c r="AA171" s="136"/>
      <c r="AB171" s="302"/>
      <c r="AC171" s="363"/>
      <c r="AD171" s="226">
        <f t="shared" si="29"/>
        <v>6759</v>
      </c>
    </row>
    <row r="172" spans="1:31" ht="153.75" outlineLevel="3" thickBot="1" x14ac:dyDescent="0.25">
      <c r="A172" s="199" t="s">
        <v>813</v>
      </c>
      <c r="B172" s="477" t="s">
        <v>365</v>
      </c>
      <c r="C172" s="479" t="s">
        <v>366</v>
      </c>
      <c r="D172" s="477" t="s">
        <v>367</v>
      </c>
      <c r="E172" s="405" t="s">
        <v>288</v>
      </c>
      <c r="F172" s="405" t="s">
        <v>327</v>
      </c>
      <c r="G172" s="415" t="s">
        <v>782</v>
      </c>
      <c r="H172" s="420" t="s">
        <v>238</v>
      </c>
      <c r="I172" s="164">
        <v>2</v>
      </c>
      <c r="J172" s="129" t="s">
        <v>290</v>
      </c>
      <c r="K172" s="165" t="s">
        <v>791</v>
      </c>
      <c r="L172" s="138">
        <v>1</v>
      </c>
      <c r="M172" s="166">
        <f t="shared" si="38"/>
        <v>2</v>
      </c>
      <c r="N172" s="133" t="s">
        <v>291</v>
      </c>
      <c r="O172" s="69" t="s">
        <v>242</v>
      </c>
      <c r="P172" s="131">
        <v>5</v>
      </c>
      <c r="Q172" s="134">
        <f t="shared" si="39"/>
        <v>10</v>
      </c>
      <c r="R172" s="299"/>
      <c r="S172" s="299"/>
      <c r="T172" s="232"/>
      <c r="U172" s="409"/>
      <c r="V172" s="300"/>
      <c r="W172" s="232"/>
      <c r="X172" s="409"/>
      <c r="Y172" s="409"/>
      <c r="Z172" s="300"/>
      <c r="AA172" s="136"/>
      <c r="AB172" s="302"/>
      <c r="AC172" s="363"/>
      <c r="AD172" s="226">
        <f t="shared" si="29"/>
        <v>6760</v>
      </c>
    </row>
    <row r="173" spans="1:31" ht="166.5" outlineLevel="3" thickBot="1" x14ac:dyDescent="0.25">
      <c r="A173" s="199" t="s">
        <v>814</v>
      </c>
      <c r="B173" s="478"/>
      <c r="C173" s="480"/>
      <c r="D173" s="478"/>
      <c r="E173" s="405" t="s">
        <v>340</v>
      </c>
      <c r="F173" s="405" t="s">
        <v>369</v>
      </c>
      <c r="G173" s="405" t="s">
        <v>782</v>
      </c>
      <c r="H173" s="420" t="s">
        <v>238</v>
      </c>
      <c r="I173" s="164">
        <v>2</v>
      </c>
      <c r="J173" s="163" t="s">
        <v>257</v>
      </c>
      <c r="K173" s="165" t="s">
        <v>791</v>
      </c>
      <c r="L173" s="138">
        <v>1</v>
      </c>
      <c r="M173" s="166">
        <f t="shared" si="38"/>
        <v>2</v>
      </c>
      <c r="N173" s="133" t="s">
        <v>291</v>
      </c>
      <c r="O173" s="69" t="s">
        <v>242</v>
      </c>
      <c r="P173" s="131">
        <v>5</v>
      </c>
      <c r="Q173" s="134">
        <f t="shared" si="39"/>
        <v>10</v>
      </c>
      <c r="R173" s="299"/>
      <c r="S173" s="299"/>
      <c r="T173" s="232"/>
      <c r="U173" s="409"/>
      <c r="V173" s="300"/>
      <c r="W173" s="232"/>
      <c r="X173" s="409"/>
      <c r="Y173" s="409"/>
      <c r="Z173" s="300"/>
      <c r="AA173" s="136"/>
      <c r="AB173" s="302"/>
      <c r="AC173" s="363"/>
      <c r="AD173" s="226">
        <f t="shared" si="29"/>
        <v>6761</v>
      </c>
    </row>
    <row r="174" spans="1:31" ht="153.75" outlineLevel="3" thickBot="1" x14ac:dyDescent="0.25">
      <c r="A174" s="199" t="s">
        <v>815</v>
      </c>
      <c r="B174" s="477" t="s">
        <v>371</v>
      </c>
      <c r="C174" s="479" t="s">
        <v>372</v>
      </c>
      <c r="D174" s="477" t="s">
        <v>373</v>
      </c>
      <c r="E174" s="405" t="s">
        <v>288</v>
      </c>
      <c r="F174" s="405" t="s">
        <v>374</v>
      </c>
      <c r="G174" s="415" t="s">
        <v>782</v>
      </c>
      <c r="H174" s="420" t="s">
        <v>238</v>
      </c>
      <c r="I174" s="164">
        <v>2</v>
      </c>
      <c r="J174" s="129" t="s">
        <v>290</v>
      </c>
      <c r="K174" s="165" t="s">
        <v>791</v>
      </c>
      <c r="L174" s="138">
        <v>1</v>
      </c>
      <c r="M174" s="166">
        <f t="shared" si="38"/>
        <v>2</v>
      </c>
      <c r="N174" s="133" t="s">
        <v>291</v>
      </c>
      <c r="O174" s="69" t="s">
        <v>242</v>
      </c>
      <c r="P174" s="131">
        <v>5</v>
      </c>
      <c r="Q174" s="134">
        <f t="shared" si="39"/>
        <v>10</v>
      </c>
      <c r="R174" s="299"/>
      <c r="S174" s="299"/>
      <c r="T174" s="232"/>
      <c r="U174" s="409"/>
      <c r="V174" s="300"/>
      <c r="W174" s="232"/>
      <c r="X174" s="409"/>
      <c r="Y174" s="409"/>
      <c r="Z174" s="300"/>
      <c r="AA174" s="136"/>
      <c r="AB174" s="302"/>
      <c r="AC174" s="363"/>
      <c r="AD174" s="226">
        <f t="shared" si="29"/>
        <v>6762</v>
      </c>
    </row>
    <row r="175" spans="1:31" ht="153.75" outlineLevel="3" thickBot="1" x14ac:dyDescent="0.25">
      <c r="A175" s="243" t="s">
        <v>816</v>
      </c>
      <c r="B175" s="478"/>
      <c r="C175" s="480"/>
      <c r="D175" s="478"/>
      <c r="E175" s="405" t="s">
        <v>340</v>
      </c>
      <c r="F175" s="436" t="s">
        <v>376</v>
      </c>
      <c r="G175" s="415" t="s">
        <v>782</v>
      </c>
      <c r="H175" s="420" t="s">
        <v>238</v>
      </c>
      <c r="I175" s="164">
        <v>2</v>
      </c>
      <c r="J175" s="163" t="s">
        <v>257</v>
      </c>
      <c r="K175" s="165" t="s">
        <v>791</v>
      </c>
      <c r="L175" s="138">
        <v>2</v>
      </c>
      <c r="M175" s="166">
        <f t="shared" si="38"/>
        <v>4</v>
      </c>
      <c r="N175" s="133" t="s">
        <v>291</v>
      </c>
      <c r="O175" s="69" t="s">
        <v>242</v>
      </c>
      <c r="P175" s="131">
        <v>5</v>
      </c>
      <c r="Q175" s="134">
        <f t="shared" si="39"/>
        <v>20</v>
      </c>
      <c r="R175" s="299"/>
      <c r="S175" s="299"/>
      <c r="T175" s="232"/>
      <c r="U175" s="409"/>
      <c r="V175" s="300"/>
      <c r="W175" s="232"/>
      <c r="X175" s="409"/>
      <c r="Y175" s="409"/>
      <c r="Z175" s="300"/>
      <c r="AA175" s="136"/>
      <c r="AB175" s="302"/>
      <c r="AC175" s="363"/>
      <c r="AD175" s="226">
        <f t="shared" si="29"/>
        <v>6763</v>
      </c>
    </row>
    <row r="176" spans="1:31" ht="153.75" outlineLevel="3" thickBot="1" x14ac:dyDescent="0.25">
      <c r="A176" s="243" t="s">
        <v>817</v>
      </c>
      <c r="B176" s="489" t="s">
        <v>378</v>
      </c>
      <c r="C176" s="486" t="s">
        <v>379</v>
      </c>
      <c r="D176" s="516" t="s">
        <v>380</v>
      </c>
      <c r="E176" s="415" t="s">
        <v>381</v>
      </c>
      <c r="F176" s="415" t="s">
        <v>801</v>
      </c>
      <c r="G176" s="415" t="s">
        <v>782</v>
      </c>
      <c r="H176" s="420" t="s">
        <v>238</v>
      </c>
      <c r="I176" s="164">
        <v>2</v>
      </c>
      <c r="J176" s="163" t="s">
        <v>382</v>
      </c>
      <c r="K176" s="165" t="s">
        <v>791</v>
      </c>
      <c r="L176" s="138">
        <v>1</v>
      </c>
      <c r="M176" s="166">
        <f t="shared" si="38"/>
        <v>2</v>
      </c>
      <c r="N176" s="133" t="s">
        <v>291</v>
      </c>
      <c r="O176" s="69" t="s">
        <v>242</v>
      </c>
      <c r="P176" s="131">
        <v>5</v>
      </c>
      <c r="Q176" s="134">
        <f t="shared" si="39"/>
        <v>10</v>
      </c>
      <c r="R176" s="299"/>
      <c r="S176" s="299"/>
      <c r="T176" s="232"/>
      <c r="U176" s="409"/>
      <c r="V176" s="300"/>
      <c r="W176" s="232"/>
      <c r="X176" s="409"/>
      <c r="Y176" s="409"/>
      <c r="Z176" s="300"/>
      <c r="AA176" s="136"/>
      <c r="AB176" s="302"/>
      <c r="AC176" s="363"/>
      <c r="AD176" s="226">
        <f t="shared" si="29"/>
        <v>5245</v>
      </c>
    </row>
    <row r="177" spans="1:31" ht="166.5" outlineLevel="3" thickBot="1" x14ac:dyDescent="0.25">
      <c r="A177" s="243" t="s">
        <v>818</v>
      </c>
      <c r="B177" s="491"/>
      <c r="C177" s="487"/>
      <c r="D177" s="491"/>
      <c r="E177" s="415" t="s">
        <v>384</v>
      </c>
      <c r="F177" s="430" t="s">
        <v>385</v>
      </c>
      <c r="G177" s="415" t="s">
        <v>782</v>
      </c>
      <c r="H177" s="420" t="s">
        <v>238</v>
      </c>
      <c r="I177" s="164">
        <v>2</v>
      </c>
      <c r="J177" s="163" t="s">
        <v>386</v>
      </c>
      <c r="K177" s="165" t="s">
        <v>791</v>
      </c>
      <c r="L177" s="138">
        <v>1</v>
      </c>
      <c r="M177" s="166">
        <f t="shared" si="38"/>
        <v>2</v>
      </c>
      <c r="N177" s="133" t="s">
        <v>291</v>
      </c>
      <c r="O177" s="69" t="s">
        <v>242</v>
      </c>
      <c r="P177" s="131">
        <v>5</v>
      </c>
      <c r="Q177" s="134">
        <f t="shared" si="39"/>
        <v>10</v>
      </c>
      <c r="R177" s="299"/>
      <c r="S177" s="299"/>
      <c r="T177" s="232"/>
      <c r="U177" s="409"/>
      <c r="V177" s="300"/>
      <c r="W177" s="232"/>
      <c r="X177" s="409"/>
      <c r="Y177" s="409"/>
      <c r="Z177" s="300"/>
      <c r="AA177" s="136"/>
      <c r="AB177" s="302"/>
      <c r="AC177" s="363"/>
      <c r="AD177" s="226">
        <f t="shared" si="29"/>
        <v>5246</v>
      </c>
    </row>
    <row r="178" spans="1:31" ht="153.75" outlineLevel="3" thickBot="1" x14ac:dyDescent="0.25">
      <c r="A178" s="252" t="s">
        <v>819</v>
      </c>
      <c r="B178" s="489" t="s">
        <v>388</v>
      </c>
      <c r="C178" s="486" t="s">
        <v>389</v>
      </c>
      <c r="D178" s="489" t="s">
        <v>390</v>
      </c>
      <c r="E178" s="415" t="s">
        <v>300</v>
      </c>
      <c r="F178" s="415" t="s">
        <v>391</v>
      </c>
      <c r="G178" s="415" t="s">
        <v>782</v>
      </c>
      <c r="H178" s="420" t="s">
        <v>238</v>
      </c>
      <c r="I178" s="164">
        <v>2</v>
      </c>
      <c r="J178" s="163" t="s">
        <v>302</v>
      </c>
      <c r="K178" s="165" t="s">
        <v>791</v>
      </c>
      <c r="L178" s="138">
        <v>1</v>
      </c>
      <c r="M178" s="166">
        <f t="shared" si="38"/>
        <v>2</v>
      </c>
      <c r="N178" s="133" t="s">
        <v>291</v>
      </c>
      <c r="O178" s="69" t="s">
        <v>242</v>
      </c>
      <c r="P178" s="131">
        <v>5</v>
      </c>
      <c r="Q178" s="134">
        <f t="shared" si="39"/>
        <v>10</v>
      </c>
      <c r="R178" s="299"/>
      <c r="S178" s="299"/>
      <c r="T178" s="232"/>
      <c r="U178" s="409"/>
      <c r="V178" s="300"/>
      <c r="W178" s="232"/>
      <c r="X178" s="409"/>
      <c r="Y178" s="409"/>
      <c r="Z178" s="300"/>
      <c r="AA178" s="136"/>
      <c r="AB178" s="302"/>
      <c r="AC178" s="363"/>
      <c r="AD178" s="226">
        <f t="shared" si="29"/>
        <v>5247</v>
      </c>
    </row>
    <row r="179" spans="1:31" ht="217.5" outlineLevel="3" thickBot="1" x14ac:dyDescent="0.25">
      <c r="A179" s="243" t="s">
        <v>820</v>
      </c>
      <c r="B179" s="491"/>
      <c r="C179" s="487"/>
      <c r="D179" s="491"/>
      <c r="E179" s="415" t="s">
        <v>393</v>
      </c>
      <c r="F179" s="430" t="s">
        <v>394</v>
      </c>
      <c r="G179" s="415" t="s">
        <v>782</v>
      </c>
      <c r="H179" s="420" t="s">
        <v>238</v>
      </c>
      <c r="I179" s="164">
        <v>2</v>
      </c>
      <c r="J179" s="163" t="s">
        <v>307</v>
      </c>
      <c r="K179" s="165" t="s">
        <v>791</v>
      </c>
      <c r="L179" s="138">
        <v>1</v>
      </c>
      <c r="M179" s="166">
        <f t="shared" si="38"/>
        <v>2</v>
      </c>
      <c r="N179" s="133" t="s">
        <v>291</v>
      </c>
      <c r="O179" s="69" t="s">
        <v>242</v>
      </c>
      <c r="P179" s="131">
        <v>5</v>
      </c>
      <c r="Q179" s="134">
        <f t="shared" si="39"/>
        <v>10</v>
      </c>
      <c r="R179" s="428"/>
      <c r="S179" s="428"/>
      <c r="T179" s="133"/>
      <c r="U179" s="405"/>
      <c r="V179" s="135"/>
      <c r="W179" s="133"/>
      <c r="X179" s="405"/>
      <c r="Y179" s="405"/>
      <c r="Z179" s="135"/>
      <c r="AA179" s="136"/>
      <c r="AB179" s="111"/>
      <c r="AC179" s="363"/>
      <c r="AD179" s="226">
        <f t="shared" si="29"/>
        <v>5248</v>
      </c>
    </row>
    <row r="180" spans="1:31" ht="153.75" outlineLevel="3" thickBot="1" x14ac:dyDescent="0.25">
      <c r="A180" s="200" t="s">
        <v>821</v>
      </c>
      <c r="B180" s="485" t="s">
        <v>396</v>
      </c>
      <c r="C180" s="479"/>
      <c r="D180" s="485" t="s">
        <v>397</v>
      </c>
      <c r="E180" s="414" t="s">
        <v>398</v>
      </c>
      <c r="F180" s="414" t="s">
        <v>361</v>
      </c>
      <c r="G180" s="415" t="s">
        <v>782</v>
      </c>
      <c r="H180" s="336" t="s">
        <v>238</v>
      </c>
      <c r="I180" s="177">
        <v>2</v>
      </c>
      <c r="J180" s="150" t="s">
        <v>290</v>
      </c>
      <c r="K180" s="178" t="s">
        <v>791</v>
      </c>
      <c r="L180" s="179">
        <v>1</v>
      </c>
      <c r="M180" s="180">
        <f t="shared" si="38"/>
        <v>2</v>
      </c>
      <c r="N180" s="154" t="s">
        <v>291</v>
      </c>
      <c r="O180" s="155" t="s">
        <v>242</v>
      </c>
      <c r="P180" s="152">
        <v>5</v>
      </c>
      <c r="Q180" s="156">
        <f t="shared" si="39"/>
        <v>10</v>
      </c>
      <c r="R180" s="428"/>
      <c r="S180" s="428"/>
      <c r="T180" s="133"/>
      <c r="U180" s="405"/>
      <c r="V180" s="135"/>
      <c r="W180" s="133"/>
      <c r="X180" s="405"/>
      <c r="Y180" s="405"/>
      <c r="Z180" s="135"/>
      <c r="AA180" s="136">
        <f t="shared" si="37"/>
        <v>0</v>
      </c>
      <c r="AB180" s="111"/>
      <c r="AC180" s="363"/>
      <c r="AD180" s="226">
        <f t="shared" si="29"/>
        <v>5249</v>
      </c>
    </row>
    <row r="181" spans="1:31" ht="153.75" outlineLevel="3" thickBot="1" x14ac:dyDescent="0.25">
      <c r="A181" s="199" t="s">
        <v>822</v>
      </c>
      <c r="B181" s="478"/>
      <c r="C181" s="480"/>
      <c r="D181" s="478"/>
      <c r="E181" s="405" t="s">
        <v>340</v>
      </c>
      <c r="F181" s="405" t="s">
        <v>823</v>
      </c>
      <c r="G181" s="415" t="s">
        <v>782</v>
      </c>
      <c r="H181" s="420" t="s">
        <v>238</v>
      </c>
      <c r="I181" s="164">
        <v>2</v>
      </c>
      <c r="J181" s="163" t="s">
        <v>402</v>
      </c>
      <c r="K181" s="165" t="s">
        <v>791</v>
      </c>
      <c r="L181" s="138">
        <v>1</v>
      </c>
      <c r="M181" s="166">
        <f t="shared" si="38"/>
        <v>2</v>
      </c>
      <c r="N181" s="133" t="s">
        <v>291</v>
      </c>
      <c r="O181" s="69" t="s">
        <v>242</v>
      </c>
      <c r="P181" s="131">
        <v>5</v>
      </c>
      <c r="Q181" s="134">
        <f t="shared" si="39"/>
        <v>10</v>
      </c>
      <c r="R181" s="428"/>
      <c r="S181" s="428"/>
      <c r="T181" s="133"/>
      <c r="U181" s="405"/>
      <c r="V181" s="135"/>
      <c r="W181" s="133"/>
      <c r="X181" s="405"/>
      <c r="Y181" s="405"/>
      <c r="Z181" s="135"/>
      <c r="AA181" s="136"/>
      <c r="AB181" s="111"/>
      <c r="AC181" s="363"/>
      <c r="AD181" s="226">
        <f t="shared" si="29"/>
        <v>5250</v>
      </c>
    </row>
    <row r="182" spans="1:31" ht="153.75" outlineLevel="3" thickBot="1" x14ac:dyDescent="0.25">
      <c r="A182" s="199" t="s">
        <v>824</v>
      </c>
      <c r="B182" s="477" t="s">
        <v>404</v>
      </c>
      <c r="C182" s="479" t="s">
        <v>405</v>
      </c>
      <c r="D182" s="477" t="s">
        <v>406</v>
      </c>
      <c r="E182" s="405" t="s">
        <v>407</v>
      </c>
      <c r="F182" s="405" t="s">
        <v>408</v>
      </c>
      <c r="G182" s="405" t="s">
        <v>774</v>
      </c>
      <c r="H182" s="420" t="s">
        <v>238</v>
      </c>
      <c r="I182" s="164">
        <v>1</v>
      </c>
      <c r="J182" s="163" t="s">
        <v>277</v>
      </c>
      <c r="K182" s="165" t="s">
        <v>791</v>
      </c>
      <c r="L182" s="138">
        <v>1</v>
      </c>
      <c r="M182" s="166">
        <f t="shared" si="38"/>
        <v>1</v>
      </c>
      <c r="N182" s="133" t="s">
        <v>291</v>
      </c>
      <c r="O182" s="69" t="s">
        <v>242</v>
      </c>
      <c r="P182" s="131">
        <v>5</v>
      </c>
      <c r="Q182" s="134">
        <f t="shared" si="39"/>
        <v>5</v>
      </c>
      <c r="R182" s="428"/>
      <c r="S182" s="428"/>
      <c r="T182" s="133"/>
      <c r="U182" s="405"/>
      <c r="V182" s="135"/>
      <c r="W182" s="133"/>
      <c r="X182" s="405"/>
      <c r="Y182" s="405"/>
      <c r="Z182" s="135"/>
      <c r="AA182" s="136"/>
      <c r="AB182" s="111"/>
      <c r="AC182" s="363"/>
      <c r="AD182" s="226">
        <f t="shared" si="29"/>
        <v>5251</v>
      </c>
    </row>
    <row r="183" spans="1:31" ht="153.75" outlineLevel="3" thickBot="1" x14ac:dyDescent="0.25">
      <c r="A183" s="199" t="s">
        <v>825</v>
      </c>
      <c r="B183" s="478"/>
      <c r="C183" s="480"/>
      <c r="D183" s="478"/>
      <c r="E183" s="405" t="s">
        <v>279</v>
      </c>
      <c r="F183" s="405" t="s">
        <v>411</v>
      </c>
      <c r="G183" s="415" t="s">
        <v>782</v>
      </c>
      <c r="H183" s="420" t="s">
        <v>238</v>
      </c>
      <c r="I183" s="164">
        <v>2</v>
      </c>
      <c r="J183" s="163" t="s">
        <v>412</v>
      </c>
      <c r="K183" s="165" t="s">
        <v>791</v>
      </c>
      <c r="L183" s="138">
        <v>1</v>
      </c>
      <c r="M183" s="166">
        <f t="shared" si="38"/>
        <v>2</v>
      </c>
      <c r="N183" s="133" t="s">
        <v>291</v>
      </c>
      <c r="O183" s="69" t="s">
        <v>242</v>
      </c>
      <c r="P183" s="131">
        <v>5</v>
      </c>
      <c r="Q183" s="134">
        <f t="shared" si="39"/>
        <v>10</v>
      </c>
      <c r="R183" s="428"/>
      <c r="S183" s="428"/>
      <c r="T183" s="133"/>
      <c r="U183" s="405"/>
      <c r="V183" s="135"/>
      <c r="W183" s="133"/>
      <c r="X183" s="405"/>
      <c r="Y183" s="405"/>
      <c r="Z183" s="135"/>
      <c r="AA183" s="136"/>
      <c r="AB183" s="111"/>
      <c r="AC183" s="363"/>
      <c r="AD183" s="226">
        <f t="shared" si="29"/>
        <v>5252</v>
      </c>
    </row>
    <row r="184" spans="1:31" ht="153.75" outlineLevel="3" thickBot="1" x14ac:dyDescent="0.25">
      <c r="A184" s="199" t="s">
        <v>826</v>
      </c>
      <c r="B184" s="477" t="s">
        <v>414</v>
      </c>
      <c r="C184" s="479" t="s">
        <v>415</v>
      </c>
      <c r="D184" s="477" t="s">
        <v>416</v>
      </c>
      <c r="E184" s="405" t="s">
        <v>417</v>
      </c>
      <c r="F184" s="405" t="s">
        <v>827</v>
      </c>
      <c r="G184" s="415" t="s">
        <v>782</v>
      </c>
      <c r="H184" s="420" t="s">
        <v>238</v>
      </c>
      <c r="I184" s="164">
        <v>2</v>
      </c>
      <c r="J184" s="163" t="s">
        <v>302</v>
      </c>
      <c r="K184" s="165" t="s">
        <v>791</v>
      </c>
      <c r="L184" s="138">
        <v>1</v>
      </c>
      <c r="M184" s="166">
        <f t="shared" si="38"/>
        <v>2</v>
      </c>
      <c r="N184" s="133" t="s">
        <v>291</v>
      </c>
      <c r="O184" s="69" t="s">
        <v>242</v>
      </c>
      <c r="P184" s="131">
        <v>5</v>
      </c>
      <c r="Q184" s="134">
        <f t="shared" si="39"/>
        <v>10</v>
      </c>
      <c r="R184" s="428"/>
      <c r="S184" s="428"/>
      <c r="T184" s="133"/>
      <c r="U184" s="405"/>
      <c r="V184" s="135"/>
      <c r="W184" s="133"/>
      <c r="X184" s="405"/>
      <c r="Y184" s="405"/>
      <c r="Z184" s="135"/>
      <c r="AA184" s="136"/>
      <c r="AB184" s="111"/>
      <c r="AD184" s="226">
        <f t="shared" si="29"/>
        <v>5253</v>
      </c>
    </row>
    <row r="185" spans="1:31" ht="192" outlineLevel="3" thickBot="1" x14ac:dyDescent="0.25">
      <c r="A185" s="199" t="s">
        <v>828</v>
      </c>
      <c r="B185" s="478"/>
      <c r="C185" s="480"/>
      <c r="D185" s="478"/>
      <c r="E185" s="405" t="s">
        <v>393</v>
      </c>
      <c r="F185" s="405" t="s">
        <v>829</v>
      </c>
      <c r="G185" s="415" t="s">
        <v>782</v>
      </c>
      <c r="H185" s="420" t="s">
        <v>238</v>
      </c>
      <c r="I185" s="164">
        <v>2</v>
      </c>
      <c r="J185" s="163" t="s">
        <v>307</v>
      </c>
      <c r="K185" s="165" t="s">
        <v>791</v>
      </c>
      <c r="L185" s="138">
        <v>1</v>
      </c>
      <c r="M185" s="166">
        <f t="shared" si="38"/>
        <v>2</v>
      </c>
      <c r="N185" s="133" t="s">
        <v>291</v>
      </c>
      <c r="O185" s="69" t="s">
        <v>242</v>
      </c>
      <c r="P185" s="131">
        <v>5</v>
      </c>
      <c r="Q185" s="134">
        <f t="shared" si="39"/>
        <v>10</v>
      </c>
      <c r="R185" s="428"/>
      <c r="S185" s="428"/>
      <c r="T185" s="133"/>
      <c r="U185" s="405"/>
      <c r="V185" s="135"/>
      <c r="W185" s="133"/>
      <c r="X185" s="405"/>
      <c r="Y185" s="405"/>
      <c r="Z185" s="135"/>
      <c r="AA185" s="136">
        <f>X185*Y185*Z185</f>
        <v>0</v>
      </c>
      <c r="AB185" s="111"/>
      <c r="AC185" s="363"/>
      <c r="AD185" s="226">
        <f t="shared" si="29"/>
        <v>5254</v>
      </c>
    </row>
    <row r="186" spans="1:31" s="144" customFormat="1" ht="153.75" outlineLevel="3" thickBot="1" x14ac:dyDescent="0.25">
      <c r="A186" s="243" t="s">
        <v>830</v>
      </c>
      <c r="B186" s="489" t="s">
        <v>422</v>
      </c>
      <c r="C186" s="523" t="s">
        <v>423</v>
      </c>
      <c r="D186" s="516" t="s">
        <v>424</v>
      </c>
      <c r="E186" s="405" t="s">
        <v>425</v>
      </c>
      <c r="F186" s="405" t="s">
        <v>831</v>
      </c>
      <c r="G186" s="415" t="s">
        <v>782</v>
      </c>
      <c r="H186" s="420" t="s">
        <v>238</v>
      </c>
      <c r="I186" s="164">
        <v>2</v>
      </c>
      <c r="J186" s="129" t="s">
        <v>290</v>
      </c>
      <c r="K186" s="165" t="s">
        <v>791</v>
      </c>
      <c r="L186" s="138">
        <v>2</v>
      </c>
      <c r="M186" s="166">
        <f t="shared" si="38"/>
        <v>4</v>
      </c>
      <c r="N186" s="133" t="s">
        <v>291</v>
      </c>
      <c r="O186" s="69" t="s">
        <v>242</v>
      </c>
      <c r="P186" s="131">
        <v>5</v>
      </c>
      <c r="Q186" s="134">
        <f t="shared" si="39"/>
        <v>20</v>
      </c>
      <c r="R186" s="197"/>
      <c r="S186" s="197"/>
      <c r="T186" s="154"/>
      <c r="U186" s="414"/>
      <c r="V186" s="157"/>
      <c r="W186" s="154"/>
      <c r="X186" s="414"/>
      <c r="Y186" s="414"/>
      <c r="Z186" s="157"/>
      <c r="AA186" s="158">
        <f>X186*Y186*Z186</f>
        <v>0</v>
      </c>
      <c r="AB186" s="159"/>
      <c r="AC186" s="366"/>
      <c r="AD186" s="226">
        <f t="shared" si="29"/>
        <v>5255</v>
      </c>
      <c r="AE186" s="350"/>
    </row>
    <row r="187" spans="1:31" s="144" customFormat="1" ht="230.25" outlineLevel="3" thickBot="1" x14ac:dyDescent="0.25">
      <c r="A187" s="243" t="s">
        <v>832</v>
      </c>
      <c r="B187" s="491"/>
      <c r="C187" s="524"/>
      <c r="D187" s="491"/>
      <c r="E187" s="405" t="s">
        <v>340</v>
      </c>
      <c r="F187" s="405" t="s">
        <v>427</v>
      </c>
      <c r="G187" s="415" t="s">
        <v>782</v>
      </c>
      <c r="H187" s="420" t="s">
        <v>238</v>
      </c>
      <c r="I187" s="164">
        <v>2</v>
      </c>
      <c r="J187" s="163" t="s">
        <v>833</v>
      </c>
      <c r="K187" s="165" t="s">
        <v>791</v>
      </c>
      <c r="L187" s="138">
        <v>2</v>
      </c>
      <c r="M187" s="166">
        <f t="shared" si="38"/>
        <v>4</v>
      </c>
      <c r="N187" s="133" t="s">
        <v>291</v>
      </c>
      <c r="O187" s="69" t="s">
        <v>242</v>
      </c>
      <c r="P187" s="131">
        <v>5</v>
      </c>
      <c r="Q187" s="134">
        <f t="shared" si="39"/>
        <v>20</v>
      </c>
      <c r="R187" s="197"/>
      <c r="S187" s="197"/>
      <c r="T187" s="154"/>
      <c r="U187" s="414"/>
      <c r="V187" s="157"/>
      <c r="W187" s="154"/>
      <c r="X187" s="414"/>
      <c r="Y187" s="414"/>
      <c r="Z187" s="157"/>
      <c r="AA187" s="158">
        <f>X187*Y187*Z187</f>
        <v>0</v>
      </c>
      <c r="AB187" s="159"/>
      <c r="AC187" s="366"/>
      <c r="AD187" s="226">
        <f t="shared" si="29"/>
        <v>5256</v>
      </c>
      <c r="AE187" s="350"/>
    </row>
    <row r="188" spans="1:31" ht="153.75" outlineLevel="3" thickBot="1" x14ac:dyDescent="0.25">
      <c r="A188" s="199" t="s">
        <v>834</v>
      </c>
      <c r="B188" s="477" t="s">
        <v>430</v>
      </c>
      <c r="C188" s="479" t="s">
        <v>431</v>
      </c>
      <c r="D188" s="477" t="s">
        <v>432</v>
      </c>
      <c r="E188" s="405" t="s">
        <v>352</v>
      </c>
      <c r="F188" s="405" t="s">
        <v>418</v>
      </c>
      <c r="G188" s="415" t="s">
        <v>782</v>
      </c>
      <c r="H188" s="420" t="s">
        <v>238</v>
      </c>
      <c r="I188" s="164">
        <v>2</v>
      </c>
      <c r="J188" s="163" t="s">
        <v>302</v>
      </c>
      <c r="K188" s="165" t="s">
        <v>791</v>
      </c>
      <c r="L188" s="138">
        <v>1</v>
      </c>
      <c r="M188" s="166">
        <f t="shared" si="38"/>
        <v>2</v>
      </c>
      <c r="N188" s="133" t="s">
        <v>291</v>
      </c>
      <c r="O188" s="69" t="s">
        <v>242</v>
      </c>
      <c r="P188" s="131">
        <v>5</v>
      </c>
      <c r="Q188" s="134">
        <f t="shared" si="39"/>
        <v>10</v>
      </c>
      <c r="R188" s="428"/>
      <c r="S188" s="428"/>
      <c r="T188" s="133"/>
      <c r="U188" s="405"/>
      <c r="V188" s="135"/>
      <c r="W188" s="133"/>
      <c r="X188" s="405"/>
      <c r="Y188" s="405"/>
      <c r="Z188" s="135"/>
      <c r="AA188" s="136">
        <f t="shared" ref="AA188:AA206" si="40">X188*Y188*Z188</f>
        <v>0</v>
      </c>
      <c r="AB188" s="111"/>
      <c r="AC188" s="363"/>
      <c r="AD188" s="226">
        <f t="shared" si="29"/>
        <v>6764</v>
      </c>
    </row>
    <row r="189" spans="1:31" ht="153.75" outlineLevel="3" thickBot="1" x14ac:dyDescent="0.25">
      <c r="A189" s="199" t="s">
        <v>835</v>
      </c>
      <c r="B189" s="478"/>
      <c r="C189" s="480"/>
      <c r="D189" s="478"/>
      <c r="E189" s="405" t="s">
        <v>355</v>
      </c>
      <c r="F189" s="405" t="s">
        <v>418</v>
      </c>
      <c r="G189" s="415" t="s">
        <v>782</v>
      </c>
      <c r="H189" s="420" t="s">
        <v>238</v>
      </c>
      <c r="I189" s="164">
        <v>2</v>
      </c>
      <c r="J189" s="163" t="s">
        <v>307</v>
      </c>
      <c r="K189" s="165" t="s">
        <v>791</v>
      </c>
      <c r="L189" s="138">
        <v>1</v>
      </c>
      <c r="M189" s="166">
        <f t="shared" si="38"/>
        <v>2</v>
      </c>
      <c r="N189" s="133" t="s">
        <v>291</v>
      </c>
      <c r="O189" s="69" t="s">
        <v>242</v>
      </c>
      <c r="P189" s="131">
        <v>5</v>
      </c>
      <c r="Q189" s="134">
        <f t="shared" si="39"/>
        <v>10</v>
      </c>
      <c r="R189" s="428"/>
      <c r="S189" s="428"/>
      <c r="T189" s="133"/>
      <c r="U189" s="405"/>
      <c r="V189" s="135"/>
      <c r="W189" s="133"/>
      <c r="X189" s="405"/>
      <c r="Y189" s="405"/>
      <c r="Z189" s="135"/>
      <c r="AA189" s="136"/>
      <c r="AB189" s="111"/>
      <c r="AC189" s="363"/>
      <c r="AD189" s="226">
        <f t="shared" si="29"/>
        <v>6765</v>
      </c>
    </row>
    <row r="190" spans="1:31" ht="153.75" outlineLevel="3" thickBot="1" x14ac:dyDescent="0.25">
      <c r="A190" s="266" t="s">
        <v>836</v>
      </c>
      <c r="B190" s="520" t="s">
        <v>436</v>
      </c>
      <c r="C190" s="525" t="s">
        <v>423</v>
      </c>
      <c r="D190" s="522" t="s">
        <v>424</v>
      </c>
      <c r="E190" s="414" t="s">
        <v>437</v>
      </c>
      <c r="F190" s="414" t="s">
        <v>418</v>
      </c>
      <c r="G190" s="415" t="s">
        <v>782</v>
      </c>
      <c r="H190" s="336" t="s">
        <v>238</v>
      </c>
      <c r="I190" s="177">
        <v>2</v>
      </c>
      <c r="J190" s="176" t="s">
        <v>438</v>
      </c>
      <c r="K190" s="178" t="s">
        <v>791</v>
      </c>
      <c r="L190" s="138">
        <v>2</v>
      </c>
      <c r="M190" s="180">
        <f t="shared" si="38"/>
        <v>4</v>
      </c>
      <c r="N190" s="154" t="s">
        <v>291</v>
      </c>
      <c r="O190" s="155" t="s">
        <v>242</v>
      </c>
      <c r="P190" s="152">
        <v>5</v>
      </c>
      <c r="Q190" s="156">
        <f t="shared" si="39"/>
        <v>20</v>
      </c>
      <c r="R190" s="428"/>
      <c r="S190" s="428"/>
      <c r="T190" s="133"/>
      <c r="U190" s="405"/>
      <c r="V190" s="135"/>
      <c r="W190" s="133"/>
      <c r="X190" s="405"/>
      <c r="Y190" s="405"/>
      <c r="Z190" s="135"/>
      <c r="AA190" s="136">
        <f t="shared" si="40"/>
        <v>0</v>
      </c>
      <c r="AB190" s="111"/>
      <c r="AC190" s="363"/>
      <c r="AD190" s="226">
        <f t="shared" si="29"/>
        <v>6766</v>
      </c>
    </row>
    <row r="191" spans="1:31" ht="153.75" outlineLevel="3" thickBot="1" x14ac:dyDescent="0.25">
      <c r="A191" s="273" t="s">
        <v>837</v>
      </c>
      <c r="B191" s="521"/>
      <c r="C191" s="526"/>
      <c r="D191" s="521"/>
      <c r="E191" s="414" t="s">
        <v>440</v>
      </c>
      <c r="F191" s="414" t="s">
        <v>441</v>
      </c>
      <c r="G191" s="414" t="s">
        <v>774</v>
      </c>
      <c r="H191" s="336" t="s">
        <v>238</v>
      </c>
      <c r="I191" s="177">
        <v>1</v>
      </c>
      <c r="J191" s="176" t="s">
        <v>402</v>
      </c>
      <c r="K191" s="178" t="s">
        <v>791</v>
      </c>
      <c r="L191" s="179">
        <v>1</v>
      </c>
      <c r="M191" s="180">
        <f t="shared" si="38"/>
        <v>1</v>
      </c>
      <c r="N191" s="154" t="s">
        <v>291</v>
      </c>
      <c r="O191" s="155" t="s">
        <v>242</v>
      </c>
      <c r="P191" s="152">
        <v>5</v>
      </c>
      <c r="Q191" s="156">
        <f t="shared" si="39"/>
        <v>5</v>
      </c>
      <c r="R191" s="428"/>
      <c r="S191" s="428"/>
      <c r="T191" s="133"/>
      <c r="U191" s="405"/>
      <c r="V191" s="135"/>
      <c r="W191" s="133"/>
      <c r="X191" s="405"/>
      <c r="Y191" s="405"/>
      <c r="Z191" s="135"/>
      <c r="AA191" s="136"/>
      <c r="AB191" s="111"/>
      <c r="AC191" s="363"/>
      <c r="AD191" s="226">
        <f t="shared" si="29"/>
        <v>6767</v>
      </c>
    </row>
    <row r="192" spans="1:31" ht="166.5" outlineLevel="3" thickBot="1" x14ac:dyDescent="0.25">
      <c r="A192" s="199" t="s">
        <v>838</v>
      </c>
      <c r="B192" s="477" t="s">
        <v>443</v>
      </c>
      <c r="C192" s="479" t="s">
        <v>444</v>
      </c>
      <c r="D192" s="477" t="s">
        <v>445</v>
      </c>
      <c r="E192" s="405" t="s">
        <v>437</v>
      </c>
      <c r="F192" s="405" t="s">
        <v>446</v>
      </c>
      <c r="G192" s="415" t="s">
        <v>782</v>
      </c>
      <c r="H192" s="420" t="s">
        <v>238</v>
      </c>
      <c r="I192" s="164">
        <v>2</v>
      </c>
      <c r="J192" s="163" t="s">
        <v>438</v>
      </c>
      <c r="K192" s="165" t="s">
        <v>791</v>
      </c>
      <c r="L192" s="138">
        <v>1</v>
      </c>
      <c r="M192" s="166">
        <f t="shared" si="38"/>
        <v>2</v>
      </c>
      <c r="N192" s="133" t="s">
        <v>291</v>
      </c>
      <c r="O192" s="69" t="s">
        <v>242</v>
      </c>
      <c r="P192" s="131">
        <v>5</v>
      </c>
      <c r="Q192" s="134">
        <f t="shared" si="39"/>
        <v>10</v>
      </c>
      <c r="R192" s="428"/>
      <c r="S192" s="428"/>
      <c r="T192" s="133"/>
      <c r="U192" s="405"/>
      <c r="V192" s="135"/>
      <c r="W192" s="133"/>
      <c r="X192" s="405"/>
      <c r="Y192" s="405"/>
      <c r="Z192" s="135"/>
      <c r="AA192" s="136">
        <f t="shared" si="40"/>
        <v>0</v>
      </c>
      <c r="AB192" s="111"/>
      <c r="AC192" s="363"/>
      <c r="AD192" s="226">
        <f t="shared" si="29"/>
        <v>6768</v>
      </c>
    </row>
    <row r="193" spans="1:31" ht="153.75" outlineLevel="3" thickBot="1" x14ac:dyDescent="0.25">
      <c r="A193" s="199" t="s">
        <v>839</v>
      </c>
      <c r="B193" s="478"/>
      <c r="C193" s="480"/>
      <c r="D193" s="478"/>
      <c r="E193" s="405" t="s">
        <v>440</v>
      </c>
      <c r="F193" s="405" t="s">
        <v>448</v>
      </c>
      <c r="G193" s="415" t="s">
        <v>782</v>
      </c>
      <c r="H193" s="420" t="s">
        <v>238</v>
      </c>
      <c r="I193" s="164">
        <v>2</v>
      </c>
      <c r="J193" s="163" t="s">
        <v>402</v>
      </c>
      <c r="K193" s="165" t="s">
        <v>791</v>
      </c>
      <c r="L193" s="138">
        <v>1</v>
      </c>
      <c r="M193" s="166">
        <f t="shared" si="38"/>
        <v>2</v>
      </c>
      <c r="N193" s="133" t="s">
        <v>291</v>
      </c>
      <c r="O193" s="69" t="s">
        <v>242</v>
      </c>
      <c r="P193" s="131">
        <v>5</v>
      </c>
      <c r="Q193" s="134">
        <f t="shared" si="39"/>
        <v>10</v>
      </c>
      <c r="R193" s="428"/>
      <c r="S193" s="428"/>
      <c r="T193" s="133"/>
      <c r="U193" s="405"/>
      <c r="V193" s="135"/>
      <c r="W193" s="133"/>
      <c r="X193" s="405"/>
      <c r="Y193" s="405"/>
      <c r="Z193" s="135"/>
      <c r="AA193" s="136"/>
      <c r="AB193" s="111"/>
      <c r="AC193" s="363"/>
      <c r="AD193" s="226">
        <f t="shared" si="29"/>
        <v>6769</v>
      </c>
    </row>
    <row r="194" spans="1:31" ht="153.75" outlineLevel="3" thickBot="1" x14ac:dyDescent="0.25">
      <c r="A194" s="199" t="s">
        <v>840</v>
      </c>
      <c r="B194" s="477" t="s">
        <v>450</v>
      </c>
      <c r="C194" s="479" t="s">
        <v>451</v>
      </c>
      <c r="D194" s="477" t="s">
        <v>452</v>
      </c>
      <c r="E194" s="405" t="s">
        <v>437</v>
      </c>
      <c r="F194" s="405" t="s">
        <v>441</v>
      </c>
      <c r="G194" s="405" t="s">
        <v>774</v>
      </c>
      <c r="H194" s="420" t="s">
        <v>238</v>
      </c>
      <c r="I194" s="164">
        <v>1</v>
      </c>
      <c r="J194" s="163" t="s">
        <v>438</v>
      </c>
      <c r="K194" s="165" t="s">
        <v>791</v>
      </c>
      <c r="L194" s="138">
        <v>2</v>
      </c>
      <c r="M194" s="166">
        <f t="shared" si="38"/>
        <v>2</v>
      </c>
      <c r="N194" s="133" t="s">
        <v>291</v>
      </c>
      <c r="O194" s="69" t="s">
        <v>242</v>
      </c>
      <c r="P194" s="131">
        <v>5</v>
      </c>
      <c r="Q194" s="134">
        <f t="shared" si="39"/>
        <v>10</v>
      </c>
      <c r="R194" s="428"/>
      <c r="S194" s="428"/>
      <c r="T194" s="133"/>
      <c r="U194" s="405"/>
      <c r="V194" s="135"/>
      <c r="W194" s="133"/>
      <c r="X194" s="405"/>
      <c r="Y194" s="405"/>
      <c r="Z194" s="135"/>
      <c r="AA194" s="136">
        <f t="shared" si="40"/>
        <v>0</v>
      </c>
      <c r="AB194" s="111"/>
      <c r="AC194" s="363"/>
      <c r="AD194" s="226">
        <f t="shared" si="29"/>
        <v>6770</v>
      </c>
    </row>
    <row r="195" spans="1:31" ht="153.75" outlineLevel="3" thickBot="1" x14ac:dyDescent="0.25">
      <c r="A195" s="199" t="s">
        <v>841</v>
      </c>
      <c r="B195" s="478"/>
      <c r="C195" s="480"/>
      <c r="D195" s="478"/>
      <c r="E195" s="405" t="s">
        <v>440</v>
      </c>
      <c r="F195" s="405" t="s">
        <v>454</v>
      </c>
      <c r="G195" s="415" t="s">
        <v>782</v>
      </c>
      <c r="H195" s="420" t="s">
        <v>238</v>
      </c>
      <c r="I195" s="164">
        <v>2</v>
      </c>
      <c r="J195" s="163" t="s">
        <v>402</v>
      </c>
      <c r="K195" s="165" t="s">
        <v>791</v>
      </c>
      <c r="L195" s="138">
        <v>2</v>
      </c>
      <c r="M195" s="166">
        <f t="shared" si="38"/>
        <v>4</v>
      </c>
      <c r="N195" s="133" t="s">
        <v>291</v>
      </c>
      <c r="O195" s="69" t="s">
        <v>242</v>
      </c>
      <c r="P195" s="131">
        <v>5</v>
      </c>
      <c r="Q195" s="134">
        <f t="shared" si="39"/>
        <v>20</v>
      </c>
      <c r="R195" s="428"/>
      <c r="S195" s="428"/>
      <c r="T195" s="133"/>
      <c r="U195" s="405"/>
      <c r="V195" s="135"/>
      <c r="W195" s="133"/>
      <c r="X195" s="405"/>
      <c r="Y195" s="405"/>
      <c r="Z195" s="135"/>
      <c r="AA195" s="136"/>
      <c r="AB195" s="111"/>
      <c r="AC195" s="363"/>
      <c r="AD195" s="226">
        <f t="shared" si="29"/>
        <v>6771</v>
      </c>
    </row>
    <row r="196" spans="1:31" ht="153.75" outlineLevel="3" thickBot="1" x14ac:dyDescent="0.25">
      <c r="A196" s="199" t="s">
        <v>842</v>
      </c>
      <c r="B196" s="477" t="s">
        <v>456</v>
      </c>
      <c r="C196" s="479" t="s">
        <v>457</v>
      </c>
      <c r="D196" s="477" t="s">
        <v>458</v>
      </c>
      <c r="E196" s="405" t="s">
        <v>459</v>
      </c>
      <c r="F196" s="405" t="s">
        <v>831</v>
      </c>
      <c r="G196" s="415" t="s">
        <v>782</v>
      </c>
      <c r="H196" s="420" t="s">
        <v>238</v>
      </c>
      <c r="I196" s="164">
        <v>2</v>
      </c>
      <c r="J196" s="163" t="s">
        <v>328</v>
      </c>
      <c r="K196" s="165" t="s">
        <v>791</v>
      </c>
      <c r="L196" s="138">
        <v>1</v>
      </c>
      <c r="M196" s="166">
        <f t="shared" si="38"/>
        <v>2</v>
      </c>
      <c r="N196" s="133" t="s">
        <v>291</v>
      </c>
      <c r="O196" s="69" t="s">
        <v>242</v>
      </c>
      <c r="P196" s="131">
        <v>5</v>
      </c>
      <c r="Q196" s="134">
        <f t="shared" si="39"/>
        <v>10</v>
      </c>
      <c r="R196" s="428"/>
      <c r="S196" s="428"/>
      <c r="T196" s="133"/>
      <c r="U196" s="405"/>
      <c r="V196" s="135"/>
      <c r="W196" s="133"/>
      <c r="X196" s="405"/>
      <c r="Y196" s="405"/>
      <c r="Z196" s="135"/>
      <c r="AA196" s="136"/>
      <c r="AB196" s="111"/>
      <c r="AC196" s="363"/>
      <c r="AD196" s="226">
        <f t="shared" si="29"/>
        <v>5257</v>
      </c>
    </row>
    <row r="197" spans="1:31" ht="204.75" outlineLevel="3" thickBot="1" x14ac:dyDescent="0.25">
      <c r="A197" s="199" t="s">
        <v>843</v>
      </c>
      <c r="B197" s="478"/>
      <c r="C197" s="480"/>
      <c r="D197" s="478"/>
      <c r="E197" s="405" t="s">
        <v>330</v>
      </c>
      <c r="F197" s="405" t="s">
        <v>844</v>
      </c>
      <c r="G197" s="415" t="s">
        <v>782</v>
      </c>
      <c r="H197" s="420" t="s">
        <v>238</v>
      </c>
      <c r="I197" s="164">
        <v>2</v>
      </c>
      <c r="J197" s="163" t="s">
        <v>332</v>
      </c>
      <c r="K197" s="165" t="s">
        <v>791</v>
      </c>
      <c r="L197" s="138">
        <v>1</v>
      </c>
      <c r="M197" s="166">
        <f t="shared" si="38"/>
        <v>2</v>
      </c>
      <c r="N197" s="133" t="s">
        <v>291</v>
      </c>
      <c r="O197" s="69" t="s">
        <v>242</v>
      </c>
      <c r="P197" s="131">
        <v>5</v>
      </c>
      <c r="Q197" s="134">
        <f t="shared" si="39"/>
        <v>10</v>
      </c>
      <c r="R197" s="428"/>
      <c r="S197" s="428"/>
      <c r="T197" s="133"/>
      <c r="U197" s="405"/>
      <c r="V197" s="135"/>
      <c r="W197" s="133"/>
      <c r="X197" s="405"/>
      <c r="Y197" s="405"/>
      <c r="Z197" s="135"/>
      <c r="AA197" s="136"/>
      <c r="AB197" s="111"/>
      <c r="AC197" s="363"/>
      <c r="AD197" s="226">
        <f t="shared" si="29"/>
        <v>5258</v>
      </c>
    </row>
    <row r="198" spans="1:31" ht="153.75" outlineLevel="3" thickBot="1" x14ac:dyDescent="0.25">
      <c r="A198" s="252" t="s">
        <v>845</v>
      </c>
      <c r="B198" s="489" t="s">
        <v>463</v>
      </c>
      <c r="C198" s="486" t="s">
        <v>464</v>
      </c>
      <c r="D198" s="477" t="s">
        <v>465</v>
      </c>
      <c r="E198" s="415" t="s">
        <v>425</v>
      </c>
      <c r="F198" s="415" t="s">
        <v>337</v>
      </c>
      <c r="G198" s="405" t="s">
        <v>774</v>
      </c>
      <c r="H198" s="420" t="s">
        <v>238</v>
      </c>
      <c r="I198" s="164">
        <v>1</v>
      </c>
      <c r="J198" s="129" t="s">
        <v>290</v>
      </c>
      <c r="K198" s="165" t="s">
        <v>776</v>
      </c>
      <c r="L198" s="138">
        <v>2</v>
      </c>
      <c r="M198" s="166">
        <f t="shared" si="38"/>
        <v>2</v>
      </c>
      <c r="N198" s="133" t="s">
        <v>291</v>
      </c>
      <c r="O198" s="69" t="s">
        <v>242</v>
      </c>
      <c r="P198" s="131">
        <v>5</v>
      </c>
      <c r="Q198" s="134">
        <f t="shared" si="39"/>
        <v>10</v>
      </c>
      <c r="R198" s="428"/>
      <c r="S198" s="428"/>
      <c r="T198" s="133"/>
      <c r="U198" s="405"/>
      <c r="V198" s="135"/>
      <c r="W198" s="133"/>
      <c r="X198" s="405"/>
      <c r="Y198" s="405"/>
      <c r="Z198" s="135"/>
      <c r="AA198" s="136">
        <f t="shared" si="40"/>
        <v>0</v>
      </c>
      <c r="AB198" s="111"/>
      <c r="AC198" s="363"/>
      <c r="AD198" s="226">
        <f t="shared" ref="AD198:AD261" si="41">VALUE(RIGHT((IF(A198="",0,A198)),5))</f>
        <v>5259</v>
      </c>
    </row>
    <row r="199" spans="1:31" ht="153.75" outlineLevel="3" thickBot="1" x14ac:dyDescent="0.25">
      <c r="A199" s="243" t="s">
        <v>846</v>
      </c>
      <c r="B199" s="490"/>
      <c r="C199" s="578"/>
      <c r="D199" s="517"/>
      <c r="E199" s="415" t="s">
        <v>340</v>
      </c>
      <c r="F199" s="430" t="s">
        <v>468</v>
      </c>
      <c r="G199" s="415" t="s">
        <v>782</v>
      </c>
      <c r="H199" s="420" t="s">
        <v>238</v>
      </c>
      <c r="I199" s="164">
        <v>2</v>
      </c>
      <c r="J199" s="163" t="s">
        <v>402</v>
      </c>
      <c r="K199" s="165" t="s">
        <v>776</v>
      </c>
      <c r="L199" s="138">
        <v>2</v>
      </c>
      <c r="M199" s="166">
        <f t="shared" si="38"/>
        <v>4</v>
      </c>
      <c r="N199" s="133" t="s">
        <v>291</v>
      </c>
      <c r="O199" s="69" t="s">
        <v>242</v>
      </c>
      <c r="P199" s="131">
        <v>5</v>
      </c>
      <c r="Q199" s="134">
        <f t="shared" si="39"/>
        <v>20</v>
      </c>
      <c r="R199" s="428"/>
      <c r="S199" s="428"/>
      <c r="T199" s="133"/>
      <c r="U199" s="405"/>
      <c r="V199" s="135"/>
      <c r="W199" s="133"/>
      <c r="X199" s="405"/>
      <c r="Y199" s="405"/>
      <c r="Z199" s="135"/>
      <c r="AA199" s="136"/>
      <c r="AB199" s="111"/>
      <c r="AC199" s="363"/>
      <c r="AD199" s="226">
        <f t="shared" si="41"/>
        <v>5260</v>
      </c>
    </row>
    <row r="200" spans="1:31" s="144" customFormat="1" ht="21" outlineLevel="2" thickBot="1" x14ac:dyDescent="0.25">
      <c r="A200" s="199"/>
      <c r="B200" s="117" t="s">
        <v>469</v>
      </c>
      <c r="C200" s="190"/>
      <c r="D200" s="118"/>
      <c r="E200" s="118"/>
      <c r="F200" s="118"/>
      <c r="G200" s="118"/>
      <c r="H200" s="118"/>
      <c r="I200" s="118"/>
      <c r="J200" s="118"/>
      <c r="K200" s="118"/>
      <c r="L200" s="118"/>
      <c r="M200" s="118"/>
      <c r="N200" s="118"/>
      <c r="O200" s="118"/>
      <c r="P200" s="118"/>
      <c r="Q200" s="118"/>
      <c r="R200" s="118"/>
      <c r="S200" s="118"/>
      <c r="T200" s="118"/>
      <c r="U200" s="118"/>
      <c r="V200" s="118"/>
      <c r="W200" s="118"/>
      <c r="X200" s="118"/>
      <c r="Y200" s="118"/>
      <c r="Z200" s="118"/>
      <c r="AA200" s="118"/>
      <c r="AB200" s="119"/>
      <c r="AC200" s="366"/>
      <c r="AD200" s="226">
        <f t="shared" si="41"/>
        <v>0</v>
      </c>
      <c r="AE200" s="350"/>
    </row>
    <row r="201" spans="1:31" s="144" customFormat="1" ht="128.25" outlineLevel="3" thickBot="1" x14ac:dyDescent="0.25">
      <c r="A201" s="199" t="s">
        <v>847</v>
      </c>
      <c r="B201" s="503" t="s">
        <v>471</v>
      </c>
      <c r="C201" s="505" t="s">
        <v>472</v>
      </c>
      <c r="D201" s="503" t="s">
        <v>473</v>
      </c>
      <c r="E201" s="405" t="s">
        <v>474</v>
      </c>
      <c r="F201" s="405" t="s">
        <v>848</v>
      </c>
      <c r="G201" s="415" t="s">
        <v>782</v>
      </c>
      <c r="H201" s="420" t="s">
        <v>238</v>
      </c>
      <c r="I201" s="164">
        <v>2</v>
      </c>
      <c r="J201" s="163" t="s">
        <v>476</v>
      </c>
      <c r="K201" s="165" t="s">
        <v>338</v>
      </c>
      <c r="L201" s="138">
        <v>1</v>
      </c>
      <c r="M201" s="166">
        <f t="shared" ref="M201:M229" si="42">I201*L201</f>
        <v>2</v>
      </c>
      <c r="N201" s="133" t="s">
        <v>291</v>
      </c>
      <c r="O201" s="69" t="s">
        <v>242</v>
      </c>
      <c r="P201" s="131">
        <v>5</v>
      </c>
      <c r="Q201" s="134">
        <f t="shared" ref="Q201:Q229" si="43">I201*L201*P201</f>
        <v>10</v>
      </c>
      <c r="R201" s="197"/>
      <c r="S201" s="197"/>
      <c r="T201" s="154"/>
      <c r="U201" s="414"/>
      <c r="V201" s="157"/>
      <c r="W201" s="154"/>
      <c r="X201" s="414"/>
      <c r="Y201" s="414"/>
      <c r="Z201" s="157"/>
      <c r="AA201" s="158"/>
      <c r="AB201" s="159"/>
      <c r="AC201" s="366"/>
      <c r="AD201" s="226">
        <f t="shared" si="41"/>
        <v>5261</v>
      </c>
      <c r="AE201" s="350"/>
    </row>
    <row r="202" spans="1:31" ht="153.75" outlineLevel="3" thickBot="1" x14ac:dyDescent="0.25">
      <c r="A202" s="199" t="s">
        <v>849</v>
      </c>
      <c r="B202" s="483"/>
      <c r="C202" s="484"/>
      <c r="D202" s="483"/>
      <c r="E202" s="405" t="s">
        <v>478</v>
      </c>
      <c r="F202" s="405" t="s">
        <v>850</v>
      </c>
      <c r="G202" s="415" t="s">
        <v>782</v>
      </c>
      <c r="H202" s="420" t="s">
        <v>238</v>
      </c>
      <c r="I202" s="164">
        <v>2</v>
      </c>
      <c r="J202" s="163" t="s">
        <v>476</v>
      </c>
      <c r="K202" s="165" t="s">
        <v>338</v>
      </c>
      <c r="L202" s="138">
        <v>1</v>
      </c>
      <c r="M202" s="166">
        <f t="shared" si="42"/>
        <v>2</v>
      </c>
      <c r="N202" s="133" t="s">
        <v>291</v>
      </c>
      <c r="O202" s="69" t="s">
        <v>242</v>
      </c>
      <c r="P202" s="131">
        <v>5</v>
      </c>
      <c r="Q202" s="134">
        <f t="shared" si="43"/>
        <v>10</v>
      </c>
      <c r="R202" s="428"/>
      <c r="S202" s="428"/>
      <c r="T202" s="133"/>
      <c r="U202" s="405"/>
      <c r="V202" s="135"/>
      <c r="W202" s="133"/>
      <c r="X202" s="405"/>
      <c r="Y202" s="405"/>
      <c r="Z202" s="135"/>
      <c r="AA202" s="136"/>
      <c r="AB202" s="111"/>
      <c r="AC202" s="363"/>
      <c r="AD202" s="226">
        <f t="shared" si="41"/>
        <v>5262</v>
      </c>
    </row>
    <row r="203" spans="1:31" ht="128.25" outlineLevel="3" thickBot="1" x14ac:dyDescent="0.25">
      <c r="A203" s="199" t="s">
        <v>851</v>
      </c>
      <c r="B203" s="478"/>
      <c r="C203" s="480"/>
      <c r="D203" s="478"/>
      <c r="E203" s="405" t="s">
        <v>852</v>
      </c>
      <c r="F203" s="405" t="s">
        <v>482</v>
      </c>
      <c r="G203" s="405" t="s">
        <v>774</v>
      </c>
      <c r="H203" s="420" t="s">
        <v>238</v>
      </c>
      <c r="I203" s="164">
        <v>1</v>
      </c>
      <c r="J203" s="163" t="s">
        <v>483</v>
      </c>
      <c r="K203" s="165" t="s">
        <v>338</v>
      </c>
      <c r="L203" s="138">
        <v>2</v>
      </c>
      <c r="M203" s="166">
        <f t="shared" si="42"/>
        <v>2</v>
      </c>
      <c r="N203" s="133" t="s">
        <v>291</v>
      </c>
      <c r="O203" s="69" t="s">
        <v>242</v>
      </c>
      <c r="P203" s="131">
        <v>5</v>
      </c>
      <c r="Q203" s="134">
        <f t="shared" si="43"/>
        <v>10</v>
      </c>
      <c r="R203" s="428"/>
      <c r="S203" s="428"/>
      <c r="T203" s="133"/>
      <c r="U203" s="405"/>
      <c r="V203" s="135"/>
      <c r="W203" s="133"/>
      <c r="X203" s="405"/>
      <c r="Y203" s="405"/>
      <c r="Z203" s="135"/>
      <c r="AA203" s="136"/>
      <c r="AB203" s="111"/>
      <c r="AC203" s="363"/>
      <c r="AD203" s="226">
        <f t="shared" si="41"/>
        <v>5263</v>
      </c>
    </row>
    <row r="204" spans="1:31" ht="128.25" outlineLevel="3" thickBot="1" x14ac:dyDescent="0.25">
      <c r="A204" s="199" t="s">
        <v>853</v>
      </c>
      <c r="B204" s="477" t="s">
        <v>485</v>
      </c>
      <c r="C204" s="479" t="s">
        <v>486</v>
      </c>
      <c r="D204" s="477" t="s">
        <v>487</v>
      </c>
      <c r="E204" s="405" t="s">
        <v>300</v>
      </c>
      <c r="F204" s="405" t="s">
        <v>854</v>
      </c>
      <c r="G204" s="415" t="s">
        <v>782</v>
      </c>
      <c r="H204" s="420" t="s">
        <v>238</v>
      </c>
      <c r="I204" s="164">
        <v>2</v>
      </c>
      <c r="J204" s="163" t="s">
        <v>302</v>
      </c>
      <c r="K204" s="165" t="s">
        <v>338</v>
      </c>
      <c r="L204" s="138">
        <v>1</v>
      </c>
      <c r="M204" s="166">
        <f t="shared" si="42"/>
        <v>2</v>
      </c>
      <c r="N204" s="133" t="s">
        <v>291</v>
      </c>
      <c r="O204" s="69" t="s">
        <v>242</v>
      </c>
      <c r="P204" s="131">
        <v>5</v>
      </c>
      <c r="Q204" s="134">
        <f t="shared" si="43"/>
        <v>10</v>
      </c>
      <c r="R204" s="428"/>
      <c r="S204" s="428"/>
      <c r="T204" s="133"/>
      <c r="U204" s="405"/>
      <c r="V204" s="135"/>
      <c r="W204" s="133"/>
      <c r="X204" s="405"/>
      <c r="Y204" s="405"/>
      <c r="Z204" s="135"/>
      <c r="AA204" s="136">
        <f t="shared" si="40"/>
        <v>0</v>
      </c>
      <c r="AB204" s="111"/>
      <c r="AC204" s="363"/>
      <c r="AD204" s="226">
        <f t="shared" si="41"/>
        <v>5264</v>
      </c>
    </row>
    <row r="205" spans="1:31" ht="141" outlineLevel="3" thickBot="1" x14ac:dyDescent="0.25">
      <c r="A205" s="199" t="s">
        <v>855</v>
      </c>
      <c r="B205" s="478"/>
      <c r="C205" s="480"/>
      <c r="D205" s="478"/>
      <c r="E205" s="405" t="s">
        <v>393</v>
      </c>
      <c r="F205" s="405" t="s">
        <v>856</v>
      </c>
      <c r="G205" s="415" t="s">
        <v>782</v>
      </c>
      <c r="H205" s="420" t="s">
        <v>238</v>
      </c>
      <c r="I205" s="164">
        <v>2</v>
      </c>
      <c r="J205" s="163" t="s">
        <v>307</v>
      </c>
      <c r="K205" s="165" t="s">
        <v>338</v>
      </c>
      <c r="L205" s="138">
        <v>1</v>
      </c>
      <c r="M205" s="166">
        <f t="shared" si="42"/>
        <v>2</v>
      </c>
      <c r="N205" s="133" t="s">
        <v>291</v>
      </c>
      <c r="O205" s="69" t="s">
        <v>242</v>
      </c>
      <c r="P205" s="131">
        <v>5</v>
      </c>
      <c r="Q205" s="134">
        <f t="shared" si="43"/>
        <v>10</v>
      </c>
      <c r="R205" s="428"/>
      <c r="S205" s="428"/>
      <c r="T205" s="133"/>
      <c r="U205" s="405"/>
      <c r="V205" s="135"/>
      <c r="W205" s="133"/>
      <c r="X205" s="405"/>
      <c r="Y205" s="405"/>
      <c r="Z205" s="135"/>
      <c r="AA205" s="136"/>
      <c r="AB205" s="111"/>
      <c r="AC205" s="363"/>
      <c r="AD205" s="226">
        <f t="shared" si="41"/>
        <v>5265</v>
      </c>
    </row>
    <row r="206" spans="1:31" ht="141" outlineLevel="3" thickBot="1" x14ac:dyDescent="0.25">
      <c r="A206" s="199" t="s">
        <v>857</v>
      </c>
      <c r="B206" s="477" t="s">
        <v>492</v>
      </c>
      <c r="C206" s="479" t="s">
        <v>493</v>
      </c>
      <c r="D206" s="477" t="s">
        <v>487</v>
      </c>
      <c r="E206" s="405" t="s">
        <v>300</v>
      </c>
      <c r="F206" s="405" t="s">
        <v>490</v>
      </c>
      <c r="G206" s="405" t="s">
        <v>782</v>
      </c>
      <c r="H206" s="420" t="s">
        <v>238</v>
      </c>
      <c r="I206" s="164">
        <v>2</v>
      </c>
      <c r="J206" s="163" t="s">
        <v>302</v>
      </c>
      <c r="K206" s="165" t="s">
        <v>338</v>
      </c>
      <c r="L206" s="138">
        <v>1</v>
      </c>
      <c r="M206" s="166">
        <f t="shared" si="42"/>
        <v>2</v>
      </c>
      <c r="N206" s="133" t="s">
        <v>291</v>
      </c>
      <c r="O206" s="69" t="s">
        <v>242</v>
      </c>
      <c r="P206" s="131">
        <v>5</v>
      </c>
      <c r="Q206" s="134">
        <f t="shared" si="43"/>
        <v>10</v>
      </c>
      <c r="R206" s="428"/>
      <c r="S206" s="428"/>
      <c r="T206" s="133"/>
      <c r="U206" s="405"/>
      <c r="V206" s="135"/>
      <c r="W206" s="133"/>
      <c r="X206" s="405"/>
      <c r="Y206" s="405"/>
      <c r="Z206" s="135"/>
      <c r="AA206" s="136">
        <f t="shared" si="40"/>
        <v>0</v>
      </c>
      <c r="AB206" s="111"/>
      <c r="AC206" s="363"/>
      <c r="AD206" s="226">
        <f t="shared" si="41"/>
        <v>5266</v>
      </c>
    </row>
    <row r="207" spans="1:31" ht="128.25" outlineLevel="3" thickBot="1" x14ac:dyDescent="0.25">
      <c r="A207" s="243" t="s">
        <v>858</v>
      </c>
      <c r="B207" s="491"/>
      <c r="C207" s="487"/>
      <c r="D207" s="491"/>
      <c r="E207" s="415" t="s">
        <v>393</v>
      </c>
      <c r="F207" s="430" t="s">
        <v>496</v>
      </c>
      <c r="G207" s="415" t="s">
        <v>782</v>
      </c>
      <c r="H207" s="420" t="s">
        <v>238</v>
      </c>
      <c r="I207" s="164">
        <v>2</v>
      </c>
      <c r="J207" s="163" t="s">
        <v>307</v>
      </c>
      <c r="K207" s="165" t="s">
        <v>338</v>
      </c>
      <c r="L207" s="138">
        <v>1</v>
      </c>
      <c r="M207" s="166">
        <f t="shared" si="42"/>
        <v>2</v>
      </c>
      <c r="N207" s="133" t="s">
        <v>291</v>
      </c>
      <c r="O207" s="69" t="s">
        <v>242</v>
      </c>
      <c r="P207" s="131">
        <v>5</v>
      </c>
      <c r="Q207" s="134">
        <f t="shared" si="43"/>
        <v>10</v>
      </c>
      <c r="R207" s="428"/>
      <c r="S207" s="428"/>
      <c r="T207" s="133"/>
      <c r="U207" s="405"/>
      <c r="V207" s="135"/>
      <c r="W207" s="133"/>
      <c r="X207" s="405"/>
      <c r="Y207" s="405"/>
      <c r="Z207" s="135"/>
      <c r="AA207" s="136"/>
      <c r="AB207" s="111"/>
      <c r="AC207" s="363"/>
      <c r="AD207" s="226">
        <f t="shared" si="41"/>
        <v>5267</v>
      </c>
    </row>
    <row r="208" spans="1:31" ht="243" outlineLevel="3" thickBot="1" x14ac:dyDescent="0.25">
      <c r="A208" s="199" t="s">
        <v>859</v>
      </c>
      <c r="B208" s="477" t="s">
        <v>498</v>
      </c>
      <c r="C208" s="479" t="s">
        <v>499</v>
      </c>
      <c r="D208" s="477" t="s">
        <v>500</v>
      </c>
      <c r="E208" s="405" t="s">
        <v>300</v>
      </c>
      <c r="F208" s="405" t="s">
        <v>860</v>
      </c>
      <c r="G208" s="415" t="s">
        <v>782</v>
      </c>
      <c r="H208" s="420" t="s">
        <v>238</v>
      </c>
      <c r="I208" s="164">
        <v>2</v>
      </c>
      <c r="J208" s="163" t="s">
        <v>302</v>
      </c>
      <c r="K208" s="165" t="s">
        <v>338</v>
      </c>
      <c r="L208" s="138">
        <v>1</v>
      </c>
      <c r="M208" s="166">
        <f t="shared" si="42"/>
        <v>2</v>
      </c>
      <c r="N208" s="133" t="s">
        <v>291</v>
      </c>
      <c r="O208" s="69" t="s">
        <v>242</v>
      </c>
      <c r="P208" s="131">
        <v>5</v>
      </c>
      <c r="Q208" s="134">
        <f t="shared" si="43"/>
        <v>10</v>
      </c>
      <c r="R208" s="428"/>
      <c r="S208" s="428"/>
      <c r="T208" s="133"/>
      <c r="U208" s="405"/>
      <c r="V208" s="135"/>
      <c r="W208" s="133"/>
      <c r="X208" s="405"/>
      <c r="Y208" s="405"/>
      <c r="Z208" s="135"/>
      <c r="AA208" s="136"/>
      <c r="AB208" s="111"/>
      <c r="AC208" s="227"/>
      <c r="AD208" s="226">
        <f t="shared" si="41"/>
        <v>5268</v>
      </c>
    </row>
    <row r="209" spans="1:31" ht="243" outlineLevel="3" thickBot="1" x14ac:dyDescent="0.25">
      <c r="A209" s="199" t="s">
        <v>861</v>
      </c>
      <c r="B209" s="478"/>
      <c r="C209" s="480"/>
      <c r="D209" s="478"/>
      <c r="E209" s="405" t="s">
        <v>393</v>
      </c>
      <c r="F209" s="405" t="s">
        <v>862</v>
      </c>
      <c r="G209" s="415" t="s">
        <v>782</v>
      </c>
      <c r="H209" s="420" t="s">
        <v>238</v>
      </c>
      <c r="I209" s="164">
        <v>2</v>
      </c>
      <c r="J209" s="163" t="s">
        <v>307</v>
      </c>
      <c r="K209" s="165" t="s">
        <v>338</v>
      </c>
      <c r="L209" s="138">
        <v>1</v>
      </c>
      <c r="M209" s="166">
        <f t="shared" si="42"/>
        <v>2</v>
      </c>
      <c r="N209" s="133" t="s">
        <v>291</v>
      </c>
      <c r="O209" s="69" t="s">
        <v>242</v>
      </c>
      <c r="P209" s="131">
        <v>5</v>
      </c>
      <c r="Q209" s="134">
        <f t="shared" si="43"/>
        <v>10</v>
      </c>
      <c r="R209" s="428"/>
      <c r="S209" s="428"/>
      <c r="T209" s="133"/>
      <c r="U209" s="405"/>
      <c r="V209" s="135"/>
      <c r="W209" s="133"/>
      <c r="X209" s="405"/>
      <c r="Y209" s="405"/>
      <c r="Z209" s="135"/>
      <c r="AA209" s="136">
        <f>X209*Y209*Z209</f>
        <v>0</v>
      </c>
      <c r="AB209" s="111"/>
      <c r="AC209" s="363"/>
      <c r="AD209" s="226">
        <f t="shared" si="41"/>
        <v>5269</v>
      </c>
    </row>
    <row r="210" spans="1:31" ht="243" outlineLevel="3" thickBot="1" x14ac:dyDescent="0.25">
      <c r="A210" s="199" t="s">
        <v>863</v>
      </c>
      <c r="B210" s="477" t="s">
        <v>506</v>
      </c>
      <c r="C210" s="479" t="s">
        <v>507</v>
      </c>
      <c r="D210" s="477" t="s">
        <v>508</v>
      </c>
      <c r="E210" s="405" t="s">
        <v>300</v>
      </c>
      <c r="F210" s="405" t="s">
        <v>862</v>
      </c>
      <c r="G210" s="415" t="s">
        <v>782</v>
      </c>
      <c r="H210" s="420" t="s">
        <v>238</v>
      </c>
      <c r="I210" s="164">
        <v>2</v>
      </c>
      <c r="J210" s="163" t="s">
        <v>302</v>
      </c>
      <c r="K210" s="165" t="s">
        <v>338</v>
      </c>
      <c r="L210" s="138">
        <v>1</v>
      </c>
      <c r="M210" s="166">
        <f t="shared" si="42"/>
        <v>2</v>
      </c>
      <c r="N210" s="133" t="s">
        <v>291</v>
      </c>
      <c r="O210" s="69" t="s">
        <v>242</v>
      </c>
      <c r="P210" s="131">
        <v>5</v>
      </c>
      <c r="Q210" s="134">
        <f t="shared" si="43"/>
        <v>10</v>
      </c>
      <c r="R210" s="428"/>
      <c r="S210" s="428"/>
      <c r="T210" s="133"/>
      <c r="U210" s="405"/>
      <c r="V210" s="135"/>
      <c r="W210" s="133"/>
      <c r="X210" s="405"/>
      <c r="Y210" s="405"/>
      <c r="Z210" s="135"/>
      <c r="AA210" s="136"/>
      <c r="AB210" s="111"/>
      <c r="AC210" s="363"/>
      <c r="AD210" s="226">
        <f t="shared" si="41"/>
        <v>5270</v>
      </c>
    </row>
    <row r="211" spans="1:31" ht="243" outlineLevel="3" thickBot="1" x14ac:dyDescent="0.25">
      <c r="A211" s="199" t="s">
        <v>864</v>
      </c>
      <c r="B211" s="478"/>
      <c r="C211" s="480"/>
      <c r="D211" s="478"/>
      <c r="E211" s="405" t="s">
        <v>393</v>
      </c>
      <c r="F211" s="405" t="s">
        <v>862</v>
      </c>
      <c r="G211" s="415" t="s">
        <v>782</v>
      </c>
      <c r="H211" s="420" t="s">
        <v>238</v>
      </c>
      <c r="I211" s="164">
        <v>2</v>
      </c>
      <c r="J211" s="163" t="s">
        <v>307</v>
      </c>
      <c r="K211" s="165" t="s">
        <v>338</v>
      </c>
      <c r="L211" s="138">
        <v>1</v>
      </c>
      <c r="M211" s="166">
        <f t="shared" si="42"/>
        <v>2</v>
      </c>
      <c r="N211" s="133" t="s">
        <v>291</v>
      </c>
      <c r="O211" s="69" t="s">
        <v>242</v>
      </c>
      <c r="P211" s="131">
        <v>5</v>
      </c>
      <c r="Q211" s="134">
        <f t="shared" si="43"/>
        <v>10</v>
      </c>
      <c r="R211" s="428"/>
      <c r="S211" s="428"/>
      <c r="T211" s="133"/>
      <c r="U211" s="405"/>
      <c r="V211" s="135"/>
      <c r="W211" s="133"/>
      <c r="X211" s="405"/>
      <c r="Y211" s="405"/>
      <c r="Z211" s="135"/>
      <c r="AA211" s="136"/>
      <c r="AB211" s="111"/>
      <c r="AC211" s="363"/>
      <c r="AD211" s="226">
        <f t="shared" si="41"/>
        <v>5271</v>
      </c>
    </row>
    <row r="212" spans="1:31" ht="128.25" outlineLevel="3" thickBot="1" x14ac:dyDescent="0.25">
      <c r="A212" s="199" t="s">
        <v>865</v>
      </c>
      <c r="B212" s="477" t="s">
        <v>513</v>
      </c>
      <c r="C212" s="479" t="s">
        <v>514</v>
      </c>
      <c r="D212" s="477" t="s">
        <v>515</v>
      </c>
      <c r="E212" s="405" t="s">
        <v>300</v>
      </c>
      <c r="F212" s="405" t="s">
        <v>866</v>
      </c>
      <c r="G212" s="405" t="s">
        <v>774</v>
      </c>
      <c r="H212" s="420" t="s">
        <v>238</v>
      </c>
      <c r="I212" s="164">
        <v>1</v>
      </c>
      <c r="J212" s="163" t="s">
        <v>302</v>
      </c>
      <c r="K212" s="165" t="s">
        <v>338</v>
      </c>
      <c r="L212" s="138">
        <v>1</v>
      </c>
      <c r="M212" s="166">
        <f t="shared" si="42"/>
        <v>1</v>
      </c>
      <c r="N212" s="133" t="s">
        <v>291</v>
      </c>
      <c r="O212" s="69" t="s">
        <v>242</v>
      </c>
      <c r="P212" s="131">
        <v>5</v>
      </c>
      <c r="Q212" s="134">
        <f t="shared" si="43"/>
        <v>5</v>
      </c>
      <c r="R212" s="428"/>
      <c r="S212" s="428"/>
      <c r="T212" s="133"/>
      <c r="U212" s="405"/>
      <c r="V212" s="135"/>
      <c r="W212" s="133"/>
      <c r="X212" s="405"/>
      <c r="Y212" s="405"/>
      <c r="Z212" s="135"/>
      <c r="AA212" s="136"/>
      <c r="AB212" s="111"/>
      <c r="AC212" s="363"/>
      <c r="AD212" s="226">
        <f t="shared" si="41"/>
        <v>5272</v>
      </c>
    </row>
    <row r="213" spans="1:31" ht="128.25" outlineLevel="3" thickBot="1" x14ac:dyDescent="0.25">
      <c r="A213" s="199" t="s">
        <v>867</v>
      </c>
      <c r="B213" s="478"/>
      <c r="C213" s="480"/>
      <c r="D213" s="478"/>
      <c r="E213" s="405" t="s">
        <v>393</v>
      </c>
      <c r="F213" s="405" t="s">
        <v>866</v>
      </c>
      <c r="G213" s="405" t="s">
        <v>774</v>
      </c>
      <c r="H213" s="420" t="s">
        <v>238</v>
      </c>
      <c r="I213" s="164">
        <v>1</v>
      </c>
      <c r="J213" s="163" t="s">
        <v>307</v>
      </c>
      <c r="K213" s="165" t="s">
        <v>338</v>
      </c>
      <c r="L213" s="138">
        <v>1</v>
      </c>
      <c r="M213" s="166">
        <f t="shared" si="42"/>
        <v>1</v>
      </c>
      <c r="N213" s="133" t="s">
        <v>291</v>
      </c>
      <c r="O213" s="69" t="s">
        <v>242</v>
      </c>
      <c r="P213" s="131">
        <v>5</v>
      </c>
      <c r="Q213" s="134">
        <f t="shared" si="43"/>
        <v>5</v>
      </c>
      <c r="R213" s="428"/>
      <c r="S213" s="428"/>
      <c r="T213" s="133"/>
      <c r="U213" s="405"/>
      <c r="V213" s="135"/>
      <c r="W213" s="133"/>
      <c r="X213" s="405"/>
      <c r="Y213" s="405"/>
      <c r="Z213" s="135"/>
      <c r="AA213" s="136"/>
      <c r="AB213" s="111"/>
      <c r="AC213" s="363"/>
      <c r="AD213" s="226">
        <f t="shared" si="41"/>
        <v>5273</v>
      </c>
    </row>
    <row r="214" spans="1:31" ht="128.25" outlineLevel="3" thickBot="1" x14ac:dyDescent="0.25">
      <c r="A214" s="199" t="s">
        <v>868</v>
      </c>
      <c r="B214" s="477" t="s">
        <v>520</v>
      </c>
      <c r="C214" s="479" t="s">
        <v>521</v>
      </c>
      <c r="D214" s="477" t="s">
        <v>522</v>
      </c>
      <c r="E214" s="405" t="s">
        <v>275</v>
      </c>
      <c r="F214" s="405" t="s">
        <v>869</v>
      </c>
      <c r="G214" s="405" t="s">
        <v>774</v>
      </c>
      <c r="H214" s="420" t="s">
        <v>238</v>
      </c>
      <c r="I214" s="164">
        <v>1</v>
      </c>
      <c r="J214" s="163" t="s">
        <v>277</v>
      </c>
      <c r="K214" s="165" t="s">
        <v>338</v>
      </c>
      <c r="L214" s="138">
        <v>1</v>
      </c>
      <c r="M214" s="166">
        <f t="shared" si="42"/>
        <v>1</v>
      </c>
      <c r="N214" s="133" t="s">
        <v>291</v>
      </c>
      <c r="O214" s="69" t="s">
        <v>242</v>
      </c>
      <c r="P214" s="131">
        <v>5</v>
      </c>
      <c r="Q214" s="134">
        <f t="shared" si="43"/>
        <v>5</v>
      </c>
      <c r="R214" s="428"/>
      <c r="S214" s="428"/>
      <c r="T214" s="133"/>
      <c r="U214" s="405"/>
      <c r="V214" s="135"/>
      <c r="W214" s="133"/>
      <c r="X214" s="405"/>
      <c r="Y214" s="405"/>
      <c r="Z214" s="135"/>
      <c r="AA214" s="136"/>
      <c r="AB214" s="111"/>
      <c r="AC214" s="363"/>
      <c r="AD214" s="226">
        <f t="shared" si="41"/>
        <v>5274</v>
      </c>
    </row>
    <row r="215" spans="1:31" ht="128.25" outlineLevel="3" thickBot="1" x14ac:dyDescent="0.25">
      <c r="A215" s="199" t="s">
        <v>870</v>
      </c>
      <c r="B215" s="478"/>
      <c r="C215" s="480"/>
      <c r="D215" s="478"/>
      <c r="E215" s="405" t="s">
        <v>279</v>
      </c>
      <c r="F215" s="405" t="s">
        <v>525</v>
      </c>
      <c r="G215" s="415" t="s">
        <v>782</v>
      </c>
      <c r="H215" s="420" t="s">
        <v>238</v>
      </c>
      <c r="I215" s="164">
        <v>2</v>
      </c>
      <c r="J215" s="163" t="s">
        <v>412</v>
      </c>
      <c r="K215" s="165" t="s">
        <v>338</v>
      </c>
      <c r="L215" s="138">
        <v>1</v>
      </c>
      <c r="M215" s="166">
        <f t="shared" si="42"/>
        <v>2</v>
      </c>
      <c r="N215" s="133" t="s">
        <v>291</v>
      </c>
      <c r="O215" s="69" t="s">
        <v>242</v>
      </c>
      <c r="P215" s="131">
        <v>5</v>
      </c>
      <c r="Q215" s="134">
        <f t="shared" si="43"/>
        <v>10</v>
      </c>
      <c r="R215" s="428"/>
      <c r="S215" s="428"/>
      <c r="T215" s="133"/>
      <c r="U215" s="405"/>
      <c r="V215" s="135"/>
      <c r="W215" s="133"/>
      <c r="X215" s="405"/>
      <c r="Y215" s="405"/>
      <c r="Z215" s="135"/>
      <c r="AA215" s="136">
        <f t="shared" ref="AA215:AA253" si="44">X215*Y215*Z215</f>
        <v>0</v>
      </c>
      <c r="AB215" s="111"/>
      <c r="AC215" s="363"/>
      <c r="AD215" s="226">
        <f t="shared" si="41"/>
        <v>5275</v>
      </c>
    </row>
    <row r="216" spans="1:31" ht="128.25" outlineLevel="3" thickBot="1" x14ac:dyDescent="0.25">
      <c r="A216" s="200" t="s">
        <v>871</v>
      </c>
      <c r="B216" s="485" t="s">
        <v>527</v>
      </c>
      <c r="C216" s="566" t="s">
        <v>528</v>
      </c>
      <c r="D216" s="485" t="s">
        <v>529</v>
      </c>
      <c r="E216" s="414" t="s">
        <v>300</v>
      </c>
      <c r="F216" s="414" t="s">
        <v>530</v>
      </c>
      <c r="G216" s="414" t="s">
        <v>774</v>
      </c>
      <c r="H216" s="336" t="s">
        <v>238</v>
      </c>
      <c r="I216" s="177">
        <v>1</v>
      </c>
      <c r="J216" s="176" t="s">
        <v>302</v>
      </c>
      <c r="K216" s="178" t="s">
        <v>338</v>
      </c>
      <c r="L216" s="179">
        <v>1</v>
      </c>
      <c r="M216" s="180">
        <f t="shared" si="42"/>
        <v>1</v>
      </c>
      <c r="N216" s="154" t="s">
        <v>291</v>
      </c>
      <c r="O216" s="155" t="s">
        <v>242</v>
      </c>
      <c r="P216" s="152">
        <v>5</v>
      </c>
      <c r="Q216" s="156">
        <f t="shared" si="43"/>
        <v>5</v>
      </c>
      <c r="R216" s="428"/>
      <c r="S216" s="428"/>
      <c r="T216" s="133"/>
      <c r="U216" s="405"/>
      <c r="V216" s="135"/>
      <c r="W216" s="133"/>
      <c r="X216" s="405"/>
      <c r="Y216" s="405"/>
      <c r="Z216" s="135"/>
      <c r="AA216" s="136"/>
      <c r="AB216" s="111"/>
      <c r="AC216" s="363"/>
      <c r="AD216" s="226">
        <f t="shared" si="41"/>
        <v>5276</v>
      </c>
    </row>
    <row r="217" spans="1:31" ht="128.25" outlineLevel="3" thickBot="1" x14ac:dyDescent="0.25">
      <c r="A217" s="200" t="s">
        <v>872</v>
      </c>
      <c r="B217" s="515"/>
      <c r="C217" s="567"/>
      <c r="D217" s="515"/>
      <c r="E217" s="414" t="s">
        <v>393</v>
      </c>
      <c r="F217" s="414" t="s">
        <v>530</v>
      </c>
      <c r="G217" s="414" t="s">
        <v>774</v>
      </c>
      <c r="H217" s="336" t="s">
        <v>238</v>
      </c>
      <c r="I217" s="177">
        <v>1</v>
      </c>
      <c r="J217" s="176" t="s">
        <v>307</v>
      </c>
      <c r="K217" s="178" t="s">
        <v>338</v>
      </c>
      <c r="L217" s="179">
        <v>1</v>
      </c>
      <c r="M217" s="180">
        <f t="shared" si="42"/>
        <v>1</v>
      </c>
      <c r="N217" s="154" t="s">
        <v>291</v>
      </c>
      <c r="O217" s="155" t="s">
        <v>242</v>
      </c>
      <c r="P217" s="152">
        <v>5</v>
      </c>
      <c r="Q217" s="156">
        <f t="shared" si="43"/>
        <v>5</v>
      </c>
      <c r="R217" s="428"/>
      <c r="S217" s="428"/>
      <c r="T217" s="133"/>
      <c r="U217" s="405"/>
      <c r="V217" s="135"/>
      <c r="W217" s="133"/>
      <c r="X217" s="405"/>
      <c r="Y217" s="405"/>
      <c r="Z217" s="135"/>
      <c r="AA217" s="136">
        <f t="shared" si="44"/>
        <v>0</v>
      </c>
      <c r="AB217" s="111"/>
      <c r="AC217" s="363"/>
      <c r="AD217" s="226">
        <f t="shared" si="41"/>
        <v>5277</v>
      </c>
    </row>
    <row r="218" spans="1:31" s="317" customFormat="1" ht="128.25" outlineLevel="3" thickBot="1" x14ac:dyDescent="0.25">
      <c r="A218" s="199" t="s">
        <v>873</v>
      </c>
      <c r="B218" s="477" t="s">
        <v>533</v>
      </c>
      <c r="C218" s="479" t="s">
        <v>534</v>
      </c>
      <c r="D218" s="477" t="s">
        <v>535</v>
      </c>
      <c r="E218" s="405" t="s">
        <v>536</v>
      </c>
      <c r="F218" s="405" t="s">
        <v>874</v>
      </c>
      <c r="G218" s="405" t="s">
        <v>774</v>
      </c>
      <c r="H218" s="420" t="s">
        <v>238</v>
      </c>
      <c r="I218" s="164">
        <v>1</v>
      </c>
      <c r="J218" s="163" t="s">
        <v>277</v>
      </c>
      <c r="K218" s="165" t="s">
        <v>338</v>
      </c>
      <c r="L218" s="138">
        <v>1</v>
      </c>
      <c r="M218" s="166">
        <f t="shared" si="42"/>
        <v>1</v>
      </c>
      <c r="N218" s="133" t="s">
        <v>291</v>
      </c>
      <c r="O218" s="69" t="s">
        <v>242</v>
      </c>
      <c r="P218" s="131">
        <v>5</v>
      </c>
      <c r="Q218" s="134">
        <f>P218*L218*I218</f>
        <v>5</v>
      </c>
      <c r="R218" s="313"/>
      <c r="S218" s="313"/>
      <c r="T218" s="248"/>
      <c r="U218" s="415"/>
      <c r="V218" s="314"/>
      <c r="W218" s="248"/>
      <c r="X218" s="415"/>
      <c r="Y218" s="415"/>
      <c r="Z218" s="314"/>
      <c r="AA218" s="315"/>
      <c r="AB218" s="316"/>
      <c r="AC218" s="368"/>
      <c r="AD218" s="226">
        <f t="shared" si="41"/>
        <v>5278</v>
      </c>
      <c r="AE218" s="264"/>
    </row>
    <row r="219" spans="1:31" s="317" customFormat="1" ht="153.75" outlineLevel="3" thickBot="1" x14ac:dyDescent="0.25">
      <c r="A219" s="199" t="s">
        <v>875</v>
      </c>
      <c r="B219" s="478"/>
      <c r="C219" s="480"/>
      <c r="D219" s="478"/>
      <c r="E219" s="405" t="s">
        <v>279</v>
      </c>
      <c r="F219" s="405" t="s">
        <v>539</v>
      </c>
      <c r="G219" s="405" t="s">
        <v>774</v>
      </c>
      <c r="H219" s="420" t="s">
        <v>238</v>
      </c>
      <c r="I219" s="164">
        <v>1</v>
      </c>
      <c r="J219" s="163" t="s">
        <v>412</v>
      </c>
      <c r="K219" s="165" t="s">
        <v>338</v>
      </c>
      <c r="L219" s="138">
        <v>1</v>
      </c>
      <c r="M219" s="166">
        <f t="shared" si="42"/>
        <v>1</v>
      </c>
      <c r="N219" s="133" t="s">
        <v>291</v>
      </c>
      <c r="O219" s="69" t="s">
        <v>242</v>
      </c>
      <c r="P219" s="131">
        <v>5</v>
      </c>
      <c r="Q219" s="134">
        <f t="shared" ref="Q219" si="45">I219*L219*P219</f>
        <v>5</v>
      </c>
      <c r="R219" s="428"/>
      <c r="S219" s="428"/>
      <c r="T219" s="133"/>
      <c r="U219" s="405"/>
      <c r="V219" s="135"/>
      <c r="W219" s="133"/>
      <c r="X219" s="405"/>
      <c r="Y219" s="405"/>
      <c r="Z219" s="135"/>
      <c r="AA219" s="136"/>
      <c r="AB219" s="111"/>
      <c r="AC219" s="368"/>
      <c r="AD219" s="226">
        <f t="shared" si="41"/>
        <v>5279</v>
      </c>
      <c r="AE219" s="264"/>
    </row>
    <row r="220" spans="1:31" s="317" customFormat="1" ht="128.25" outlineLevel="3" thickBot="1" x14ac:dyDescent="0.25">
      <c r="A220" s="199" t="s">
        <v>876</v>
      </c>
      <c r="B220" s="477" t="s">
        <v>541</v>
      </c>
      <c r="C220" s="499" t="s">
        <v>542</v>
      </c>
      <c r="D220" s="477" t="s">
        <v>877</v>
      </c>
      <c r="E220" s="405" t="s">
        <v>275</v>
      </c>
      <c r="F220" s="405" t="s">
        <v>878</v>
      </c>
      <c r="G220" s="405" t="s">
        <v>774</v>
      </c>
      <c r="H220" s="420" t="s">
        <v>238</v>
      </c>
      <c r="I220" s="164">
        <v>1</v>
      </c>
      <c r="J220" s="163" t="s">
        <v>277</v>
      </c>
      <c r="K220" s="165" t="s">
        <v>338</v>
      </c>
      <c r="L220" s="138">
        <v>1</v>
      </c>
      <c r="M220" s="166">
        <f t="shared" si="42"/>
        <v>1</v>
      </c>
      <c r="N220" s="133" t="s">
        <v>291</v>
      </c>
      <c r="O220" s="69" t="s">
        <v>242</v>
      </c>
      <c r="P220" s="131">
        <v>5</v>
      </c>
      <c r="Q220" s="134">
        <f t="shared" si="43"/>
        <v>5</v>
      </c>
      <c r="R220" s="428"/>
      <c r="S220" s="428"/>
      <c r="T220" s="133"/>
      <c r="U220" s="405"/>
      <c r="V220" s="135"/>
      <c r="W220" s="133"/>
      <c r="X220" s="405"/>
      <c r="Y220" s="405"/>
      <c r="Z220" s="135"/>
      <c r="AA220" s="136"/>
      <c r="AB220" s="111"/>
      <c r="AC220" s="368"/>
      <c r="AD220" s="226">
        <f t="shared" si="41"/>
        <v>5280</v>
      </c>
      <c r="AE220" s="264"/>
    </row>
    <row r="221" spans="1:31" s="317" customFormat="1" ht="128.25" outlineLevel="3" thickBot="1" x14ac:dyDescent="0.25">
      <c r="A221" s="199" t="s">
        <v>879</v>
      </c>
      <c r="B221" s="478"/>
      <c r="C221" s="500"/>
      <c r="D221" s="478"/>
      <c r="E221" s="405" t="s">
        <v>279</v>
      </c>
      <c r="F221" s="405" t="s">
        <v>878</v>
      </c>
      <c r="G221" s="405" t="s">
        <v>774</v>
      </c>
      <c r="H221" s="420" t="s">
        <v>238</v>
      </c>
      <c r="I221" s="164">
        <v>1</v>
      </c>
      <c r="J221" s="163" t="s">
        <v>412</v>
      </c>
      <c r="K221" s="165" t="s">
        <v>338</v>
      </c>
      <c r="L221" s="138">
        <v>1</v>
      </c>
      <c r="M221" s="166">
        <f t="shared" si="42"/>
        <v>1</v>
      </c>
      <c r="N221" s="133" t="s">
        <v>291</v>
      </c>
      <c r="O221" s="69" t="s">
        <v>242</v>
      </c>
      <c r="P221" s="131">
        <v>5</v>
      </c>
      <c r="Q221" s="134">
        <f t="shared" si="43"/>
        <v>5</v>
      </c>
      <c r="R221" s="428"/>
      <c r="S221" s="428"/>
      <c r="T221" s="133"/>
      <c r="U221" s="405"/>
      <c r="V221" s="135"/>
      <c r="W221" s="133"/>
      <c r="X221" s="405"/>
      <c r="Y221" s="405"/>
      <c r="Z221" s="135"/>
      <c r="AA221" s="136"/>
      <c r="AB221" s="111"/>
      <c r="AC221" s="368"/>
      <c r="AD221" s="226">
        <f t="shared" si="41"/>
        <v>5281</v>
      </c>
      <c r="AE221" s="264"/>
    </row>
    <row r="222" spans="1:31" ht="128.25" outlineLevel="3" thickBot="1" x14ac:dyDescent="0.25">
      <c r="A222" s="199" t="s">
        <v>880</v>
      </c>
      <c r="B222" s="477" t="s">
        <v>547</v>
      </c>
      <c r="C222" s="479" t="s">
        <v>548</v>
      </c>
      <c r="D222" s="477" t="s">
        <v>549</v>
      </c>
      <c r="E222" s="405" t="s">
        <v>275</v>
      </c>
      <c r="F222" s="405" t="s">
        <v>537</v>
      </c>
      <c r="G222" s="405" t="s">
        <v>774</v>
      </c>
      <c r="H222" s="420" t="s">
        <v>238</v>
      </c>
      <c r="I222" s="164">
        <v>1</v>
      </c>
      <c r="J222" s="163" t="s">
        <v>277</v>
      </c>
      <c r="K222" s="165" t="s">
        <v>338</v>
      </c>
      <c r="L222" s="138">
        <v>1</v>
      </c>
      <c r="M222" s="166">
        <f t="shared" si="42"/>
        <v>1</v>
      </c>
      <c r="N222" s="133" t="s">
        <v>241</v>
      </c>
      <c r="O222" s="420" t="s">
        <v>242</v>
      </c>
      <c r="P222" s="138">
        <v>5</v>
      </c>
      <c r="Q222" s="225">
        <f t="shared" si="43"/>
        <v>5</v>
      </c>
      <c r="R222" s="428"/>
      <c r="S222" s="428"/>
      <c r="T222" s="133"/>
      <c r="U222" s="405"/>
      <c r="V222" s="135"/>
      <c r="W222" s="133"/>
      <c r="X222" s="405"/>
      <c r="Y222" s="405"/>
      <c r="Z222" s="135"/>
      <c r="AA222" s="136"/>
      <c r="AB222" s="111"/>
      <c r="AC222" s="226"/>
      <c r="AD222" s="226">
        <f t="shared" si="41"/>
        <v>12385</v>
      </c>
    </row>
    <row r="223" spans="1:31" ht="166.5" outlineLevel="3" thickBot="1" x14ac:dyDescent="0.25">
      <c r="A223" s="199" t="s">
        <v>881</v>
      </c>
      <c r="B223" s="478"/>
      <c r="C223" s="480"/>
      <c r="D223" s="478"/>
      <c r="E223" s="405" t="s">
        <v>279</v>
      </c>
      <c r="F223" s="405" t="s">
        <v>882</v>
      </c>
      <c r="G223" s="405" t="s">
        <v>782</v>
      </c>
      <c r="H223" s="420" t="s">
        <v>238</v>
      </c>
      <c r="I223" s="164">
        <v>2</v>
      </c>
      <c r="J223" s="163" t="s">
        <v>281</v>
      </c>
      <c r="K223" s="165" t="s">
        <v>338</v>
      </c>
      <c r="L223" s="138">
        <v>1</v>
      </c>
      <c r="M223" s="166">
        <f t="shared" si="42"/>
        <v>2</v>
      </c>
      <c r="N223" s="133" t="s">
        <v>283</v>
      </c>
      <c r="O223" s="420" t="s">
        <v>242</v>
      </c>
      <c r="P223" s="138">
        <v>5</v>
      </c>
      <c r="Q223" s="225">
        <f t="shared" si="43"/>
        <v>10</v>
      </c>
      <c r="R223" s="428"/>
      <c r="S223" s="428"/>
      <c r="T223" s="133"/>
      <c r="U223" s="405"/>
      <c r="V223" s="135"/>
      <c r="W223" s="133"/>
      <c r="X223" s="405"/>
      <c r="Y223" s="405"/>
      <c r="Z223" s="135"/>
      <c r="AA223" s="136">
        <f t="shared" si="44"/>
        <v>0</v>
      </c>
      <c r="AB223" s="111"/>
      <c r="AC223" s="226"/>
      <c r="AD223" s="226">
        <f t="shared" si="41"/>
        <v>12386</v>
      </c>
    </row>
    <row r="224" spans="1:31" ht="128.25" outlineLevel="3" thickBot="1" x14ac:dyDescent="0.25">
      <c r="A224" s="252" t="s">
        <v>883</v>
      </c>
      <c r="B224" s="489" t="s">
        <v>553</v>
      </c>
      <c r="C224" s="486" t="s">
        <v>554</v>
      </c>
      <c r="D224" s="489" t="s">
        <v>555</v>
      </c>
      <c r="E224" s="415" t="s">
        <v>275</v>
      </c>
      <c r="F224" s="330" t="s">
        <v>556</v>
      </c>
      <c r="G224" s="415" t="s">
        <v>774</v>
      </c>
      <c r="H224" s="255" t="s">
        <v>238</v>
      </c>
      <c r="I224" s="265">
        <v>1</v>
      </c>
      <c r="J224" s="253" t="s">
        <v>277</v>
      </c>
      <c r="K224" s="165" t="s">
        <v>338</v>
      </c>
      <c r="L224" s="258">
        <v>1</v>
      </c>
      <c r="M224" s="256">
        <f t="shared" si="42"/>
        <v>1</v>
      </c>
      <c r="N224" s="248" t="s">
        <v>241</v>
      </c>
      <c r="O224" s="257" t="s">
        <v>242</v>
      </c>
      <c r="P224" s="258">
        <v>5</v>
      </c>
      <c r="Q224" s="259">
        <f t="shared" si="43"/>
        <v>5</v>
      </c>
      <c r="R224" s="428"/>
      <c r="S224" s="428"/>
      <c r="T224" s="133"/>
      <c r="U224" s="405"/>
      <c r="V224" s="135"/>
      <c r="W224" s="133"/>
      <c r="X224" s="405"/>
      <c r="Y224" s="405"/>
      <c r="Z224" s="135"/>
      <c r="AA224" s="136"/>
      <c r="AB224" s="111"/>
      <c r="AC224" s="363"/>
      <c r="AD224" s="226">
        <f t="shared" si="41"/>
        <v>10947</v>
      </c>
    </row>
    <row r="225" spans="1:31" ht="128.25" outlineLevel="3" thickBot="1" x14ac:dyDescent="0.25">
      <c r="A225" s="252" t="s">
        <v>884</v>
      </c>
      <c r="B225" s="491"/>
      <c r="C225" s="487"/>
      <c r="D225" s="491"/>
      <c r="E225" s="415" t="s">
        <v>279</v>
      </c>
      <c r="F225" s="330" t="s">
        <v>558</v>
      </c>
      <c r="G225" s="415" t="s">
        <v>782</v>
      </c>
      <c r="H225" s="255" t="s">
        <v>238</v>
      </c>
      <c r="I225" s="265">
        <v>2</v>
      </c>
      <c r="J225" s="253" t="s">
        <v>412</v>
      </c>
      <c r="K225" s="165" t="s">
        <v>338</v>
      </c>
      <c r="L225" s="258">
        <v>1</v>
      </c>
      <c r="M225" s="256">
        <f t="shared" si="42"/>
        <v>2</v>
      </c>
      <c r="N225" s="248" t="s">
        <v>291</v>
      </c>
      <c r="O225" s="257" t="s">
        <v>242</v>
      </c>
      <c r="P225" s="258">
        <v>5</v>
      </c>
      <c r="Q225" s="259">
        <f t="shared" si="43"/>
        <v>10</v>
      </c>
      <c r="R225" s="428"/>
      <c r="S225" s="428"/>
      <c r="T225" s="133"/>
      <c r="U225" s="405"/>
      <c r="V225" s="135"/>
      <c r="W225" s="133"/>
      <c r="X225" s="405"/>
      <c r="Y225" s="405"/>
      <c r="Z225" s="135"/>
      <c r="AA225" s="136">
        <f t="shared" si="44"/>
        <v>0</v>
      </c>
      <c r="AB225" s="111"/>
      <c r="AC225" s="363"/>
      <c r="AD225" s="226">
        <f t="shared" si="41"/>
        <v>10948</v>
      </c>
    </row>
    <row r="226" spans="1:31" ht="128.25" outlineLevel="3" thickBot="1" x14ac:dyDescent="0.25">
      <c r="A226" s="252" t="s">
        <v>885</v>
      </c>
      <c r="B226" s="488" t="s">
        <v>560</v>
      </c>
      <c r="C226" s="486" t="s">
        <v>561</v>
      </c>
      <c r="D226" s="489" t="s">
        <v>886</v>
      </c>
      <c r="E226" s="415" t="s">
        <v>300</v>
      </c>
      <c r="F226" s="330" t="s">
        <v>563</v>
      </c>
      <c r="G226" s="415" t="s">
        <v>774</v>
      </c>
      <c r="H226" s="255" t="s">
        <v>238</v>
      </c>
      <c r="I226" s="265">
        <v>1</v>
      </c>
      <c r="J226" s="253" t="s">
        <v>302</v>
      </c>
      <c r="K226" s="165" t="s">
        <v>338</v>
      </c>
      <c r="L226" s="258">
        <v>1</v>
      </c>
      <c r="M226" s="256">
        <f t="shared" si="42"/>
        <v>1</v>
      </c>
      <c r="N226" s="248" t="s">
        <v>291</v>
      </c>
      <c r="O226" s="257" t="s">
        <v>242</v>
      </c>
      <c r="P226" s="258">
        <v>5</v>
      </c>
      <c r="Q226" s="259">
        <f t="shared" si="43"/>
        <v>5</v>
      </c>
      <c r="R226" s="428"/>
      <c r="S226" s="428"/>
      <c r="T226" s="133"/>
      <c r="U226" s="405"/>
      <c r="V226" s="135"/>
      <c r="W226" s="133"/>
      <c r="X226" s="405"/>
      <c r="Y226" s="405"/>
      <c r="Z226" s="135"/>
      <c r="AA226" s="136"/>
      <c r="AB226" s="111"/>
      <c r="AC226" s="363"/>
      <c r="AD226" s="226">
        <f t="shared" si="41"/>
        <v>10949</v>
      </c>
    </row>
    <row r="227" spans="1:31" ht="128.25" outlineLevel="3" thickBot="1" x14ac:dyDescent="0.25">
      <c r="A227" s="199" t="s">
        <v>887</v>
      </c>
      <c r="B227" s="506"/>
      <c r="C227" s="480"/>
      <c r="D227" s="517"/>
      <c r="E227" s="405" t="s">
        <v>393</v>
      </c>
      <c r="F227" s="425" t="s">
        <v>888</v>
      </c>
      <c r="G227" s="405" t="s">
        <v>782</v>
      </c>
      <c r="H227" s="420" t="s">
        <v>238</v>
      </c>
      <c r="I227" s="164">
        <v>2</v>
      </c>
      <c r="J227" s="163" t="s">
        <v>307</v>
      </c>
      <c r="K227" s="165" t="s">
        <v>338</v>
      </c>
      <c r="L227" s="138">
        <v>1</v>
      </c>
      <c r="M227" s="256">
        <f t="shared" si="42"/>
        <v>2</v>
      </c>
      <c r="N227" s="248" t="s">
        <v>291</v>
      </c>
      <c r="O227" s="257" t="s">
        <v>242</v>
      </c>
      <c r="P227" s="258">
        <v>5</v>
      </c>
      <c r="Q227" s="259">
        <f t="shared" si="43"/>
        <v>10</v>
      </c>
      <c r="R227" s="428"/>
      <c r="S227" s="428"/>
      <c r="T227" s="133"/>
      <c r="U227" s="405"/>
      <c r="V227" s="135"/>
      <c r="W227" s="133"/>
      <c r="X227" s="405"/>
      <c r="Y227" s="405"/>
      <c r="Z227" s="135"/>
      <c r="AA227" s="136">
        <f t="shared" si="44"/>
        <v>0</v>
      </c>
      <c r="AB227" s="111"/>
      <c r="AC227" s="363"/>
      <c r="AD227" s="226">
        <f t="shared" si="41"/>
        <v>10950</v>
      </c>
    </row>
    <row r="228" spans="1:31" ht="128.25" outlineLevel="3" thickBot="1" x14ac:dyDescent="0.25">
      <c r="A228" s="199" t="s">
        <v>889</v>
      </c>
      <c r="B228" s="477" t="s">
        <v>567</v>
      </c>
      <c r="C228" s="479" t="s">
        <v>568</v>
      </c>
      <c r="D228" s="477" t="s">
        <v>569</v>
      </c>
      <c r="E228" s="405" t="s">
        <v>300</v>
      </c>
      <c r="F228" s="405" t="s">
        <v>890</v>
      </c>
      <c r="G228" s="405" t="s">
        <v>782</v>
      </c>
      <c r="H228" s="420" t="s">
        <v>238</v>
      </c>
      <c r="I228" s="164">
        <v>2</v>
      </c>
      <c r="J228" s="163" t="s">
        <v>302</v>
      </c>
      <c r="K228" s="165" t="s">
        <v>338</v>
      </c>
      <c r="L228" s="138">
        <v>1</v>
      </c>
      <c r="M228" s="166">
        <f t="shared" si="42"/>
        <v>2</v>
      </c>
      <c r="N228" s="133" t="s">
        <v>291</v>
      </c>
      <c r="O228" s="69" t="s">
        <v>242</v>
      </c>
      <c r="P228" s="131">
        <v>5</v>
      </c>
      <c r="Q228" s="134">
        <f t="shared" si="43"/>
        <v>10</v>
      </c>
      <c r="R228" s="428"/>
      <c r="S228" s="428"/>
      <c r="T228" s="133"/>
      <c r="U228" s="405"/>
      <c r="V228" s="135"/>
      <c r="W228" s="133"/>
      <c r="X228" s="405"/>
      <c r="Y228" s="405"/>
      <c r="Z228" s="135"/>
      <c r="AA228" s="136"/>
      <c r="AB228" s="111"/>
      <c r="AC228" s="363"/>
      <c r="AD228" s="226">
        <f t="shared" si="41"/>
        <v>5282</v>
      </c>
    </row>
    <row r="229" spans="1:31" ht="192" outlineLevel="3" thickBot="1" x14ac:dyDescent="0.25">
      <c r="A229" s="199" t="s">
        <v>891</v>
      </c>
      <c r="B229" s="517"/>
      <c r="C229" s="514"/>
      <c r="D229" s="517"/>
      <c r="E229" s="405" t="s">
        <v>393</v>
      </c>
      <c r="F229" s="405" t="s">
        <v>892</v>
      </c>
      <c r="G229" s="405" t="s">
        <v>782</v>
      </c>
      <c r="H229" s="420" t="s">
        <v>238</v>
      </c>
      <c r="I229" s="164">
        <v>2</v>
      </c>
      <c r="J229" s="163" t="s">
        <v>307</v>
      </c>
      <c r="K229" s="165" t="s">
        <v>338</v>
      </c>
      <c r="L229" s="138">
        <v>1</v>
      </c>
      <c r="M229" s="166">
        <f t="shared" si="42"/>
        <v>2</v>
      </c>
      <c r="N229" s="133" t="s">
        <v>291</v>
      </c>
      <c r="O229" s="69" t="s">
        <v>242</v>
      </c>
      <c r="P229" s="131">
        <v>5</v>
      </c>
      <c r="Q229" s="134">
        <f t="shared" si="43"/>
        <v>10</v>
      </c>
      <c r="R229" s="428"/>
      <c r="S229" s="428"/>
      <c r="T229" s="133"/>
      <c r="U229" s="405"/>
      <c r="V229" s="135"/>
      <c r="W229" s="133"/>
      <c r="X229" s="405"/>
      <c r="Y229" s="405"/>
      <c r="Z229" s="135"/>
      <c r="AA229" s="136">
        <f t="shared" ref="AA229" si="46">X229*Y229*Z229</f>
        <v>0</v>
      </c>
      <c r="AB229" s="111"/>
      <c r="AC229" s="363"/>
      <c r="AD229" s="226">
        <f t="shared" si="41"/>
        <v>5283</v>
      </c>
    </row>
    <row r="230" spans="1:31" ht="21" outlineLevel="2" thickBot="1" x14ac:dyDescent="0.25">
      <c r="A230" s="199"/>
      <c r="B230" s="117" t="s">
        <v>573</v>
      </c>
      <c r="C230" s="190"/>
      <c r="D230" s="118"/>
      <c r="E230" s="118"/>
      <c r="F230" s="118"/>
      <c r="G230" s="118"/>
      <c r="H230" s="118"/>
      <c r="I230" s="118"/>
      <c r="J230" s="118"/>
      <c r="K230" s="118"/>
      <c r="L230" s="118"/>
      <c r="M230" s="118"/>
      <c r="N230" s="118"/>
      <c r="O230" s="118"/>
      <c r="P230" s="118"/>
      <c r="Q230" s="118"/>
      <c r="R230" s="118"/>
      <c r="S230" s="118"/>
      <c r="T230" s="118"/>
      <c r="U230" s="118"/>
      <c r="V230" s="118"/>
      <c r="W230" s="118"/>
      <c r="X230" s="118"/>
      <c r="Y230" s="118"/>
      <c r="Z230" s="118"/>
      <c r="AA230" s="118"/>
      <c r="AB230" s="119"/>
      <c r="AC230" s="363"/>
      <c r="AD230" s="226">
        <f t="shared" si="41"/>
        <v>0</v>
      </c>
    </row>
    <row r="231" spans="1:31" ht="192" outlineLevel="3" thickBot="1" x14ac:dyDescent="0.25">
      <c r="A231" s="199" t="s">
        <v>893</v>
      </c>
      <c r="B231" s="503" t="s">
        <v>575</v>
      </c>
      <c r="C231" s="505" t="s">
        <v>576</v>
      </c>
      <c r="D231" s="181" t="s">
        <v>577</v>
      </c>
      <c r="E231" s="405" t="s">
        <v>894</v>
      </c>
      <c r="F231" s="405" t="s">
        <v>895</v>
      </c>
      <c r="G231" s="415" t="s">
        <v>782</v>
      </c>
      <c r="H231" s="420" t="s">
        <v>238</v>
      </c>
      <c r="I231" s="164">
        <v>2</v>
      </c>
      <c r="J231" s="163" t="s">
        <v>580</v>
      </c>
      <c r="K231" s="165" t="s">
        <v>338</v>
      </c>
      <c r="L231" s="138">
        <v>1</v>
      </c>
      <c r="M231" s="166">
        <f t="shared" ref="M231:M287" si="47">I231*L231</f>
        <v>2</v>
      </c>
      <c r="N231" s="133" t="s">
        <v>291</v>
      </c>
      <c r="O231" s="69" t="s">
        <v>242</v>
      </c>
      <c r="P231" s="131">
        <v>5</v>
      </c>
      <c r="Q231" s="134">
        <f t="shared" ref="Q231:Q287" si="48">I231*L231*P231</f>
        <v>10</v>
      </c>
      <c r="R231" s="428"/>
      <c r="S231" s="428"/>
      <c r="T231" s="133"/>
      <c r="U231" s="405"/>
      <c r="V231" s="135"/>
      <c r="W231" s="133"/>
      <c r="X231" s="405"/>
      <c r="Y231" s="405"/>
      <c r="Z231" s="135"/>
      <c r="AA231" s="136"/>
      <c r="AB231" s="111"/>
      <c r="AC231" s="363"/>
      <c r="AD231" s="226">
        <f t="shared" si="41"/>
        <v>5284</v>
      </c>
    </row>
    <row r="232" spans="1:31" ht="153.75" outlineLevel="3" thickBot="1" x14ac:dyDescent="0.25">
      <c r="A232" s="199" t="s">
        <v>896</v>
      </c>
      <c r="B232" s="483"/>
      <c r="C232" s="484"/>
      <c r="D232" s="424"/>
      <c r="E232" s="417" t="s">
        <v>582</v>
      </c>
      <c r="F232" s="417" t="s">
        <v>897</v>
      </c>
      <c r="G232" s="415" t="s">
        <v>782</v>
      </c>
      <c r="H232" s="420" t="s">
        <v>238</v>
      </c>
      <c r="I232" s="164">
        <v>2</v>
      </c>
      <c r="J232" s="163" t="s">
        <v>580</v>
      </c>
      <c r="K232" s="165" t="s">
        <v>338</v>
      </c>
      <c r="L232" s="138">
        <v>1</v>
      </c>
      <c r="M232" s="166">
        <f t="shared" si="47"/>
        <v>2</v>
      </c>
      <c r="N232" s="133" t="s">
        <v>291</v>
      </c>
      <c r="O232" s="69" t="s">
        <v>242</v>
      </c>
      <c r="P232" s="131">
        <v>5</v>
      </c>
      <c r="Q232" s="134">
        <f t="shared" si="48"/>
        <v>10</v>
      </c>
      <c r="R232" s="428"/>
      <c r="S232" s="428"/>
      <c r="T232" s="133"/>
      <c r="U232" s="405"/>
      <c r="V232" s="135"/>
      <c r="W232" s="133"/>
      <c r="X232" s="405"/>
      <c r="Y232" s="405"/>
      <c r="Z232" s="135"/>
      <c r="AA232" s="136"/>
      <c r="AB232" s="111"/>
      <c r="AC232" s="363"/>
      <c r="AD232" s="226">
        <f t="shared" si="41"/>
        <v>8899</v>
      </c>
    </row>
    <row r="233" spans="1:31" ht="268.5" outlineLevel="3" thickBot="1" x14ac:dyDescent="0.25">
      <c r="A233" s="199" t="s">
        <v>898</v>
      </c>
      <c r="B233" s="517"/>
      <c r="C233" s="480"/>
      <c r="D233" s="424"/>
      <c r="E233" s="405" t="s">
        <v>585</v>
      </c>
      <c r="F233" s="405" t="s">
        <v>899</v>
      </c>
      <c r="G233" s="405" t="s">
        <v>782</v>
      </c>
      <c r="H233" s="420" t="s">
        <v>238</v>
      </c>
      <c r="I233" s="164">
        <v>2</v>
      </c>
      <c r="J233" s="163" t="s">
        <v>580</v>
      </c>
      <c r="K233" s="165" t="s">
        <v>338</v>
      </c>
      <c r="L233" s="138">
        <v>1</v>
      </c>
      <c r="M233" s="166">
        <f t="shared" si="47"/>
        <v>2</v>
      </c>
      <c r="N233" s="133" t="s">
        <v>291</v>
      </c>
      <c r="O233" s="69" t="s">
        <v>242</v>
      </c>
      <c r="P233" s="131">
        <v>5</v>
      </c>
      <c r="Q233" s="134">
        <f t="shared" si="48"/>
        <v>10</v>
      </c>
      <c r="R233" s="428"/>
      <c r="S233" s="428"/>
      <c r="T233" s="133"/>
      <c r="U233" s="405"/>
      <c r="V233" s="135"/>
      <c r="W233" s="133"/>
      <c r="X233" s="405"/>
      <c r="Y233" s="405"/>
      <c r="Z233" s="135"/>
      <c r="AA233" s="136"/>
      <c r="AB233" s="111"/>
      <c r="AC233" s="363"/>
      <c r="AD233" s="226">
        <f t="shared" si="41"/>
        <v>5285</v>
      </c>
    </row>
    <row r="234" spans="1:31" ht="153.75" outlineLevel="3" thickBot="1" x14ac:dyDescent="0.25">
      <c r="A234" s="199" t="s">
        <v>900</v>
      </c>
      <c r="B234" s="505" t="s">
        <v>575</v>
      </c>
      <c r="C234" s="505" t="s">
        <v>576</v>
      </c>
      <c r="D234" s="503" t="s">
        <v>577</v>
      </c>
      <c r="E234" s="417" t="s">
        <v>588</v>
      </c>
      <c r="F234" s="417" t="s">
        <v>897</v>
      </c>
      <c r="G234" s="415" t="s">
        <v>782</v>
      </c>
      <c r="H234" s="420" t="s">
        <v>238</v>
      </c>
      <c r="I234" s="164">
        <v>2</v>
      </c>
      <c r="J234" s="163" t="s">
        <v>580</v>
      </c>
      <c r="K234" s="165" t="s">
        <v>338</v>
      </c>
      <c r="L234" s="138">
        <v>1</v>
      </c>
      <c r="M234" s="166">
        <f t="shared" si="47"/>
        <v>2</v>
      </c>
      <c r="N234" s="133" t="s">
        <v>291</v>
      </c>
      <c r="O234" s="69" t="s">
        <v>242</v>
      </c>
      <c r="P234" s="131">
        <v>5</v>
      </c>
      <c r="Q234" s="134">
        <f t="shared" si="48"/>
        <v>10</v>
      </c>
      <c r="R234" s="428"/>
      <c r="S234" s="428"/>
      <c r="T234" s="133"/>
      <c r="U234" s="405"/>
      <c r="V234" s="135"/>
      <c r="W234" s="133"/>
      <c r="X234" s="405"/>
      <c r="Y234" s="405"/>
      <c r="Z234" s="135"/>
      <c r="AA234" s="136"/>
      <c r="AB234" s="111"/>
      <c r="AC234" s="363"/>
      <c r="AD234" s="226">
        <f t="shared" si="41"/>
        <v>8900</v>
      </c>
    </row>
    <row r="235" spans="1:31" ht="230.25" outlineLevel="3" thickBot="1" x14ac:dyDescent="0.25">
      <c r="A235" s="199" t="s">
        <v>901</v>
      </c>
      <c r="B235" s="484"/>
      <c r="C235" s="484"/>
      <c r="D235" s="483"/>
      <c r="E235" s="417" t="s">
        <v>590</v>
      </c>
      <c r="F235" s="417" t="s">
        <v>902</v>
      </c>
      <c r="G235" s="415" t="s">
        <v>782</v>
      </c>
      <c r="H235" s="420" t="s">
        <v>238</v>
      </c>
      <c r="I235" s="164">
        <v>2</v>
      </c>
      <c r="J235" s="163" t="s">
        <v>580</v>
      </c>
      <c r="K235" s="165" t="s">
        <v>338</v>
      </c>
      <c r="L235" s="138">
        <v>1</v>
      </c>
      <c r="M235" s="166">
        <f t="shared" si="47"/>
        <v>2</v>
      </c>
      <c r="N235" s="133" t="s">
        <v>291</v>
      </c>
      <c r="O235" s="69" t="s">
        <v>242</v>
      </c>
      <c r="P235" s="131">
        <v>5</v>
      </c>
      <c r="Q235" s="134">
        <f t="shared" si="48"/>
        <v>10</v>
      </c>
      <c r="R235" s="428"/>
      <c r="S235" s="428"/>
      <c r="T235" s="133"/>
      <c r="U235" s="405"/>
      <c r="V235" s="135"/>
      <c r="W235" s="133"/>
      <c r="X235" s="405"/>
      <c r="Y235" s="405"/>
      <c r="Z235" s="135"/>
      <c r="AA235" s="136">
        <f t="shared" si="44"/>
        <v>0</v>
      </c>
      <c r="AB235" s="111"/>
      <c r="AC235" s="363"/>
      <c r="AD235" s="226">
        <f t="shared" si="41"/>
        <v>8901</v>
      </c>
    </row>
    <row r="236" spans="1:31" ht="230.25" outlineLevel="3" thickBot="1" x14ac:dyDescent="0.25">
      <c r="A236" s="199" t="s">
        <v>903</v>
      </c>
      <c r="B236" s="480"/>
      <c r="C236" s="480"/>
      <c r="D236" s="478"/>
      <c r="E236" s="405" t="s">
        <v>593</v>
      </c>
      <c r="F236" s="405" t="s">
        <v>904</v>
      </c>
      <c r="G236" s="405" t="s">
        <v>782</v>
      </c>
      <c r="H236" s="420" t="s">
        <v>238</v>
      </c>
      <c r="I236" s="164">
        <v>2</v>
      </c>
      <c r="J236" s="163" t="s">
        <v>580</v>
      </c>
      <c r="K236" s="165" t="s">
        <v>338</v>
      </c>
      <c r="L236" s="138">
        <v>1</v>
      </c>
      <c r="M236" s="166">
        <f t="shared" si="47"/>
        <v>2</v>
      </c>
      <c r="N236" s="133" t="s">
        <v>291</v>
      </c>
      <c r="O236" s="69" t="s">
        <v>242</v>
      </c>
      <c r="P236" s="131">
        <v>5</v>
      </c>
      <c r="Q236" s="134">
        <f t="shared" si="48"/>
        <v>10</v>
      </c>
      <c r="R236" s="428"/>
      <c r="S236" s="428"/>
      <c r="T236" s="133"/>
      <c r="U236" s="405"/>
      <c r="V236" s="135"/>
      <c r="W236" s="133"/>
      <c r="X236" s="405"/>
      <c r="Y236" s="405"/>
      <c r="Z236" s="135"/>
      <c r="AA236" s="136"/>
      <c r="AB236" s="111"/>
      <c r="AC236" s="363"/>
      <c r="AD236" s="226">
        <f t="shared" si="41"/>
        <v>5286</v>
      </c>
    </row>
    <row r="237" spans="1:31" s="317" customFormat="1" ht="128.25" outlineLevel="3" thickBot="1" x14ac:dyDescent="0.25">
      <c r="A237" s="199" t="s">
        <v>905</v>
      </c>
      <c r="B237" s="477" t="s">
        <v>596</v>
      </c>
      <c r="C237" s="479" t="s">
        <v>597</v>
      </c>
      <c r="D237" s="477" t="s">
        <v>598</v>
      </c>
      <c r="E237" s="405" t="s">
        <v>275</v>
      </c>
      <c r="F237" s="405" t="s">
        <v>906</v>
      </c>
      <c r="G237" s="405" t="s">
        <v>782</v>
      </c>
      <c r="H237" s="420" t="s">
        <v>238</v>
      </c>
      <c r="I237" s="164">
        <v>2</v>
      </c>
      <c r="J237" s="163" t="s">
        <v>277</v>
      </c>
      <c r="K237" s="165" t="s">
        <v>338</v>
      </c>
      <c r="L237" s="138">
        <v>1</v>
      </c>
      <c r="M237" s="166">
        <f t="shared" si="47"/>
        <v>2</v>
      </c>
      <c r="N237" s="133" t="s">
        <v>291</v>
      </c>
      <c r="O237" s="69" t="s">
        <v>242</v>
      </c>
      <c r="P237" s="131">
        <v>5</v>
      </c>
      <c r="Q237" s="134">
        <f t="shared" si="48"/>
        <v>10</v>
      </c>
      <c r="R237" s="428"/>
      <c r="S237" s="428"/>
      <c r="T237" s="133"/>
      <c r="U237" s="405"/>
      <c r="V237" s="135"/>
      <c r="W237" s="133"/>
      <c r="X237" s="405"/>
      <c r="Y237" s="405"/>
      <c r="Z237" s="135"/>
      <c r="AA237" s="136">
        <f t="shared" ref="AA237" si="49">X237*Y237*Z237</f>
        <v>0</v>
      </c>
      <c r="AB237" s="111"/>
      <c r="AC237" s="368"/>
      <c r="AD237" s="226">
        <f t="shared" si="41"/>
        <v>5287</v>
      </c>
      <c r="AE237" s="264"/>
    </row>
    <row r="238" spans="1:31" s="317" customFormat="1" ht="128.25" outlineLevel="3" thickBot="1" x14ac:dyDescent="0.25">
      <c r="A238" s="199" t="s">
        <v>907</v>
      </c>
      <c r="B238" s="482"/>
      <c r="C238" s="480"/>
      <c r="D238" s="581"/>
      <c r="E238" s="405" t="s">
        <v>279</v>
      </c>
      <c r="F238" s="405" t="s">
        <v>906</v>
      </c>
      <c r="G238" s="415" t="s">
        <v>782</v>
      </c>
      <c r="H238" s="420" t="s">
        <v>238</v>
      </c>
      <c r="I238" s="164">
        <v>2</v>
      </c>
      <c r="J238" s="163" t="s">
        <v>412</v>
      </c>
      <c r="K238" s="165" t="s">
        <v>338</v>
      </c>
      <c r="L238" s="138">
        <v>1</v>
      </c>
      <c r="M238" s="166">
        <f t="shared" si="47"/>
        <v>2</v>
      </c>
      <c r="N238" s="133" t="s">
        <v>291</v>
      </c>
      <c r="O238" s="69" t="s">
        <v>242</v>
      </c>
      <c r="P238" s="131">
        <v>5</v>
      </c>
      <c r="Q238" s="134">
        <f t="shared" si="48"/>
        <v>10</v>
      </c>
      <c r="R238" s="428"/>
      <c r="S238" s="428"/>
      <c r="T238" s="133"/>
      <c r="U238" s="405"/>
      <c r="V238" s="135"/>
      <c r="W238" s="133"/>
      <c r="X238" s="405"/>
      <c r="Y238" s="405"/>
      <c r="Z238" s="135"/>
      <c r="AA238" s="136"/>
      <c r="AB238" s="111"/>
      <c r="AC238" s="368"/>
      <c r="AD238" s="226">
        <f t="shared" si="41"/>
        <v>5288</v>
      </c>
      <c r="AE238" s="264"/>
    </row>
    <row r="239" spans="1:31" s="317" customFormat="1" ht="141" outlineLevel="3" thickBot="1" x14ac:dyDescent="0.25">
      <c r="A239" s="199" t="s">
        <v>908</v>
      </c>
      <c r="B239" s="477" t="s">
        <v>602</v>
      </c>
      <c r="C239" s="479" t="s">
        <v>603</v>
      </c>
      <c r="D239" s="477" t="s">
        <v>604</v>
      </c>
      <c r="E239" s="405" t="s">
        <v>300</v>
      </c>
      <c r="F239" s="405" t="s">
        <v>605</v>
      </c>
      <c r="G239" s="415" t="s">
        <v>782</v>
      </c>
      <c r="H239" s="420" t="s">
        <v>238</v>
      </c>
      <c r="I239" s="164">
        <v>2</v>
      </c>
      <c r="J239" s="163" t="s">
        <v>302</v>
      </c>
      <c r="K239" s="165" t="s">
        <v>338</v>
      </c>
      <c r="L239" s="138">
        <v>1</v>
      </c>
      <c r="M239" s="166">
        <f t="shared" si="47"/>
        <v>2</v>
      </c>
      <c r="N239" s="133" t="s">
        <v>291</v>
      </c>
      <c r="O239" s="69" t="s">
        <v>242</v>
      </c>
      <c r="P239" s="131">
        <v>5</v>
      </c>
      <c r="Q239" s="134">
        <f t="shared" si="48"/>
        <v>10</v>
      </c>
      <c r="R239" s="428"/>
      <c r="S239" s="428"/>
      <c r="T239" s="133"/>
      <c r="U239" s="405"/>
      <c r="V239" s="135"/>
      <c r="W239" s="133"/>
      <c r="X239" s="405"/>
      <c r="Y239" s="405"/>
      <c r="Z239" s="135"/>
      <c r="AA239" s="136">
        <f t="shared" ref="AA239" si="50">X239*Y239*Z239</f>
        <v>0</v>
      </c>
      <c r="AB239" s="111"/>
      <c r="AC239" s="368"/>
      <c r="AD239" s="226">
        <f t="shared" si="41"/>
        <v>5289</v>
      </c>
      <c r="AE239" s="264"/>
    </row>
    <row r="240" spans="1:31" s="317" customFormat="1" ht="192" outlineLevel="3" thickBot="1" x14ac:dyDescent="0.25">
      <c r="A240" s="199" t="s">
        <v>909</v>
      </c>
      <c r="B240" s="478"/>
      <c r="C240" s="480"/>
      <c r="D240" s="478"/>
      <c r="E240" s="405" t="s">
        <v>393</v>
      </c>
      <c r="F240" s="405" t="s">
        <v>607</v>
      </c>
      <c r="G240" s="415" t="s">
        <v>782</v>
      </c>
      <c r="H240" s="420" t="s">
        <v>238</v>
      </c>
      <c r="I240" s="164">
        <v>2</v>
      </c>
      <c r="J240" s="163" t="s">
        <v>307</v>
      </c>
      <c r="K240" s="165" t="s">
        <v>338</v>
      </c>
      <c r="L240" s="138">
        <v>1</v>
      </c>
      <c r="M240" s="166">
        <f t="shared" si="47"/>
        <v>2</v>
      </c>
      <c r="N240" s="133" t="s">
        <v>291</v>
      </c>
      <c r="O240" s="69" t="s">
        <v>242</v>
      </c>
      <c r="P240" s="131">
        <v>5</v>
      </c>
      <c r="Q240" s="134">
        <f t="shared" si="48"/>
        <v>10</v>
      </c>
      <c r="R240" s="428"/>
      <c r="S240" s="428"/>
      <c r="T240" s="133"/>
      <c r="U240" s="405"/>
      <c r="V240" s="135"/>
      <c r="W240" s="133"/>
      <c r="X240" s="405"/>
      <c r="Y240" s="405"/>
      <c r="Z240" s="135"/>
      <c r="AA240" s="136"/>
      <c r="AB240" s="111"/>
      <c r="AC240" s="368"/>
      <c r="AD240" s="226">
        <f t="shared" si="41"/>
        <v>5290</v>
      </c>
      <c r="AE240" s="264"/>
    </row>
    <row r="241" spans="1:31" s="317" customFormat="1" ht="128.25" outlineLevel="3" thickBot="1" x14ac:dyDescent="0.25">
      <c r="A241" s="199" t="s">
        <v>910</v>
      </c>
      <c r="B241" s="477" t="s">
        <v>609</v>
      </c>
      <c r="C241" s="499" t="s">
        <v>610</v>
      </c>
      <c r="D241" s="477" t="s">
        <v>611</v>
      </c>
      <c r="E241" s="405" t="s">
        <v>288</v>
      </c>
      <c r="F241" s="405" t="s">
        <v>612</v>
      </c>
      <c r="G241" s="405" t="s">
        <v>774</v>
      </c>
      <c r="H241" s="420" t="s">
        <v>238</v>
      </c>
      <c r="I241" s="164">
        <v>1</v>
      </c>
      <c r="J241" s="129" t="s">
        <v>290</v>
      </c>
      <c r="K241" s="165" t="s">
        <v>338</v>
      </c>
      <c r="L241" s="138">
        <v>1</v>
      </c>
      <c r="M241" s="166">
        <f t="shared" si="47"/>
        <v>1</v>
      </c>
      <c r="N241" s="133" t="s">
        <v>291</v>
      </c>
      <c r="O241" s="69" t="s">
        <v>242</v>
      </c>
      <c r="P241" s="131">
        <v>5</v>
      </c>
      <c r="Q241" s="134">
        <f t="shared" si="48"/>
        <v>5</v>
      </c>
      <c r="R241" s="428"/>
      <c r="S241" s="428"/>
      <c r="T241" s="133"/>
      <c r="U241" s="405"/>
      <c r="V241" s="135"/>
      <c r="W241" s="133"/>
      <c r="X241" s="405"/>
      <c r="Y241" s="405"/>
      <c r="Z241" s="135"/>
      <c r="AA241" s="136">
        <f t="shared" ref="AA241" si="51">X241*Y241*Z241</f>
        <v>0</v>
      </c>
      <c r="AB241" s="111"/>
      <c r="AC241" s="368"/>
      <c r="AD241" s="226">
        <f t="shared" si="41"/>
        <v>5291</v>
      </c>
      <c r="AE241" s="264"/>
    </row>
    <row r="242" spans="1:31" s="317" customFormat="1" ht="166.5" outlineLevel="3" thickBot="1" x14ac:dyDescent="0.25">
      <c r="A242" s="199" t="s">
        <v>911</v>
      </c>
      <c r="B242" s="478"/>
      <c r="C242" s="500"/>
      <c r="D242" s="478"/>
      <c r="E242" s="405" t="s">
        <v>614</v>
      </c>
      <c r="F242" s="405" t="s">
        <v>615</v>
      </c>
      <c r="G242" s="405" t="s">
        <v>774</v>
      </c>
      <c r="H242" s="420" t="s">
        <v>238</v>
      </c>
      <c r="I242" s="164">
        <v>1</v>
      </c>
      <c r="J242" s="163" t="s">
        <v>402</v>
      </c>
      <c r="K242" s="165" t="s">
        <v>338</v>
      </c>
      <c r="L242" s="138">
        <v>1</v>
      </c>
      <c r="M242" s="166">
        <f t="shared" si="47"/>
        <v>1</v>
      </c>
      <c r="N242" s="133" t="s">
        <v>291</v>
      </c>
      <c r="O242" s="69" t="s">
        <v>242</v>
      </c>
      <c r="P242" s="131">
        <v>5</v>
      </c>
      <c r="Q242" s="134">
        <f t="shared" si="48"/>
        <v>5</v>
      </c>
      <c r="R242" s="428"/>
      <c r="S242" s="428"/>
      <c r="T242" s="133"/>
      <c r="U242" s="405"/>
      <c r="V242" s="135"/>
      <c r="W242" s="133"/>
      <c r="X242" s="405"/>
      <c r="Y242" s="405"/>
      <c r="Z242" s="135"/>
      <c r="AA242" s="136"/>
      <c r="AB242" s="111"/>
      <c r="AC242" s="368"/>
      <c r="AD242" s="226">
        <f t="shared" si="41"/>
        <v>5292</v>
      </c>
      <c r="AE242" s="264"/>
    </row>
    <row r="243" spans="1:31" s="317" customFormat="1" ht="141" outlineLevel="3" thickBot="1" x14ac:dyDescent="0.25">
      <c r="A243" s="252" t="s">
        <v>912</v>
      </c>
      <c r="B243" s="489" t="s">
        <v>617</v>
      </c>
      <c r="C243" s="486" t="s">
        <v>618</v>
      </c>
      <c r="D243" s="489" t="s">
        <v>619</v>
      </c>
      <c r="E243" s="415" t="s">
        <v>300</v>
      </c>
      <c r="F243" s="328" t="s">
        <v>620</v>
      </c>
      <c r="G243" s="415" t="s">
        <v>774</v>
      </c>
      <c r="H243" s="255" t="s">
        <v>238</v>
      </c>
      <c r="I243" s="265">
        <v>1</v>
      </c>
      <c r="J243" s="253" t="s">
        <v>302</v>
      </c>
      <c r="K243" s="165" t="s">
        <v>338</v>
      </c>
      <c r="L243" s="258">
        <v>1</v>
      </c>
      <c r="M243" s="256">
        <f t="shared" si="47"/>
        <v>1</v>
      </c>
      <c r="N243" s="248" t="s">
        <v>291</v>
      </c>
      <c r="O243" s="257" t="s">
        <v>242</v>
      </c>
      <c r="P243" s="258">
        <v>5</v>
      </c>
      <c r="Q243" s="259">
        <f t="shared" si="48"/>
        <v>5</v>
      </c>
      <c r="R243" s="428"/>
      <c r="S243" s="428"/>
      <c r="T243" s="133"/>
      <c r="U243" s="405"/>
      <c r="V243" s="135"/>
      <c r="W243" s="133"/>
      <c r="X243" s="405"/>
      <c r="Y243" s="405"/>
      <c r="Z243" s="135"/>
      <c r="AA243" s="136"/>
      <c r="AB243" s="111"/>
      <c r="AC243" s="368"/>
      <c r="AD243" s="226">
        <f t="shared" si="41"/>
        <v>10951</v>
      </c>
      <c r="AE243" s="264"/>
    </row>
    <row r="244" spans="1:31" ht="128.25" outlineLevel="3" thickBot="1" x14ac:dyDescent="0.25">
      <c r="A244" s="252" t="s">
        <v>913</v>
      </c>
      <c r="B244" s="491"/>
      <c r="C244" s="487"/>
      <c r="D244" s="491"/>
      <c r="E244" s="415" t="s">
        <v>393</v>
      </c>
      <c r="F244" s="328" t="s">
        <v>622</v>
      </c>
      <c r="G244" s="415" t="s">
        <v>774</v>
      </c>
      <c r="H244" s="255" t="s">
        <v>238</v>
      </c>
      <c r="I244" s="265">
        <v>1</v>
      </c>
      <c r="J244" s="253" t="s">
        <v>307</v>
      </c>
      <c r="K244" s="165" t="s">
        <v>338</v>
      </c>
      <c r="L244" s="258">
        <v>1</v>
      </c>
      <c r="M244" s="256">
        <f t="shared" si="47"/>
        <v>1</v>
      </c>
      <c r="N244" s="248" t="s">
        <v>291</v>
      </c>
      <c r="O244" s="257" t="s">
        <v>242</v>
      </c>
      <c r="P244" s="258">
        <v>5</v>
      </c>
      <c r="Q244" s="259">
        <f t="shared" si="48"/>
        <v>5</v>
      </c>
      <c r="R244" s="428"/>
      <c r="S244" s="428"/>
      <c r="T244" s="133"/>
      <c r="U244" s="405"/>
      <c r="V244" s="135"/>
      <c r="W244" s="133"/>
      <c r="X244" s="405"/>
      <c r="Y244" s="405"/>
      <c r="Z244" s="135"/>
      <c r="AA244" s="136">
        <f t="shared" si="44"/>
        <v>0</v>
      </c>
      <c r="AB244" s="111"/>
      <c r="AC244" s="363"/>
      <c r="AD244" s="226">
        <f t="shared" si="41"/>
        <v>10952</v>
      </c>
    </row>
    <row r="245" spans="1:31" ht="128.25" outlineLevel="3" thickBot="1" x14ac:dyDescent="0.25">
      <c r="A245" s="201" t="s">
        <v>914</v>
      </c>
      <c r="B245" s="506" t="s">
        <v>349</v>
      </c>
      <c r="C245" s="507" t="s">
        <v>624</v>
      </c>
      <c r="D245" s="506" t="s">
        <v>915</v>
      </c>
      <c r="E245" s="411" t="s">
        <v>352</v>
      </c>
      <c r="F245" s="425" t="s">
        <v>626</v>
      </c>
      <c r="G245" s="405" t="s">
        <v>782</v>
      </c>
      <c r="H245" s="420" t="s">
        <v>238</v>
      </c>
      <c r="I245" s="164">
        <v>2</v>
      </c>
      <c r="J245" s="411" t="s">
        <v>302</v>
      </c>
      <c r="K245" s="165" t="s">
        <v>338</v>
      </c>
      <c r="L245" s="411">
        <v>1</v>
      </c>
      <c r="M245" s="256">
        <f t="shared" si="47"/>
        <v>2</v>
      </c>
      <c r="N245" s="248" t="s">
        <v>303</v>
      </c>
      <c r="O245" s="257" t="s">
        <v>242</v>
      </c>
      <c r="P245" s="258">
        <v>5</v>
      </c>
      <c r="Q245" s="259">
        <f>P245*L245*I245</f>
        <v>10</v>
      </c>
      <c r="R245" s="428"/>
      <c r="S245" s="428"/>
      <c r="T245" s="133"/>
      <c r="U245" s="405"/>
      <c r="V245" s="135"/>
      <c r="W245" s="133"/>
      <c r="X245" s="405"/>
      <c r="Y245" s="405"/>
      <c r="Z245" s="135"/>
      <c r="AA245" s="136"/>
      <c r="AB245" s="111"/>
      <c r="AC245" s="363"/>
      <c r="AD245" s="226">
        <f t="shared" si="41"/>
        <v>10953</v>
      </c>
    </row>
    <row r="246" spans="1:31" ht="128.25" outlineLevel="3" thickBot="1" x14ac:dyDescent="0.25">
      <c r="A246" s="262" t="s">
        <v>916</v>
      </c>
      <c r="B246" s="488"/>
      <c r="C246" s="613"/>
      <c r="D246" s="488"/>
      <c r="E246" s="416" t="s">
        <v>355</v>
      </c>
      <c r="F246" s="416" t="s">
        <v>628</v>
      </c>
      <c r="G246" s="415" t="s">
        <v>782</v>
      </c>
      <c r="H246" s="255" t="s">
        <v>238</v>
      </c>
      <c r="I246" s="265">
        <v>2</v>
      </c>
      <c r="J246" s="416" t="s">
        <v>307</v>
      </c>
      <c r="K246" s="165" t="s">
        <v>338</v>
      </c>
      <c r="L246" s="416">
        <v>1</v>
      </c>
      <c r="M246" s="256">
        <f t="shared" si="47"/>
        <v>2</v>
      </c>
      <c r="N246" s="248" t="s">
        <v>303</v>
      </c>
      <c r="O246" s="257" t="s">
        <v>242</v>
      </c>
      <c r="P246" s="258">
        <v>5</v>
      </c>
      <c r="Q246" s="259">
        <f>P246*L246*I246</f>
        <v>10</v>
      </c>
      <c r="R246" s="428"/>
      <c r="S246" s="428"/>
      <c r="T246" s="133"/>
      <c r="U246" s="405"/>
      <c r="V246" s="135"/>
      <c r="W246" s="133"/>
      <c r="X246" s="405"/>
      <c r="Y246" s="405"/>
      <c r="Z246" s="135"/>
      <c r="AA246" s="136">
        <f t="shared" ref="AA246" si="52">X246*Y246*Z246</f>
        <v>0</v>
      </c>
      <c r="AB246" s="111"/>
      <c r="AC246" s="226"/>
      <c r="AD246" s="226">
        <f t="shared" si="41"/>
        <v>10954</v>
      </c>
    </row>
    <row r="247" spans="1:31" ht="153.75" customHeight="1" outlineLevel="3" thickBot="1" x14ac:dyDescent="0.25">
      <c r="A247" s="199" t="s">
        <v>917</v>
      </c>
      <c r="B247" s="477" t="s">
        <v>630</v>
      </c>
      <c r="C247" s="479" t="s">
        <v>631</v>
      </c>
      <c r="D247" s="477" t="s">
        <v>632</v>
      </c>
      <c r="E247" s="405" t="s">
        <v>633</v>
      </c>
      <c r="F247" s="405" t="s">
        <v>634</v>
      </c>
      <c r="G247" s="405" t="s">
        <v>774</v>
      </c>
      <c r="H247" s="420" t="s">
        <v>238</v>
      </c>
      <c r="I247" s="164">
        <v>1</v>
      </c>
      <c r="J247" s="163" t="s">
        <v>277</v>
      </c>
      <c r="K247" s="165" t="s">
        <v>338</v>
      </c>
      <c r="L247" s="138">
        <v>1</v>
      </c>
      <c r="M247" s="256">
        <f t="shared" si="47"/>
        <v>1</v>
      </c>
      <c r="N247" s="248" t="s">
        <v>291</v>
      </c>
      <c r="O247" s="257" t="s">
        <v>242</v>
      </c>
      <c r="P247" s="258">
        <v>5</v>
      </c>
      <c r="Q247" s="259">
        <f t="shared" ref="Q247:Q249" si="53">I247*L247*P247</f>
        <v>5</v>
      </c>
      <c r="R247" s="428"/>
      <c r="S247" s="428"/>
      <c r="T247" s="133"/>
      <c r="U247" s="405"/>
      <c r="V247" s="135"/>
      <c r="W247" s="133"/>
      <c r="X247" s="405"/>
      <c r="Y247" s="405"/>
      <c r="Z247" s="135"/>
      <c r="AA247" s="136"/>
      <c r="AB247" s="111"/>
      <c r="AC247" s="226"/>
      <c r="AD247" s="226">
        <f t="shared" si="41"/>
        <v>10955</v>
      </c>
    </row>
    <row r="248" spans="1:31" ht="153.75" customHeight="1" outlineLevel="3" thickBot="1" x14ac:dyDescent="0.25">
      <c r="A248" s="252" t="s">
        <v>918</v>
      </c>
      <c r="B248" s="481"/>
      <c r="C248" s="501"/>
      <c r="D248" s="481"/>
      <c r="E248" s="415" t="s">
        <v>636</v>
      </c>
      <c r="F248" s="415" t="s">
        <v>637</v>
      </c>
      <c r="G248" s="415" t="s">
        <v>782</v>
      </c>
      <c r="H248" s="255" t="s">
        <v>238</v>
      </c>
      <c r="I248" s="265">
        <v>2</v>
      </c>
      <c r="J248" s="253" t="s">
        <v>277</v>
      </c>
      <c r="K248" s="165" t="s">
        <v>338</v>
      </c>
      <c r="L248" s="258">
        <v>1</v>
      </c>
      <c r="M248" s="256">
        <f t="shared" si="47"/>
        <v>2</v>
      </c>
      <c r="N248" s="248" t="s">
        <v>291</v>
      </c>
      <c r="O248" s="257" t="s">
        <v>242</v>
      </c>
      <c r="P248" s="258">
        <v>5</v>
      </c>
      <c r="Q248" s="259">
        <f t="shared" si="53"/>
        <v>10</v>
      </c>
      <c r="R248" s="428"/>
      <c r="S248" s="428"/>
      <c r="T248" s="133"/>
      <c r="U248" s="405"/>
      <c r="V248" s="135"/>
      <c r="W248" s="133"/>
      <c r="X248" s="405"/>
      <c r="Y248" s="405"/>
      <c r="Z248" s="135"/>
      <c r="AA248" s="136"/>
      <c r="AB248" s="111"/>
      <c r="AC248" s="226"/>
      <c r="AD248" s="226">
        <f t="shared" si="41"/>
        <v>10956</v>
      </c>
    </row>
    <row r="249" spans="1:31" ht="128.25" outlineLevel="3" thickBot="1" x14ac:dyDescent="0.25">
      <c r="A249" s="252" t="s">
        <v>919</v>
      </c>
      <c r="B249" s="482"/>
      <c r="C249" s="487"/>
      <c r="D249" s="482"/>
      <c r="E249" s="415" t="s">
        <v>279</v>
      </c>
      <c r="F249" s="415" t="s">
        <v>639</v>
      </c>
      <c r="G249" s="415" t="s">
        <v>782</v>
      </c>
      <c r="H249" s="255" t="s">
        <v>238</v>
      </c>
      <c r="I249" s="265">
        <v>2</v>
      </c>
      <c r="J249" s="253" t="s">
        <v>412</v>
      </c>
      <c r="K249" s="165" t="s">
        <v>338</v>
      </c>
      <c r="L249" s="258">
        <v>1</v>
      </c>
      <c r="M249" s="256">
        <f t="shared" si="47"/>
        <v>2</v>
      </c>
      <c r="N249" s="248" t="s">
        <v>291</v>
      </c>
      <c r="O249" s="257" t="s">
        <v>242</v>
      </c>
      <c r="P249" s="258">
        <v>5</v>
      </c>
      <c r="Q249" s="259">
        <f t="shared" si="53"/>
        <v>10</v>
      </c>
      <c r="R249" s="428"/>
      <c r="S249" s="428"/>
      <c r="T249" s="133"/>
      <c r="U249" s="405"/>
      <c r="V249" s="135"/>
      <c r="W249" s="133"/>
      <c r="X249" s="405"/>
      <c r="Y249" s="405"/>
      <c r="Z249" s="135"/>
      <c r="AA249" s="136">
        <f t="shared" si="44"/>
        <v>0</v>
      </c>
      <c r="AB249" s="111"/>
      <c r="AC249" s="363"/>
      <c r="AD249" s="226">
        <f t="shared" si="41"/>
        <v>10957</v>
      </c>
    </row>
    <row r="250" spans="1:31" ht="128.25" outlineLevel="3" thickBot="1" x14ac:dyDescent="0.25">
      <c r="A250" s="199" t="s">
        <v>920</v>
      </c>
      <c r="B250" s="477" t="s">
        <v>641</v>
      </c>
      <c r="C250" s="479" t="s">
        <v>642</v>
      </c>
      <c r="D250" s="477" t="s">
        <v>643</v>
      </c>
      <c r="E250" s="405" t="s">
        <v>326</v>
      </c>
      <c r="F250" s="405" t="s">
        <v>644</v>
      </c>
      <c r="G250" s="415" t="s">
        <v>782</v>
      </c>
      <c r="H250" s="420" t="s">
        <v>238</v>
      </c>
      <c r="I250" s="164">
        <v>2</v>
      </c>
      <c r="J250" s="163" t="s">
        <v>328</v>
      </c>
      <c r="K250" s="165" t="s">
        <v>338</v>
      </c>
      <c r="L250" s="138">
        <v>1</v>
      </c>
      <c r="M250" s="166">
        <f t="shared" si="47"/>
        <v>2</v>
      </c>
      <c r="N250" s="133" t="s">
        <v>291</v>
      </c>
      <c r="O250" s="69" t="s">
        <v>242</v>
      </c>
      <c r="P250" s="131">
        <v>5</v>
      </c>
      <c r="Q250" s="134">
        <f t="shared" si="48"/>
        <v>10</v>
      </c>
      <c r="R250" s="428"/>
      <c r="S250" s="428"/>
      <c r="T250" s="133"/>
      <c r="U250" s="405"/>
      <c r="V250" s="135"/>
      <c r="W250" s="133"/>
      <c r="X250" s="405"/>
      <c r="Y250" s="405"/>
      <c r="Z250" s="135"/>
      <c r="AA250" s="136"/>
      <c r="AB250" s="111"/>
      <c r="AC250" s="363"/>
      <c r="AD250" s="226">
        <f t="shared" si="41"/>
        <v>5293</v>
      </c>
    </row>
    <row r="251" spans="1:31" ht="204.75" outlineLevel="3" thickBot="1" x14ac:dyDescent="0.25">
      <c r="A251" s="199" t="s">
        <v>921</v>
      </c>
      <c r="B251" s="478"/>
      <c r="C251" s="480"/>
      <c r="D251" s="478"/>
      <c r="E251" s="405" t="s">
        <v>330</v>
      </c>
      <c r="F251" s="405" t="s">
        <v>922</v>
      </c>
      <c r="G251" s="415" t="s">
        <v>782</v>
      </c>
      <c r="H251" s="420" t="s">
        <v>238</v>
      </c>
      <c r="I251" s="164">
        <v>2</v>
      </c>
      <c r="J251" s="163" t="s">
        <v>332</v>
      </c>
      <c r="K251" s="165" t="s">
        <v>338</v>
      </c>
      <c r="L251" s="138">
        <v>1</v>
      </c>
      <c r="M251" s="166">
        <f t="shared" si="47"/>
        <v>2</v>
      </c>
      <c r="N251" s="133" t="s">
        <v>291</v>
      </c>
      <c r="O251" s="69" t="s">
        <v>242</v>
      </c>
      <c r="P251" s="131">
        <v>5</v>
      </c>
      <c r="Q251" s="134">
        <f t="shared" si="48"/>
        <v>10</v>
      </c>
      <c r="R251" s="428"/>
      <c r="S251" s="428"/>
      <c r="T251" s="133"/>
      <c r="U251" s="405"/>
      <c r="V251" s="135"/>
      <c r="W251" s="133"/>
      <c r="X251" s="405"/>
      <c r="Y251" s="405"/>
      <c r="Z251" s="135"/>
      <c r="AA251" s="136"/>
      <c r="AB251" s="111"/>
      <c r="AC251" s="363"/>
      <c r="AD251" s="226">
        <f t="shared" si="41"/>
        <v>5294</v>
      </c>
    </row>
    <row r="252" spans="1:31" ht="141" outlineLevel="3" thickBot="1" x14ac:dyDescent="0.25">
      <c r="A252" s="199" t="s">
        <v>923</v>
      </c>
      <c r="B252" s="477" t="s">
        <v>924</v>
      </c>
      <c r="C252" s="479" t="s">
        <v>649</v>
      </c>
      <c r="D252" s="477" t="s">
        <v>650</v>
      </c>
      <c r="E252" s="405" t="s">
        <v>651</v>
      </c>
      <c r="F252" s="405" t="s">
        <v>925</v>
      </c>
      <c r="G252" s="405" t="s">
        <v>774</v>
      </c>
      <c r="H252" s="420" t="s">
        <v>238</v>
      </c>
      <c r="I252" s="164">
        <v>1</v>
      </c>
      <c r="J252" s="163" t="s">
        <v>302</v>
      </c>
      <c r="K252" s="165" t="s">
        <v>338</v>
      </c>
      <c r="L252" s="138">
        <v>1</v>
      </c>
      <c r="M252" s="166">
        <f t="shared" si="47"/>
        <v>1</v>
      </c>
      <c r="N252" s="133" t="s">
        <v>291</v>
      </c>
      <c r="O252" s="420" t="s">
        <v>242</v>
      </c>
      <c r="P252" s="138">
        <v>5</v>
      </c>
      <c r="Q252" s="225">
        <f t="shared" si="48"/>
        <v>5</v>
      </c>
      <c r="R252" s="428"/>
      <c r="S252" s="428"/>
      <c r="T252" s="133"/>
      <c r="U252" s="405"/>
      <c r="V252" s="135"/>
      <c r="W252" s="133"/>
      <c r="X252" s="405"/>
      <c r="Y252" s="405"/>
      <c r="Z252" s="135"/>
      <c r="AA252" s="136"/>
      <c r="AB252" s="111"/>
      <c r="AC252" s="428"/>
      <c r="AD252" s="226">
        <f t="shared" si="41"/>
        <v>10958</v>
      </c>
    </row>
    <row r="253" spans="1:31" ht="128.25" outlineLevel="3" thickBot="1" x14ac:dyDescent="0.25">
      <c r="A253" s="199" t="s">
        <v>926</v>
      </c>
      <c r="B253" s="483"/>
      <c r="C253" s="484"/>
      <c r="D253" s="483"/>
      <c r="E253" s="405" t="s">
        <v>927</v>
      </c>
      <c r="F253" s="405" t="s">
        <v>655</v>
      </c>
      <c r="G253" s="415" t="s">
        <v>782</v>
      </c>
      <c r="H253" s="420" t="s">
        <v>238</v>
      </c>
      <c r="I253" s="164">
        <v>2</v>
      </c>
      <c r="J253" s="163" t="s">
        <v>302</v>
      </c>
      <c r="K253" s="165" t="s">
        <v>338</v>
      </c>
      <c r="L253" s="138">
        <v>1</v>
      </c>
      <c r="M253" s="166">
        <f t="shared" si="47"/>
        <v>2</v>
      </c>
      <c r="N253" s="133" t="s">
        <v>291</v>
      </c>
      <c r="O253" s="420" t="s">
        <v>242</v>
      </c>
      <c r="P253" s="138">
        <v>5</v>
      </c>
      <c r="Q253" s="225">
        <f t="shared" si="48"/>
        <v>10</v>
      </c>
      <c r="R253" s="428"/>
      <c r="S253" s="428"/>
      <c r="T253" s="133"/>
      <c r="U253" s="405"/>
      <c r="V253" s="135"/>
      <c r="W253" s="133"/>
      <c r="X253" s="405"/>
      <c r="Y253" s="405"/>
      <c r="Z253" s="135"/>
      <c r="AA253" s="136">
        <f t="shared" si="44"/>
        <v>0</v>
      </c>
      <c r="AB253" s="111"/>
      <c r="AC253" s="363"/>
      <c r="AD253" s="226">
        <f t="shared" si="41"/>
        <v>10959</v>
      </c>
    </row>
    <row r="254" spans="1:31" ht="128.25" outlineLevel="3" thickBot="1" x14ac:dyDescent="0.25">
      <c r="A254" s="199" t="s">
        <v>928</v>
      </c>
      <c r="B254" s="478"/>
      <c r="C254" s="480"/>
      <c r="D254" s="478"/>
      <c r="E254" s="405" t="s">
        <v>393</v>
      </c>
      <c r="F254" s="405" t="s">
        <v>657</v>
      </c>
      <c r="G254" s="405" t="s">
        <v>774</v>
      </c>
      <c r="H254" s="420" t="s">
        <v>238</v>
      </c>
      <c r="I254" s="164">
        <v>1</v>
      </c>
      <c r="J254" s="163" t="s">
        <v>307</v>
      </c>
      <c r="K254" s="165" t="s">
        <v>338</v>
      </c>
      <c r="L254" s="138">
        <v>1</v>
      </c>
      <c r="M254" s="166">
        <f t="shared" si="47"/>
        <v>1</v>
      </c>
      <c r="N254" s="133" t="s">
        <v>291</v>
      </c>
      <c r="O254" s="420" t="s">
        <v>242</v>
      </c>
      <c r="P254" s="138">
        <v>5</v>
      </c>
      <c r="Q254" s="225">
        <f t="shared" si="48"/>
        <v>5</v>
      </c>
      <c r="R254" s="428"/>
      <c r="S254" s="428"/>
      <c r="T254" s="133"/>
      <c r="U254" s="405"/>
      <c r="V254" s="135"/>
      <c r="W254" s="133"/>
      <c r="X254" s="405"/>
      <c r="Y254" s="405"/>
      <c r="Z254" s="135"/>
      <c r="AA254" s="136"/>
      <c r="AB254" s="111"/>
      <c r="AC254" s="363"/>
      <c r="AD254" s="226">
        <f t="shared" si="41"/>
        <v>10960</v>
      </c>
    </row>
    <row r="255" spans="1:31" ht="128.25" outlineLevel="3" thickBot="1" x14ac:dyDescent="0.25">
      <c r="A255" s="199" t="s">
        <v>929</v>
      </c>
      <c r="B255" s="477" t="s">
        <v>659</v>
      </c>
      <c r="C255" s="486" t="s">
        <v>660</v>
      </c>
      <c r="D255" s="477" t="s">
        <v>661</v>
      </c>
      <c r="E255" s="405" t="s">
        <v>662</v>
      </c>
      <c r="F255" s="405" t="s">
        <v>930</v>
      </c>
      <c r="G255" s="415" t="s">
        <v>782</v>
      </c>
      <c r="H255" s="420" t="s">
        <v>238</v>
      </c>
      <c r="I255" s="164">
        <v>2</v>
      </c>
      <c r="J255" s="163" t="s">
        <v>931</v>
      </c>
      <c r="K255" s="165" t="s">
        <v>338</v>
      </c>
      <c r="L255" s="138">
        <v>1</v>
      </c>
      <c r="M255" s="166">
        <f t="shared" si="47"/>
        <v>2</v>
      </c>
      <c r="N255" s="133" t="s">
        <v>291</v>
      </c>
      <c r="O255" s="69" t="s">
        <v>242</v>
      </c>
      <c r="P255" s="131">
        <v>5</v>
      </c>
      <c r="Q255" s="134">
        <f t="shared" si="48"/>
        <v>10</v>
      </c>
      <c r="R255" s="428"/>
      <c r="S255" s="428"/>
      <c r="T255" s="133"/>
      <c r="U255" s="405"/>
      <c r="V255" s="135"/>
      <c r="W255" s="133"/>
      <c r="X255" s="405"/>
      <c r="Y255" s="405"/>
      <c r="Z255" s="135"/>
      <c r="AA255" s="136"/>
      <c r="AB255" s="111"/>
      <c r="AC255" s="363"/>
      <c r="AD255" s="226">
        <f t="shared" si="41"/>
        <v>5295</v>
      </c>
    </row>
    <row r="256" spans="1:31" ht="128.25" outlineLevel="3" thickBot="1" x14ac:dyDescent="0.25">
      <c r="A256" s="199" t="s">
        <v>932</v>
      </c>
      <c r="B256" s="483"/>
      <c r="C256" s="501"/>
      <c r="D256" s="483"/>
      <c r="E256" s="405" t="s">
        <v>666</v>
      </c>
      <c r="F256" s="405" t="s">
        <v>933</v>
      </c>
      <c r="G256" s="415" t="s">
        <v>782</v>
      </c>
      <c r="H256" s="420" t="s">
        <v>238</v>
      </c>
      <c r="I256" s="164">
        <v>2</v>
      </c>
      <c r="J256" s="163" t="s">
        <v>931</v>
      </c>
      <c r="K256" s="165" t="s">
        <v>338</v>
      </c>
      <c r="L256" s="138">
        <v>1</v>
      </c>
      <c r="M256" s="166">
        <f t="shared" si="47"/>
        <v>2</v>
      </c>
      <c r="N256" s="133" t="s">
        <v>291</v>
      </c>
      <c r="O256" s="69" t="s">
        <v>242</v>
      </c>
      <c r="P256" s="131">
        <v>5</v>
      </c>
      <c r="Q256" s="134">
        <f t="shared" si="48"/>
        <v>10</v>
      </c>
      <c r="R256" s="428"/>
      <c r="S256" s="428"/>
      <c r="T256" s="133"/>
      <c r="U256" s="405"/>
      <c r="V256" s="135"/>
      <c r="W256" s="133"/>
      <c r="X256" s="405"/>
      <c r="Y256" s="405"/>
      <c r="Z256" s="135"/>
      <c r="AA256" s="136"/>
      <c r="AB256" s="111"/>
      <c r="AC256" s="362"/>
      <c r="AD256" s="226">
        <f t="shared" si="41"/>
        <v>5296</v>
      </c>
    </row>
    <row r="257" spans="1:32" ht="128.25" outlineLevel="3" thickBot="1" x14ac:dyDescent="0.25">
      <c r="A257" s="199" t="s">
        <v>934</v>
      </c>
      <c r="B257" s="483"/>
      <c r="C257" s="501"/>
      <c r="D257" s="483"/>
      <c r="E257" s="405" t="s">
        <v>669</v>
      </c>
      <c r="F257" s="405" t="s">
        <v>670</v>
      </c>
      <c r="G257" s="415" t="s">
        <v>782</v>
      </c>
      <c r="H257" s="420" t="s">
        <v>238</v>
      </c>
      <c r="I257" s="164">
        <v>2</v>
      </c>
      <c r="J257" s="163" t="s">
        <v>671</v>
      </c>
      <c r="K257" s="165" t="s">
        <v>338</v>
      </c>
      <c r="L257" s="138">
        <v>1</v>
      </c>
      <c r="M257" s="166">
        <f t="shared" si="47"/>
        <v>2</v>
      </c>
      <c r="N257" s="133" t="s">
        <v>291</v>
      </c>
      <c r="O257" s="69" t="s">
        <v>242</v>
      </c>
      <c r="P257" s="131">
        <v>5</v>
      </c>
      <c r="Q257" s="134">
        <f t="shared" si="48"/>
        <v>10</v>
      </c>
      <c r="R257" s="428"/>
      <c r="S257" s="428"/>
      <c r="T257" s="133"/>
      <c r="U257" s="405"/>
      <c r="V257" s="135"/>
      <c r="W257" s="133"/>
      <c r="X257" s="405"/>
      <c r="Y257" s="405"/>
      <c r="Z257" s="135"/>
      <c r="AA257" s="136"/>
      <c r="AB257" s="111"/>
      <c r="AC257" s="227"/>
      <c r="AD257" s="226">
        <f t="shared" si="41"/>
        <v>5297</v>
      </c>
    </row>
    <row r="258" spans="1:32" ht="128.25" outlineLevel="3" thickBot="1" x14ac:dyDescent="0.25">
      <c r="A258" s="199" t="s">
        <v>935</v>
      </c>
      <c r="B258" s="483"/>
      <c r="C258" s="501"/>
      <c r="D258" s="483"/>
      <c r="E258" s="405" t="s">
        <v>673</v>
      </c>
      <c r="F258" s="405" t="s">
        <v>674</v>
      </c>
      <c r="G258" s="415" t="s">
        <v>782</v>
      </c>
      <c r="H258" s="420" t="s">
        <v>238</v>
      </c>
      <c r="I258" s="164">
        <v>2</v>
      </c>
      <c r="J258" s="163" t="s">
        <v>675</v>
      </c>
      <c r="K258" s="165" t="s">
        <v>338</v>
      </c>
      <c r="L258" s="138">
        <v>1</v>
      </c>
      <c r="M258" s="166">
        <f t="shared" si="47"/>
        <v>2</v>
      </c>
      <c r="N258" s="133" t="s">
        <v>291</v>
      </c>
      <c r="O258" s="69" t="s">
        <v>242</v>
      </c>
      <c r="P258" s="131">
        <v>5</v>
      </c>
      <c r="Q258" s="134">
        <f t="shared" si="48"/>
        <v>10</v>
      </c>
      <c r="R258" s="428"/>
      <c r="S258" s="428"/>
      <c r="T258" s="133"/>
      <c r="U258" s="405"/>
      <c r="V258" s="135"/>
      <c r="W258" s="133"/>
      <c r="X258" s="405"/>
      <c r="Y258" s="405"/>
      <c r="Z258" s="135"/>
      <c r="AA258" s="136">
        <f>X258*Y258*Z258</f>
        <v>0</v>
      </c>
      <c r="AB258" s="111"/>
      <c r="AC258" s="363"/>
      <c r="AD258" s="226">
        <f t="shared" si="41"/>
        <v>5298</v>
      </c>
    </row>
    <row r="259" spans="1:32" ht="128.25" outlineLevel="3" thickBot="1" x14ac:dyDescent="0.25">
      <c r="A259" s="199" t="s">
        <v>936</v>
      </c>
      <c r="B259" s="483"/>
      <c r="C259" s="501"/>
      <c r="D259" s="483"/>
      <c r="E259" s="405" t="s">
        <v>677</v>
      </c>
      <c r="F259" s="405" t="s">
        <v>937</v>
      </c>
      <c r="G259" s="405" t="s">
        <v>938</v>
      </c>
      <c r="H259" s="420" t="s">
        <v>680</v>
      </c>
      <c r="I259" s="164">
        <v>4</v>
      </c>
      <c r="J259" s="163" t="s">
        <v>681</v>
      </c>
      <c r="K259" s="165" t="s">
        <v>338</v>
      </c>
      <c r="L259" s="138">
        <v>1</v>
      </c>
      <c r="M259" s="166">
        <f t="shared" si="47"/>
        <v>4</v>
      </c>
      <c r="N259" s="133" t="s">
        <v>291</v>
      </c>
      <c r="O259" s="69" t="s">
        <v>242</v>
      </c>
      <c r="P259" s="131">
        <v>5</v>
      </c>
      <c r="Q259" s="134">
        <f>P259*L259*I259</f>
        <v>20</v>
      </c>
      <c r="R259" s="428"/>
      <c r="S259" s="428"/>
      <c r="T259" s="133"/>
      <c r="U259" s="405"/>
      <c r="V259" s="135"/>
      <c r="W259" s="133"/>
      <c r="X259" s="405"/>
      <c r="Y259" s="405"/>
      <c r="Z259" s="135"/>
      <c r="AA259" s="136"/>
      <c r="AB259" s="111"/>
      <c r="AC259" s="226"/>
      <c r="AD259" s="226">
        <f t="shared" si="41"/>
        <v>6772</v>
      </c>
    </row>
    <row r="260" spans="1:32" ht="128.25" outlineLevel="3" thickBot="1" x14ac:dyDescent="0.25">
      <c r="A260" s="199" t="s">
        <v>939</v>
      </c>
      <c r="B260" s="483"/>
      <c r="C260" s="501"/>
      <c r="D260" s="483"/>
      <c r="E260" s="405" t="s">
        <v>684</v>
      </c>
      <c r="F260" s="405" t="s">
        <v>685</v>
      </c>
      <c r="G260" s="415" t="s">
        <v>782</v>
      </c>
      <c r="H260" s="420" t="s">
        <v>238</v>
      </c>
      <c r="I260" s="164">
        <v>2</v>
      </c>
      <c r="J260" s="163" t="s">
        <v>940</v>
      </c>
      <c r="K260" s="165" t="s">
        <v>338</v>
      </c>
      <c r="L260" s="138">
        <v>1</v>
      </c>
      <c r="M260" s="166">
        <f t="shared" si="47"/>
        <v>2</v>
      </c>
      <c r="N260" s="133" t="s">
        <v>291</v>
      </c>
      <c r="O260" s="69" t="s">
        <v>242</v>
      </c>
      <c r="P260" s="131">
        <v>5</v>
      </c>
      <c r="Q260" s="134">
        <f t="shared" ref="Q260:Q262" si="54">I260*L260*P260</f>
        <v>10</v>
      </c>
      <c r="R260" s="428"/>
      <c r="S260" s="428"/>
      <c r="T260" s="133"/>
      <c r="U260" s="405"/>
      <c r="V260" s="135"/>
      <c r="W260" s="133"/>
      <c r="X260" s="405"/>
      <c r="Y260" s="405"/>
      <c r="Z260" s="135"/>
      <c r="AA260" s="136"/>
      <c r="AB260" s="111"/>
      <c r="AC260" s="226"/>
      <c r="AD260" s="226">
        <f t="shared" si="41"/>
        <v>6773</v>
      </c>
    </row>
    <row r="261" spans="1:32" ht="294" outlineLevel="3" thickBot="1" x14ac:dyDescent="0.25">
      <c r="A261" s="199" t="s">
        <v>941</v>
      </c>
      <c r="B261" s="483"/>
      <c r="C261" s="501"/>
      <c r="D261" s="483"/>
      <c r="E261" s="405" t="s">
        <v>687</v>
      </c>
      <c r="F261" s="417" t="s">
        <v>942</v>
      </c>
      <c r="G261" s="405" t="s">
        <v>938</v>
      </c>
      <c r="H261" s="420" t="s">
        <v>680</v>
      </c>
      <c r="I261" s="164">
        <v>4</v>
      </c>
      <c r="J261" s="163" t="s">
        <v>689</v>
      </c>
      <c r="K261" s="165" t="s">
        <v>338</v>
      </c>
      <c r="L261" s="138">
        <v>1</v>
      </c>
      <c r="M261" s="166">
        <f t="shared" si="47"/>
        <v>4</v>
      </c>
      <c r="N261" s="133" t="s">
        <v>291</v>
      </c>
      <c r="O261" s="69" t="s">
        <v>242</v>
      </c>
      <c r="P261" s="131">
        <v>5</v>
      </c>
      <c r="Q261" s="134">
        <f t="shared" si="54"/>
        <v>20</v>
      </c>
      <c r="R261" s="428"/>
      <c r="S261" s="428"/>
      <c r="T261" s="133"/>
      <c r="U261" s="405"/>
      <c r="V261" s="135"/>
      <c r="W261" s="133"/>
      <c r="X261" s="405"/>
      <c r="Y261" s="405"/>
      <c r="Z261" s="135"/>
      <c r="AA261" s="136"/>
      <c r="AB261" s="111"/>
      <c r="AC261" s="363"/>
      <c r="AD261" s="226">
        <f t="shared" si="41"/>
        <v>6774</v>
      </c>
    </row>
    <row r="262" spans="1:32" ht="128.25" outlineLevel="3" thickBot="1" x14ac:dyDescent="0.25">
      <c r="A262" s="243" t="s">
        <v>943</v>
      </c>
      <c r="B262" s="478"/>
      <c r="C262" s="487"/>
      <c r="D262" s="478"/>
      <c r="E262" s="405" t="s">
        <v>691</v>
      </c>
      <c r="F262" s="417" t="s">
        <v>944</v>
      </c>
      <c r="G262" s="405" t="s">
        <v>774</v>
      </c>
      <c r="H262" s="420" t="s">
        <v>238</v>
      </c>
      <c r="I262" s="164">
        <v>2</v>
      </c>
      <c r="J262" s="129" t="s">
        <v>945</v>
      </c>
      <c r="K262" s="165" t="s">
        <v>338</v>
      </c>
      <c r="L262" s="138">
        <v>1</v>
      </c>
      <c r="M262" s="166">
        <f t="shared" si="47"/>
        <v>2</v>
      </c>
      <c r="N262" s="133" t="s">
        <v>291</v>
      </c>
      <c r="O262" s="69" t="s">
        <v>242</v>
      </c>
      <c r="P262" s="131">
        <v>5</v>
      </c>
      <c r="Q262" s="134">
        <f t="shared" si="54"/>
        <v>10</v>
      </c>
      <c r="R262" s="428"/>
      <c r="S262" s="428"/>
      <c r="T262" s="133"/>
      <c r="U262" s="405"/>
      <c r="V262" s="135"/>
      <c r="W262" s="133"/>
      <c r="X262" s="405"/>
      <c r="Y262" s="405"/>
      <c r="Z262" s="135"/>
      <c r="AA262" s="136">
        <f>X262*Y262*Z262</f>
        <v>0</v>
      </c>
      <c r="AB262" s="111"/>
      <c r="AC262" s="363"/>
      <c r="AD262" s="226">
        <f t="shared" ref="AD262:AD325" si="55">VALUE(RIGHT((IF(A262="",0,A262)),5))</f>
        <v>6775</v>
      </c>
    </row>
    <row r="263" spans="1:32" ht="128.25" outlineLevel="3" thickBot="1" x14ac:dyDescent="0.25">
      <c r="A263" s="199" t="s">
        <v>946</v>
      </c>
      <c r="B263" s="477" t="s">
        <v>695</v>
      </c>
      <c r="C263" s="479" t="s">
        <v>696</v>
      </c>
      <c r="D263" s="477" t="s">
        <v>697</v>
      </c>
      <c r="E263" s="405" t="s">
        <v>698</v>
      </c>
      <c r="F263" s="405" t="s">
        <v>947</v>
      </c>
      <c r="G263" s="405" t="s">
        <v>774</v>
      </c>
      <c r="H263" s="420" t="s">
        <v>238</v>
      </c>
      <c r="I263" s="164">
        <v>1</v>
      </c>
      <c r="J263" s="163" t="s">
        <v>438</v>
      </c>
      <c r="K263" s="165" t="s">
        <v>338</v>
      </c>
      <c r="L263" s="138">
        <v>1</v>
      </c>
      <c r="M263" s="166">
        <f t="shared" si="47"/>
        <v>1</v>
      </c>
      <c r="N263" s="133" t="s">
        <v>291</v>
      </c>
      <c r="O263" s="69" t="s">
        <v>242</v>
      </c>
      <c r="P263" s="131">
        <v>5</v>
      </c>
      <c r="Q263" s="225">
        <f t="shared" si="48"/>
        <v>5</v>
      </c>
      <c r="R263" s="428"/>
      <c r="S263" s="428"/>
      <c r="T263" s="133"/>
      <c r="U263" s="405"/>
      <c r="V263" s="135"/>
      <c r="W263" s="133"/>
      <c r="X263" s="405"/>
      <c r="Y263" s="405"/>
      <c r="Z263" s="135"/>
      <c r="AA263" s="136">
        <f t="shared" ref="AA263:AA320" si="56">X263*Y263*Z263</f>
        <v>0</v>
      </c>
      <c r="AB263" s="111"/>
      <c r="AC263" s="363"/>
      <c r="AD263" s="226">
        <f t="shared" si="55"/>
        <v>5299</v>
      </c>
    </row>
    <row r="264" spans="1:32" ht="217.5" outlineLevel="3" thickBot="1" x14ac:dyDescent="0.25">
      <c r="A264" s="199" t="s">
        <v>948</v>
      </c>
      <c r="B264" s="478"/>
      <c r="C264" s="504"/>
      <c r="D264" s="478"/>
      <c r="E264" s="405" t="s">
        <v>949</v>
      </c>
      <c r="F264" s="405" t="s">
        <v>950</v>
      </c>
      <c r="G264" s="415" t="s">
        <v>782</v>
      </c>
      <c r="H264" s="420" t="s">
        <v>238</v>
      </c>
      <c r="I264" s="164">
        <v>2</v>
      </c>
      <c r="J264" s="163" t="s">
        <v>402</v>
      </c>
      <c r="K264" s="165" t="s">
        <v>338</v>
      </c>
      <c r="L264" s="138">
        <v>1</v>
      </c>
      <c r="M264" s="166">
        <f t="shared" si="47"/>
        <v>2</v>
      </c>
      <c r="N264" s="133" t="s">
        <v>291</v>
      </c>
      <c r="O264" s="69" t="s">
        <v>242</v>
      </c>
      <c r="P264" s="131">
        <v>5</v>
      </c>
      <c r="Q264" s="134">
        <f t="shared" si="48"/>
        <v>10</v>
      </c>
      <c r="R264" s="428"/>
      <c r="S264" s="428"/>
      <c r="T264" s="133"/>
      <c r="U264" s="405"/>
      <c r="V264" s="135"/>
      <c r="W264" s="133"/>
      <c r="X264" s="405"/>
      <c r="Y264" s="405"/>
      <c r="Z264" s="135"/>
      <c r="AA264" s="136"/>
      <c r="AB264" s="111"/>
      <c r="AC264" s="363"/>
      <c r="AD264" s="226">
        <f t="shared" si="55"/>
        <v>5300</v>
      </c>
    </row>
    <row r="265" spans="1:32" ht="128.25" outlineLevel="3" thickBot="1" x14ac:dyDescent="0.25">
      <c r="A265" s="199" t="s">
        <v>951</v>
      </c>
      <c r="B265" s="477" t="s">
        <v>704</v>
      </c>
      <c r="C265" s="479" t="s">
        <v>705</v>
      </c>
      <c r="D265" s="477" t="s">
        <v>706</v>
      </c>
      <c r="E265" s="405" t="s">
        <v>275</v>
      </c>
      <c r="F265" s="405" t="s">
        <v>707</v>
      </c>
      <c r="G265" s="405" t="s">
        <v>774</v>
      </c>
      <c r="H265" s="420" t="s">
        <v>238</v>
      </c>
      <c r="I265" s="164">
        <v>1</v>
      </c>
      <c r="J265" s="163" t="s">
        <v>277</v>
      </c>
      <c r="K265" s="165" t="s">
        <v>338</v>
      </c>
      <c r="L265" s="138">
        <v>1</v>
      </c>
      <c r="M265" s="166">
        <f t="shared" ref="M265:M266" si="57">I265*L265</f>
        <v>1</v>
      </c>
      <c r="N265" s="133" t="s">
        <v>291</v>
      </c>
      <c r="O265" s="420" t="s">
        <v>242</v>
      </c>
      <c r="P265" s="138">
        <v>5</v>
      </c>
      <c r="Q265" s="225">
        <f t="shared" ref="Q265:Q266" si="58">I265*L265*P265</f>
        <v>5</v>
      </c>
      <c r="R265" s="428"/>
      <c r="S265" s="428"/>
      <c r="T265" s="133"/>
      <c r="U265" s="405"/>
      <c r="V265" s="135"/>
      <c r="W265" s="133"/>
      <c r="X265" s="405"/>
      <c r="Y265" s="405"/>
      <c r="Z265" s="135"/>
      <c r="AA265" s="136"/>
      <c r="AB265" s="111"/>
      <c r="AC265" s="226"/>
      <c r="AD265" s="226">
        <f t="shared" si="55"/>
        <v>10961</v>
      </c>
    </row>
    <row r="266" spans="1:32" ht="128.25" outlineLevel="3" thickBot="1" x14ac:dyDescent="0.25">
      <c r="A266" s="199" t="s">
        <v>952</v>
      </c>
      <c r="B266" s="478"/>
      <c r="C266" s="480"/>
      <c r="D266" s="478"/>
      <c r="E266" s="405" t="s">
        <v>279</v>
      </c>
      <c r="F266" s="405" t="s">
        <v>953</v>
      </c>
      <c r="G266" s="415" t="s">
        <v>782</v>
      </c>
      <c r="H266" s="420" t="s">
        <v>238</v>
      </c>
      <c r="I266" s="164">
        <v>2</v>
      </c>
      <c r="J266" s="163" t="s">
        <v>412</v>
      </c>
      <c r="K266" s="165" t="s">
        <v>338</v>
      </c>
      <c r="L266" s="138">
        <v>1</v>
      </c>
      <c r="M266" s="166">
        <f t="shared" si="57"/>
        <v>2</v>
      </c>
      <c r="N266" s="133" t="s">
        <v>291</v>
      </c>
      <c r="O266" s="420" t="s">
        <v>242</v>
      </c>
      <c r="P266" s="138">
        <v>5</v>
      </c>
      <c r="Q266" s="225">
        <f t="shared" si="58"/>
        <v>10</v>
      </c>
      <c r="R266" s="428"/>
      <c r="S266" s="428"/>
      <c r="T266" s="133"/>
      <c r="U266" s="405"/>
      <c r="V266" s="135"/>
      <c r="W266" s="133"/>
      <c r="X266" s="405"/>
      <c r="Y266" s="405"/>
      <c r="Z266" s="135"/>
      <c r="AA266" s="136"/>
      <c r="AB266" s="111"/>
      <c r="AC266" s="226"/>
      <c r="AD266" s="226">
        <f t="shared" si="55"/>
        <v>10962</v>
      </c>
    </row>
    <row r="267" spans="1:32" ht="128.25" outlineLevel="3" thickBot="1" x14ac:dyDescent="0.25">
      <c r="A267" s="199" t="s">
        <v>954</v>
      </c>
      <c r="B267" s="477" t="s">
        <v>711</v>
      </c>
      <c r="C267" s="479" t="s">
        <v>712</v>
      </c>
      <c r="D267" s="477" t="s">
        <v>713</v>
      </c>
      <c r="E267" s="405" t="s">
        <v>698</v>
      </c>
      <c r="F267" s="405" t="s">
        <v>955</v>
      </c>
      <c r="G267" s="415" t="s">
        <v>782</v>
      </c>
      <c r="H267" s="420" t="s">
        <v>238</v>
      </c>
      <c r="I267" s="164">
        <v>2</v>
      </c>
      <c r="J267" s="163" t="s">
        <v>438</v>
      </c>
      <c r="K267" s="165" t="s">
        <v>338</v>
      </c>
      <c r="L267" s="138">
        <v>1</v>
      </c>
      <c r="M267" s="166">
        <f t="shared" si="47"/>
        <v>2</v>
      </c>
      <c r="N267" s="133" t="s">
        <v>291</v>
      </c>
      <c r="O267" s="69" t="s">
        <v>242</v>
      </c>
      <c r="P267" s="131">
        <v>5</v>
      </c>
      <c r="Q267" s="134">
        <f t="shared" si="48"/>
        <v>10</v>
      </c>
      <c r="R267" s="428"/>
      <c r="S267" s="428"/>
      <c r="T267" s="133"/>
      <c r="U267" s="405"/>
      <c r="V267" s="135"/>
      <c r="W267" s="133"/>
      <c r="X267" s="405"/>
      <c r="Y267" s="405"/>
      <c r="Z267" s="135"/>
      <c r="AA267" s="136"/>
      <c r="AB267" s="111"/>
      <c r="AC267" s="226"/>
      <c r="AD267" s="226">
        <f t="shared" si="55"/>
        <v>5301</v>
      </c>
    </row>
    <row r="268" spans="1:32" ht="217.5" outlineLevel="3" thickBot="1" x14ac:dyDescent="0.25">
      <c r="A268" s="199" t="s">
        <v>956</v>
      </c>
      <c r="B268" s="478"/>
      <c r="C268" s="480"/>
      <c r="D268" s="478"/>
      <c r="E268" s="405" t="s">
        <v>701</v>
      </c>
      <c r="F268" s="405" t="s">
        <v>957</v>
      </c>
      <c r="G268" s="415" t="s">
        <v>782</v>
      </c>
      <c r="H268" s="420" t="s">
        <v>238</v>
      </c>
      <c r="I268" s="164">
        <v>2</v>
      </c>
      <c r="J268" s="163" t="s">
        <v>402</v>
      </c>
      <c r="K268" s="165" t="s">
        <v>338</v>
      </c>
      <c r="L268" s="138">
        <v>1</v>
      </c>
      <c r="M268" s="166">
        <f t="shared" si="47"/>
        <v>2</v>
      </c>
      <c r="N268" s="133" t="s">
        <v>291</v>
      </c>
      <c r="O268" s="69" t="s">
        <v>242</v>
      </c>
      <c r="P268" s="131">
        <v>5</v>
      </c>
      <c r="Q268" s="134">
        <f t="shared" si="48"/>
        <v>10</v>
      </c>
      <c r="R268" s="428"/>
      <c r="S268" s="428"/>
      <c r="T268" s="133"/>
      <c r="U268" s="405"/>
      <c r="V268" s="135"/>
      <c r="W268" s="133"/>
      <c r="X268" s="405"/>
      <c r="Y268" s="405"/>
      <c r="Z268" s="135"/>
      <c r="AA268" s="136">
        <f>X268*Y268*Z268</f>
        <v>0</v>
      </c>
      <c r="AB268" s="111"/>
      <c r="AC268" s="226"/>
      <c r="AD268" s="226">
        <f t="shared" si="55"/>
        <v>5302</v>
      </c>
    </row>
    <row r="269" spans="1:32" ht="128.25" outlineLevel="3" thickBot="1" x14ac:dyDescent="0.25">
      <c r="A269" s="199" t="s">
        <v>958</v>
      </c>
      <c r="B269" s="477" t="s">
        <v>704</v>
      </c>
      <c r="C269" s="479" t="s">
        <v>716</v>
      </c>
      <c r="D269" s="477" t="s">
        <v>706</v>
      </c>
      <c r="E269" s="405" t="s">
        <v>275</v>
      </c>
      <c r="F269" s="405" t="s">
        <v>707</v>
      </c>
      <c r="G269" s="405" t="s">
        <v>774</v>
      </c>
      <c r="H269" s="420" t="s">
        <v>238</v>
      </c>
      <c r="I269" s="164">
        <v>1</v>
      </c>
      <c r="J269" s="163" t="s">
        <v>277</v>
      </c>
      <c r="K269" s="165" t="s">
        <v>338</v>
      </c>
      <c r="L269" s="138">
        <v>1</v>
      </c>
      <c r="M269" s="166">
        <f t="shared" si="47"/>
        <v>1</v>
      </c>
      <c r="N269" s="133" t="s">
        <v>291</v>
      </c>
      <c r="O269" s="69" t="s">
        <v>242</v>
      </c>
      <c r="P269" s="131">
        <v>5</v>
      </c>
      <c r="Q269" s="134">
        <f t="shared" si="48"/>
        <v>5</v>
      </c>
      <c r="R269" s="428"/>
      <c r="S269" s="428"/>
      <c r="T269" s="133"/>
      <c r="U269" s="405"/>
      <c r="V269" s="135"/>
      <c r="W269" s="133"/>
      <c r="X269" s="405"/>
      <c r="Y269" s="405"/>
      <c r="Z269" s="135"/>
      <c r="AA269" s="136">
        <f t="shared" ref="AA269" si="59">X269*Y269*Z269</f>
        <v>0</v>
      </c>
      <c r="AB269" s="111"/>
      <c r="AC269" s="226"/>
      <c r="AD269" s="226">
        <f t="shared" si="55"/>
        <v>5303</v>
      </c>
    </row>
    <row r="270" spans="1:32" ht="128.25" outlineLevel="3" thickBot="1" x14ac:dyDescent="0.25">
      <c r="A270" s="199" t="s">
        <v>959</v>
      </c>
      <c r="B270" s="478"/>
      <c r="C270" s="480"/>
      <c r="D270" s="478"/>
      <c r="E270" s="405" t="s">
        <v>279</v>
      </c>
      <c r="F270" s="405" t="s">
        <v>953</v>
      </c>
      <c r="G270" s="415" t="s">
        <v>782</v>
      </c>
      <c r="H270" s="420" t="s">
        <v>238</v>
      </c>
      <c r="I270" s="164">
        <v>2</v>
      </c>
      <c r="J270" s="163" t="s">
        <v>412</v>
      </c>
      <c r="K270" s="165" t="s">
        <v>338</v>
      </c>
      <c r="L270" s="138">
        <v>1</v>
      </c>
      <c r="M270" s="166">
        <f t="shared" si="47"/>
        <v>2</v>
      </c>
      <c r="N270" s="133" t="s">
        <v>291</v>
      </c>
      <c r="O270" s="69" t="s">
        <v>242</v>
      </c>
      <c r="P270" s="131">
        <v>5</v>
      </c>
      <c r="Q270" s="134">
        <f t="shared" si="48"/>
        <v>10</v>
      </c>
      <c r="R270" s="428"/>
      <c r="S270" s="428"/>
      <c r="T270" s="133"/>
      <c r="U270" s="405"/>
      <c r="V270" s="135"/>
      <c r="W270" s="133"/>
      <c r="X270" s="405"/>
      <c r="Y270" s="405"/>
      <c r="Z270" s="135"/>
      <c r="AA270" s="136"/>
      <c r="AB270" s="111"/>
      <c r="AC270" s="226"/>
      <c r="AD270" s="226">
        <f t="shared" si="55"/>
        <v>5304</v>
      </c>
    </row>
    <row r="271" spans="1:32" ht="128.25" outlineLevel="3" thickBot="1" x14ac:dyDescent="0.25">
      <c r="A271" s="201" t="s">
        <v>960</v>
      </c>
      <c r="B271" s="506" t="s">
        <v>718</v>
      </c>
      <c r="C271" s="507" t="s">
        <v>719</v>
      </c>
      <c r="D271" s="506" t="s">
        <v>720</v>
      </c>
      <c r="E271" s="411" t="s">
        <v>352</v>
      </c>
      <c r="F271" s="405" t="s">
        <v>721</v>
      </c>
      <c r="G271" s="405" t="s">
        <v>774</v>
      </c>
      <c r="H271" s="420" t="s">
        <v>238</v>
      </c>
      <c r="I271" s="164">
        <v>1</v>
      </c>
      <c r="J271" s="411" t="s">
        <v>302</v>
      </c>
      <c r="K271" s="165" t="s">
        <v>338</v>
      </c>
      <c r="L271" s="411">
        <v>1</v>
      </c>
      <c r="M271" s="166">
        <f t="shared" si="47"/>
        <v>1</v>
      </c>
      <c r="N271" s="133" t="s">
        <v>303</v>
      </c>
      <c r="O271" s="420" t="s">
        <v>242</v>
      </c>
      <c r="P271" s="138">
        <v>5</v>
      </c>
      <c r="Q271" s="225">
        <f t="shared" ref="Q271:Q276" si="60">P271*L271*I271</f>
        <v>5</v>
      </c>
      <c r="R271" s="428"/>
      <c r="S271" s="428"/>
      <c r="T271" s="133"/>
      <c r="U271" s="405"/>
      <c r="V271" s="135"/>
      <c r="W271" s="133"/>
      <c r="X271" s="405"/>
      <c r="Y271" s="405"/>
      <c r="Z271" s="135"/>
      <c r="AA271" s="136">
        <f t="shared" si="56"/>
        <v>0</v>
      </c>
      <c r="AB271" s="111"/>
      <c r="AC271" s="363"/>
      <c r="AD271" s="226">
        <f t="shared" si="55"/>
        <v>10963</v>
      </c>
    </row>
    <row r="272" spans="1:32" s="242" customFormat="1" ht="128.25" outlineLevel="3" thickBot="1" x14ac:dyDescent="0.25">
      <c r="A272" s="198" t="s">
        <v>961</v>
      </c>
      <c r="B272" s="506"/>
      <c r="C272" s="507"/>
      <c r="D272" s="506"/>
      <c r="E272" s="411" t="s">
        <v>355</v>
      </c>
      <c r="F272" s="405" t="s">
        <v>721</v>
      </c>
      <c r="G272" s="405" t="s">
        <v>774</v>
      </c>
      <c r="H272" s="420" t="s">
        <v>238</v>
      </c>
      <c r="I272" s="164">
        <v>1</v>
      </c>
      <c r="J272" s="411" t="s">
        <v>307</v>
      </c>
      <c r="K272" s="165" t="s">
        <v>338</v>
      </c>
      <c r="L272" s="411">
        <v>1</v>
      </c>
      <c r="M272" s="166">
        <f t="shared" si="47"/>
        <v>1</v>
      </c>
      <c r="N272" s="133" t="s">
        <v>303</v>
      </c>
      <c r="O272" s="420" t="s">
        <v>242</v>
      </c>
      <c r="P272" s="138">
        <v>5</v>
      </c>
      <c r="Q272" s="225">
        <f t="shared" si="60"/>
        <v>5</v>
      </c>
      <c r="R272" s="428"/>
      <c r="S272" s="428"/>
      <c r="T272" s="133"/>
      <c r="U272" s="405"/>
      <c r="V272" s="135"/>
      <c r="W272" s="133"/>
      <c r="X272" s="405"/>
      <c r="Y272" s="405"/>
      <c r="Z272" s="135"/>
      <c r="AA272" s="136"/>
      <c r="AB272" s="111"/>
      <c r="AC272" s="239"/>
      <c r="AD272" s="226">
        <f t="shared" si="55"/>
        <v>10964</v>
      </c>
      <c r="AE272" s="239"/>
      <c r="AF272" s="346"/>
    </row>
    <row r="273" spans="1:32" s="239" customFormat="1" ht="128.25" outlineLevel="3" thickBot="1" x14ac:dyDescent="0.25">
      <c r="A273" s="201" t="s">
        <v>962</v>
      </c>
      <c r="B273" s="506" t="s">
        <v>724</v>
      </c>
      <c r="C273" s="507" t="s">
        <v>725</v>
      </c>
      <c r="D273" s="506" t="s">
        <v>726</v>
      </c>
      <c r="E273" s="411" t="s">
        <v>698</v>
      </c>
      <c r="F273" s="405" t="s">
        <v>721</v>
      </c>
      <c r="G273" s="405" t="s">
        <v>774</v>
      </c>
      <c r="H273" s="420" t="s">
        <v>238</v>
      </c>
      <c r="I273" s="164">
        <v>1</v>
      </c>
      <c r="J273" s="411" t="s">
        <v>302</v>
      </c>
      <c r="K273" s="165" t="s">
        <v>338</v>
      </c>
      <c r="L273" s="411">
        <v>1</v>
      </c>
      <c r="M273" s="166">
        <f t="shared" si="47"/>
        <v>1</v>
      </c>
      <c r="N273" s="133" t="s">
        <v>303</v>
      </c>
      <c r="O273" s="420" t="s">
        <v>242</v>
      </c>
      <c r="P273" s="138">
        <v>5</v>
      </c>
      <c r="Q273" s="225">
        <f t="shared" si="60"/>
        <v>5</v>
      </c>
      <c r="R273" s="428"/>
      <c r="S273" s="428"/>
      <c r="T273" s="133"/>
      <c r="U273" s="405"/>
      <c r="V273" s="135"/>
      <c r="W273" s="133"/>
      <c r="X273" s="405"/>
      <c r="Y273" s="405"/>
      <c r="Z273" s="135"/>
      <c r="AA273" s="136"/>
      <c r="AB273" s="111"/>
      <c r="AD273" s="226">
        <f t="shared" si="55"/>
        <v>10965</v>
      </c>
    </row>
    <row r="274" spans="1:32" s="242" customFormat="1" ht="128.25" outlineLevel="3" thickBot="1" x14ac:dyDescent="0.25">
      <c r="A274" s="198" t="s">
        <v>963</v>
      </c>
      <c r="B274" s="506"/>
      <c r="C274" s="507"/>
      <c r="D274" s="506"/>
      <c r="E274" s="411" t="s">
        <v>440</v>
      </c>
      <c r="F274" s="405" t="s">
        <v>721</v>
      </c>
      <c r="G274" s="405" t="s">
        <v>774</v>
      </c>
      <c r="H274" s="420" t="s">
        <v>238</v>
      </c>
      <c r="I274" s="164">
        <v>1</v>
      </c>
      <c r="J274" s="411" t="s">
        <v>307</v>
      </c>
      <c r="K274" s="165" t="s">
        <v>338</v>
      </c>
      <c r="L274" s="411">
        <v>1</v>
      </c>
      <c r="M274" s="166">
        <f t="shared" si="47"/>
        <v>1</v>
      </c>
      <c r="N274" s="133" t="s">
        <v>303</v>
      </c>
      <c r="O274" s="420" t="s">
        <v>242</v>
      </c>
      <c r="P274" s="138">
        <v>5</v>
      </c>
      <c r="Q274" s="225">
        <f t="shared" si="60"/>
        <v>5</v>
      </c>
      <c r="R274" s="428"/>
      <c r="S274" s="428"/>
      <c r="T274" s="133"/>
      <c r="U274" s="405"/>
      <c r="V274" s="135"/>
      <c r="W274" s="133"/>
      <c r="X274" s="405"/>
      <c r="Y274" s="405"/>
      <c r="Z274" s="135"/>
      <c r="AA274" s="136"/>
      <c r="AB274" s="111"/>
      <c r="AC274" s="239"/>
      <c r="AD274" s="226">
        <f t="shared" si="55"/>
        <v>10966</v>
      </c>
      <c r="AE274" s="239"/>
      <c r="AF274" s="346"/>
    </row>
    <row r="275" spans="1:32" s="239" customFormat="1" ht="128.25" outlineLevel="3" thickBot="1" x14ac:dyDescent="0.25">
      <c r="A275" s="201" t="s">
        <v>964</v>
      </c>
      <c r="B275" s="506" t="s">
        <v>729</v>
      </c>
      <c r="C275" s="507" t="s">
        <v>730</v>
      </c>
      <c r="D275" s="506" t="s">
        <v>731</v>
      </c>
      <c r="E275" s="411" t="s">
        <v>352</v>
      </c>
      <c r="F275" s="411" t="s">
        <v>441</v>
      </c>
      <c r="G275" s="405" t="s">
        <v>774</v>
      </c>
      <c r="H275" s="420" t="s">
        <v>238</v>
      </c>
      <c r="I275" s="164">
        <v>1</v>
      </c>
      <c r="J275" s="411" t="s">
        <v>302</v>
      </c>
      <c r="K275" s="165" t="s">
        <v>338</v>
      </c>
      <c r="L275" s="411">
        <v>1</v>
      </c>
      <c r="M275" s="166">
        <f t="shared" si="47"/>
        <v>1</v>
      </c>
      <c r="N275" s="133" t="s">
        <v>303</v>
      </c>
      <c r="O275" s="420" t="s">
        <v>242</v>
      </c>
      <c r="P275" s="138">
        <v>5</v>
      </c>
      <c r="Q275" s="225">
        <f t="shared" si="60"/>
        <v>5</v>
      </c>
      <c r="R275" s="428"/>
      <c r="S275" s="428"/>
      <c r="T275" s="133"/>
      <c r="U275" s="405"/>
      <c r="V275" s="135"/>
      <c r="W275" s="133"/>
      <c r="X275" s="405"/>
      <c r="Y275" s="405"/>
      <c r="Z275" s="135"/>
      <c r="AA275" s="136"/>
      <c r="AB275" s="111"/>
      <c r="AD275" s="226">
        <f t="shared" si="55"/>
        <v>10967</v>
      </c>
    </row>
    <row r="276" spans="1:32" s="242" customFormat="1" ht="128.25" outlineLevel="3" thickBot="1" x14ac:dyDescent="0.25">
      <c r="A276" s="198" t="s">
        <v>965</v>
      </c>
      <c r="B276" s="506"/>
      <c r="C276" s="507"/>
      <c r="D276" s="506"/>
      <c r="E276" s="411" t="s">
        <v>355</v>
      </c>
      <c r="F276" s="411" t="s">
        <v>966</v>
      </c>
      <c r="G276" s="415" t="s">
        <v>782</v>
      </c>
      <c r="H276" s="420" t="s">
        <v>238</v>
      </c>
      <c r="I276" s="164">
        <v>2</v>
      </c>
      <c r="J276" s="411" t="s">
        <v>307</v>
      </c>
      <c r="K276" s="165" t="s">
        <v>338</v>
      </c>
      <c r="L276" s="411">
        <v>1</v>
      </c>
      <c r="M276" s="166">
        <f t="shared" si="47"/>
        <v>2</v>
      </c>
      <c r="N276" s="133" t="s">
        <v>303</v>
      </c>
      <c r="O276" s="420" t="s">
        <v>242</v>
      </c>
      <c r="P276" s="138">
        <v>5</v>
      </c>
      <c r="Q276" s="225">
        <f t="shared" si="60"/>
        <v>10</v>
      </c>
      <c r="R276" s="428"/>
      <c r="S276" s="428"/>
      <c r="T276" s="133"/>
      <c r="U276" s="405"/>
      <c r="V276" s="135"/>
      <c r="W276" s="133"/>
      <c r="X276" s="405"/>
      <c r="Y276" s="405"/>
      <c r="Z276" s="135"/>
      <c r="AA276" s="136"/>
      <c r="AB276" s="111"/>
      <c r="AC276" s="239"/>
      <c r="AD276" s="226">
        <f t="shared" si="55"/>
        <v>10968</v>
      </c>
      <c r="AE276" s="239"/>
      <c r="AF276" s="346"/>
    </row>
    <row r="277" spans="1:32" s="239" customFormat="1" ht="179.25" outlineLevel="3" thickBot="1" x14ac:dyDescent="0.25">
      <c r="A277" s="199" t="s">
        <v>967</v>
      </c>
      <c r="B277" s="423" t="s">
        <v>765</v>
      </c>
      <c r="C277" s="412" t="s">
        <v>766</v>
      </c>
      <c r="D277" s="423" t="s">
        <v>767</v>
      </c>
      <c r="E277" s="405" t="s">
        <v>768</v>
      </c>
      <c r="F277" s="405" t="s">
        <v>968</v>
      </c>
      <c r="G277" s="415" t="s">
        <v>782</v>
      </c>
      <c r="H277" s="420" t="s">
        <v>238</v>
      </c>
      <c r="I277" s="164">
        <v>2</v>
      </c>
      <c r="J277" s="163" t="s">
        <v>770</v>
      </c>
      <c r="K277" s="165" t="s">
        <v>338</v>
      </c>
      <c r="L277" s="138">
        <v>1</v>
      </c>
      <c r="M277" s="166">
        <f t="shared" si="47"/>
        <v>2</v>
      </c>
      <c r="N277" s="133" t="s">
        <v>291</v>
      </c>
      <c r="O277" s="69" t="s">
        <v>242</v>
      </c>
      <c r="P277" s="131">
        <v>5</v>
      </c>
      <c r="Q277" s="134">
        <f t="shared" si="48"/>
        <v>10</v>
      </c>
      <c r="R277" s="428"/>
      <c r="S277" s="428"/>
      <c r="T277" s="133"/>
      <c r="U277" s="405"/>
      <c r="V277" s="135"/>
      <c r="W277" s="133"/>
      <c r="X277" s="405"/>
      <c r="Y277" s="405"/>
      <c r="Z277" s="135"/>
      <c r="AA277" s="136"/>
      <c r="AB277" s="111"/>
      <c r="AD277" s="226">
        <f t="shared" si="55"/>
        <v>5305</v>
      </c>
    </row>
    <row r="278" spans="1:32" s="242" customFormat="1" ht="128.25" outlineLevel="3" thickBot="1" x14ac:dyDescent="0.25">
      <c r="A278" s="240" t="s">
        <v>969</v>
      </c>
      <c r="B278" s="518" t="s">
        <v>735</v>
      </c>
      <c r="C278" s="495" t="s">
        <v>736</v>
      </c>
      <c r="D278" s="518" t="s">
        <v>737</v>
      </c>
      <c r="E278" s="409" t="s">
        <v>235</v>
      </c>
      <c r="F278" s="409" t="s">
        <v>738</v>
      </c>
      <c r="G278" s="415" t="s">
        <v>782</v>
      </c>
      <c r="H278" s="295" t="s">
        <v>238</v>
      </c>
      <c r="I278" s="409">
        <v>2</v>
      </c>
      <c r="J278" s="409" t="s">
        <v>239</v>
      </c>
      <c r="K278" s="165" t="s">
        <v>338</v>
      </c>
      <c r="L278" s="409">
        <v>1</v>
      </c>
      <c r="M278" s="231">
        <f t="shared" si="47"/>
        <v>2</v>
      </c>
      <c r="N278" s="232" t="s">
        <v>241</v>
      </c>
      <c r="O278" s="241" t="s">
        <v>242</v>
      </c>
      <c r="P278" s="234">
        <v>5</v>
      </c>
      <c r="Q278" s="235">
        <f t="shared" si="48"/>
        <v>10</v>
      </c>
      <c r="R278" s="428"/>
      <c r="S278" s="428"/>
      <c r="T278" s="133"/>
      <c r="U278" s="405"/>
      <c r="V278" s="135"/>
      <c r="W278" s="133"/>
      <c r="X278" s="405"/>
      <c r="Y278" s="405"/>
      <c r="Z278" s="135"/>
      <c r="AA278" s="136"/>
      <c r="AB278" s="111"/>
      <c r="AC278" s="239"/>
      <c r="AD278" s="226">
        <f t="shared" si="55"/>
        <v>11411</v>
      </c>
      <c r="AE278" s="239"/>
      <c r="AF278" s="346"/>
    </row>
    <row r="279" spans="1:32" s="239" customFormat="1" ht="128.25" outlineLevel="3" thickBot="1" x14ac:dyDescent="0.25">
      <c r="A279" s="230" t="s">
        <v>970</v>
      </c>
      <c r="B279" s="518"/>
      <c r="C279" s="519"/>
      <c r="D279" s="518"/>
      <c r="E279" s="410" t="s">
        <v>740</v>
      </c>
      <c r="F279" s="410" t="s">
        <v>741</v>
      </c>
      <c r="G279" s="415" t="s">
        <v>782</v>
      </c>
      <c r="H279" s="295" t="s">
        <v>238</v>
      </c>
      <c r="I279" s="410">
        <v>2</v>
      </c>
      <c r="J279" s="410" t="s">
        <v>742</v>
      </c>
      <c r="K279" s="165" t="s">
        <v>338</v>
      </c>
      <c r="L279" s="410">
        <v>1</v>
      </c>
      <c r="M279" s="231">
        <f t="shared" si="47"/>
        <v>2</v>
      </c>
      <c r="N279" s="232" t="s">
        <v>241</v>
      </c>
      <c r="O279" s="233" t="s">
        <v>242</v>
      </c>
      <c r="P279" s="234">
        <v>5</v>
      </c>
      <c r="Q279" s="235">
        <f t="shared" si="48"/>
        <v>10</v>
      </c>
      <c r="R279" s="428"/>
      <c r="S279" s="428"/>
      <c r="T279" s="133"/>
      <c r="U279" s="405"/>
      <c r="V279" s="135"/>
      <c r="W279" s="133"/>
      <c r="X279" s="405"/>
      <c r="Y279" s="405"/>
      <c r="Z279" s="135"/>
      <c r="AA279" s="136"/>
      <c r="AB279" s="111"/>
      <c r="AD279" s="226">
        <f t="shared" si="55"/>
        <v>11412</v>
      </c>
    </row>
    <row r="280" spans="1:32" ht="128.25" outlineLevel="3" thickBot="1" x14ac:dyDescent="0.25">
      <c r="A280" s="240" t="s">
        <v>971</v>
      </c>
      <c r="B280" s="493" t="s">
        <v>744</v>
      </c>
      <c r="C280" s="495" t="s">
        <v>745</v>
      </c>
      <c r="D280" s="493" t="s">
        <v>746</v>
      </c>
      <c r="E280" s="409" t="s">
        <v>235</v>
      </c>
      <c r="F280" s="409" t="s">
        <v>747</v>
      </c>
      <c r="G280" s="415" t="s">
        <v>782</v>
      </c>
      <c r="H280" s="295" t="s">
        <v>238</v>
      </c>
      <c r="I280" s="409">
        <v>2</v>
      </c>
      <c r="J280" s="409" t="s">
        <v>239</v>
      </c>
      <c r="K280" s="165" t="s">
        <v>338</v>
      </c>
      <c r="L280" s="409">
        <v>1</v>
      </c>
      <c r="M280" s="231">
        <f t="shared" si="47"/>
        <v>2</v>
      </c>
      <c r="N280" s="232" t="s">
        <v>241</v>
      </c>
      <c r="O280" s="241" t="s">
        <v>242</v>
      </c>
      <c r="P280" s="234">
        <v>5</v>
      </c>
      <c r="Q280" s="235">
        <f t="shared" si="48"/>
        <v>10</v>
      </c>
      <c r="R280" s="428"/>
      <c r="S280" s="428"/>
      <c r="T280" s="133"/>
      <c r="U280" s="405"/>
      <c r="V280" s="135"/>
      <c r="W280" s="133"/>
      <c r="X280" s="405"/>
      <c r="Y280" s="405"/>
      <c r="Z280" s="135"/>
      <c r="AA280" s="136"/>
      <c r="AB280" s="111"/>
      <c r="AC280" s="363"/>
      <c r="AD280" s="226">
        <f t="shared" si="55"/>
        <v>11413</v>
      </c>
    </row>
    <row r="281" spans="1:32" ht="128.25" outlineLevel="3" thickBot="1" x14ac:dyDescent="0.25">
      <c r="A281" s="230" t="s">
        <v>972</v>
      </c>
      <c r="B281" s="518"/>
      <c r="C281" s="519"/>
      <c r="D281" s="518"/>
      <c r="E281" s="410" t="s">
        <v>740</v>
      </c>
      <c r="F281" s="410" t="s">
        <v>749</v>
      </c>
      <c r="G281" s="415" t="s">
        <v>782</v>
      </c>
      <c r="H281" s="295" t="s">
        <v>238</v>
      </c>
      <c r="I281" s="410">
        <v>2</v>
      </c>
      <c r="J281" s="410" t="s">
        <v>742</v>
      </c>
      <c r="K281" s="165" t="s">
        <v>338</v>
      </c>
      <c r="L281" s="410">
        <v>1</v>
      </c>
      <c r="M281" s="231">
        <f t="shared" si="47"/>
        <v>2</v>
      </c>
      <c r="N281" s="232" t="s">
        <v>241</v>
      </c>
      <c r="O281" s="233" t="s">
        <v>242</v>
      </c>
      <c r="P281" s="234">
        <v>5</v>
      </c>
      <c r="Q281" s="235">
        <f t="shared" si="48"/>
        <v>10</v>
      </c>
      <c r="R281" s="428"/>
      <c r="S281" s="428"/>
      <c r="T281" s="133"/>
      <c r="U281" s="405"/>
      <c r="V281" s="135"/>
      <c r="W281" s="133"/>
      <c r="X281" s="405"/>
      <c r="Y281" s="405"/>
      <c r="Z281" s="135"/>
      <c r="AA281" s="136">
        <f t="shared" si="56"/>
        <v>0</v>
      </c>
      <c r="AB281" s="111"/>
      <c r="AC281" s="363"/>
      <c r="AD281" s="226">
        <f t="shared" si="55"/>
        <v>11414</v>
      </c>
    </row>
    <row r="282" spans="1:32" ht="153.75" outlineLevel="3" thickBot="1" x14ac:dyDescent="0.25">
      <c r="A282" s="240" t="s">
        <v>973</v>
      </c>
      <c r="B282" s="493" t="s">
        <v>751</v>
      </c>
      <c r="C282" s="495" t="s">
        <v>752</v>
      </c>
      <c r="D282" s="493" t="s">
        <v>753</v>
      </c>
      <c r="E282" s="409" t="s">
        <v>235</v>
      </c>
      <c r="F282" s="409" t="s">
        <v>754</v>
      </c>
      <c r="G282" s="415" t="s">
        <v>782</v>
      </c>
      <c r="H282" s="295" t="s">
        <v>238</v>
      </c>
      <c r="I282" s="409">
        <v>2</v>
      </c>
      <c r="J282" s="409" t="s">
        <v>239</v>
      </c>
      <c r="K282" s="165" t="s">
        <v>338</v>
      </c>
      <c r="L282" s="409">
        <v>1</v>
      </c>
      <c r="M282" s="231">
        <f t="shared" si="47"/>
        <v>2</v>
      </c>
      <c r="N282" s="232" t="s">
        <v>241</v>
      </c>
      <c r="O282" s="241" t="s">
        <v>242</v>
      </c>
      <c r="P282" s="234">
        <v>5</v>
      </c>
      <c r="Q282" s="235">
        <f t="shared" si="48"/>
        <v>10</v>
      </c>
      <c r="R282" s="428"/>
      <c r="S282" s="428"/>
      <c r="T282" s="133"/>
      <c r="U282" s="405"/>
      <c r="V282" s="135"/>
      <c r="W282" s="133"/>
      <c r="X282" s="405"/>
      <c r="Y282" s="405"/>
      <c r="Z282" s="135"/>
      <c r="AA282" s="136"/>
      <c r="AB282" s="111"/>
      <c r="AC282" s="363"/>
      <c r="AD282" s="226">
        <f t="shared" si="55"/>
        <v>11415</v>
      </c>
    </row>
    <row r="283" spans="1:32" ht="204.75" outlineLevel="3" thickBot="1" x14ac:dyDescent="0.25">
      <c r="A283" s="230" t="s">
        <v>974</v>
      </c>
      <c r="B283" s="518"/>
      <c r="C283" s="519"/>
      <c r="D283" s="518"/>
      <c r="E283" s="410" t="s">
        <v>740</v>
      </c>
      <c r="F283" s="410" t="s">
        <v>756</v>
      </c>
      <c r="G283" s="415" t="s">
        <v>782</v>
      </c>
      <c r="H283" s="295" t="s">
        <v>238</v>
      </c>
      <c r="I283" s="410">
        <v>2</v>
      </c>
      <c r="J283" s="410" t="s">
        <v>742</v>
      </c>
      <c r="K283" s="165" t="s">
        <v>338</v>
      </c>
      <c r="L283" s="410">
        <v>1</v>
      </c>
      <c r="M283" s="231">
        <f t="shared" si="47"/>
        <v>2</v>
      </c>
      <c r="N283" s="232" t="s">
        <v>241</v>
      </c>
      <c r="O283" s="233" t="s">
        <v>242</v>
      </c>
      <c r="P283" s="234">
        <v>5</v>
      </c>
      <c r="Q283" s="235">
        <f t="shared" si="48"/>
        <v>10</v>
      </c>
      <c r="R283" s="428"/>
      <c r="S283" s="428"/>
      <c r="T283" s="133"/>
      <c r="U283" s="405"/>
      <c r="V283" s="135"/>
      <c r="W283" s="133"/>
      <c r="X283" s="405"/>
      <c r="Y283" s="405"/>
      <c r="Z283" s="135"/>
      <c r="AA283" s="136"/>
      <c r="AB283" s="111"/>
      <c r="AC283" s="363"/>
      <c r="AD283" s="226">
        <f t="shared" si="55"/>
        <v>11416</v>
      </c>
    </row>
    <row r="284" spans="1:32" ht="128.25" outlineLevel="3" thickBot="1" x14ac:dyDescent="0.25">
      <c r="A284" s="240" t="s">
        <v>975</v>
      </c>
      <c r="B284" s="493" t="s">
        <v>758</v>
      </c>
      <c r="C284" s="495" t="s">
        <v>759</v>
      </c>
      <c r="D284" s="493" t="s">
        <v>760</v>
      </c>
      <c r="E284" s="409" t="s">
        <v>235</v>
      </c>
      <c r="F284" s="409" t="s">
        <v>761</v>
      </c>
      <c r="G284" s="415" t="s">
        <v>782</v>
      </c>
      <c r="H284" s="295" t="s">
        <v>238</v>
      </c>
      <c r="I284" s="409">
        <v>2</v>
      </c>
      <c r="J284" s="409" t="s">
        <v>239</v>
      </c>
      <c r="K284" s="165" t="s">
        <v>338</v>
      </c>
      <c r="L284" s="409">
        <v>1</v>
      </c>
      <c r="M284" s="231">
        <f t="shared" si="47"/>
        <v>2</v>
      </c>
      <c r="N284" s="232" t="s">
        <v>241</v>
      </c>
      <c r="O284" s="241" t="s">
        <v>242</v>
      </c>
      <c r="P284" s="234">
        <v>5</v>
      </c>
      <c r="Q284" s="235">
        <f t="shared" si="48"/>
        <v>10</v>
      </c>
      <c r="R284" s="428"/>
      <c r="S284" s="428"/>
      <c r="T284" s="133"/>
      <c r="U284" s="405"/>
      <c r="V284" s="135"/>
      <c r="W284" s="133"/>
      <c r="X284" s="405"/>
      <c r="Y284" s="405"/>
      <c r="Z284" s="135"/>
      <c r="AA284" s="136"/>
      <c r="AB284" s="111"/>
      <c r="AC284" s="363"/>
      <c r="AD284" s="226">
        <f t="shared" si="55"/>
        <v>11417</v>
      </c>
    </row>
    <row r="285" spans="1:32" ht="128.25" outlineLevel="3" thickBot="1" x14ac:dyDescent="0.25">
      <c r="A285" s="230" t="s">
        <v>976</v>
      </c>
      <c r="B285" s="518"/>
      <c r="C285" s="519"/>
      <c r="D285" s="518"/>
      <c r="E285" s="410" t="s">
        <v>740</v>
      </c>
      <c r="F285" s="410" t="s">
        <v>763</v>
      </c>
      <c r="G285" s="415" t="s">
        <v>782</v>
      </c>
      <c r="H285" s="295" t="s">
        <v>238</v>
      </c>
      <c r="I285" s="410">
        <v>2</v>
      </c>
      <c r="J285" s="410" t="s">
        <v>742</v>
      </c>
      <c r="K285" s="165" t="s">
        <v>338</v>
      </c>
      <c r="L285" s="410">
        <v>1</v>
      </c>
      <c r="M285" s="231">
        <f t="shared" si="47"/>
        <v>2</v>
      </c>
      <c r="N285" s="232" t="s">
        <v>241</v>
      </c>
      <c r="O285" s="233" t="s">
        <v>242</v>
      </c>
      <c r="P285" s="234">
        <v>5</v>
      </c>
      <c r="Q285" s="235">
        <f t="shared" si="48"/>
        <v>10</v>
      </c>
      <c r="R285" s="428"/>
      <c r="S285" s="428"/>
      <c r="T285" s="133"/>
      <c r="U285" s="405"/>
      <c r="V285" s="135"/>
      <c r="W285" s="133"/>
      <c r="X285" s="405"/>
      <c r="Y285" s="405"/>
      <c r="Z285" s="135"/>
      <c r="AA285" s="136">
        <f t="shared" si="56"/>
        <v>0</v>
      </c>
      <c r="AB285" s="111"/>
      <c r="AC285" s="363"/>
      <c r="AD285" s="226">
        <f t="shared" si="55"/>
        <v>11418</v>
      </c>
    </row>
    <row r="286" spans="1:32" ht="128.25" outlineLevel="3" thickBot="1" x14ac:dyDescent="0.25">
      <c r="A286" s="199" t="s">
        <v>977</v>
      </c>
      <c r="B286" s="423" t="s">
        <v>978</v>
      </c>
      <c r="C286" s="423"/>
      <c r="D286" s="423" t="s">
        <v>979</v>
      </c>
      <c r="E286" s="405" t="s">
        <v>980</v>
      </c>
      <c r="F286" s="405" t="s">
        <v>981</v>
      </c>
      <c r="G286" s="415" t="s">
        <v>782</v>
      </c>
      <c r="H286" s="420" t="s">
        <v>238</v>
      </c>
      <c r="I286" s="164">
        <v>2</v>
      </c>
      <c r="J286" s="163" t="s">
        <v>770</v>
      </c>
      <c r="K286" s="165" t="s">
        <v>338</v>
      </c>
      <c r="L286" s="138">
        <v>1</v>
      </c>
      <c r="M286" s="166">
        <f t="shared" si="47"/>
        <v>2</v>
      </c>
      <c r="N286" s="133" t="s">
        <v>291</v>
      </c>
      <c r="O286" s="69" t="s">
        <v>242</v>
      </c>
      <c r="P286" s="131">
        <v>5</v>
      </c>
      <c r="Q286" s="134">
        <f t="shared" si="48"/>
        <v>10</v>
      </c>
      <c r="R286" s="428"/>
      <c r="S286" s="428"/>
      <c r="T286" s="133"/>
      <c r="U286" s="405"/>
      <c r="V286" s="135"/>
      <c r="W286" s="133"/>
      <c r="X286" s="405"/>
      <c r="Y286" s="405"/>
      <c r="Z286" s="135"/>
      <c r="AA286" s="136"/>
      <c r="AB286" s="111"/>
      <c r="AC286" s="363"/>
      <c r="AD286" s="226">
        <f t="shared" si="55"/>
        <v>6776</v>
      </c>
    </row>
    <row r="287" spans="1:32" ht="179.25" outlineLevel="3" thickBot="1" x14ac:dyDescent="0.25">
      <c r="A287" s="199" t="s">
        <v>982</v>
      </c>
      <c r="B287" s="334" t="s">
        <v>983</v>
      </c>
      <c r="C287" s="334" t="s">
        <v>233</v>
      </c>
      <c r="D287" s="334" t="s">
        <v>984</v>
      </c>
      <c r="E287" s="405" t="s">
        <v>985</v>
      </c>
      <c r="F287" s="405" t="s">
        <v>986</v>
      </c>
      <c r="G287" s="405" t="s">
        <v>987</v>
      </c>
      <c r="H287" s="420" t="s">
        <v>680</v>
      </c>
      <c r="I287" s="164">
        <v>4</v>
      </c>
      <c r="J287" s="163" t="s">
        <v>988</v>
      </c>
      <c r="K287" s="165" t="s">
        <v>989</v>
      </c>
      <c r="L287" s="138">
        <v>1</v>
      </c>
      <c r="M287" s="166">
        <f t="shared" si="47"/>
        <v>4</v>
      </c>
      <c r="N287" s="133" t="s">
        <v>291</v>
      </c>
      <c r="O287" s="69" t="s">
        <v>242</v>
      </c>
      <c r="P287" s="131">
        <v>5</v>
      </c>
      <c r="Q287" s="134">
        <f t="shared" si="48"/>
        <v>20</v>
      </c>
      <c r="R287" s="428"/>
      <c r="S287" s="428"/>
      <c r="T287" s="133"/>
      <c r="U287" s="405"/>
      <c r="V287" s="135"/>
      <c r="W287" s="133"/>
      <c r="X287" s="405"/>
      <c r="Y287" s="405"/>
      <c r="Z287" s="135"/>
      <c r="AA287" s="136"/>
      <c r="AB287" s="111"/>
      <c r="AC287" s="363"/>
      <c r="AD287" s="226">
        <f t="shared" si="55"/>
        <v>6777</v>
      </c>
    </row>
    <row r="288" spans="1:32" ht="21" outlineLevel="1" thickBot="1" x14ac:dyDescent="0.25">
      <c r="A288" s="199"/>
      <c r="B288" s="161" t="s">
        <v>990</v>
      </c>
      <c r="C288" s="191"/>
      <c r="D288" s="162"/>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9"/>
      <c r="AC288" s="363"/>
      <c r="AD288" s="226">
        <f t="shared" si="55"/>
        <v>0</v>
      </c>
    </row>
    <row r="289" spans="1:31" ht="21" outlineLevel="2" thickBot="1" x14ac:dyDescent="0.25">
      <c r="A289" s="199"/>
      <c r="B289" s="117" t="s">
        <v>230</v>
      </c>
      <c r="C289" s="190"/>
      <c r="D289" s="118"/>
      <c r="E289" s="118"/>
      <c r="F289" s="118"/>
      <c r="G289" s="118"/>
      <c r="H289" s="118"/>
      <c r="I289" s="118"/>
      <c r="J289" s="118"/>
      <c r="K289" s="118"/>
      <c r="L289" s="118"/>
      <c r="M289" s="118"/>
      <c r="N289" s="118"/>
      <c r="O289" s="118"/>
      <c r="P289" s="118"/>
      <c r="Q289" s="118"/>
      <c r="R289" s="118"/>
      <c r="S289" s="118"/>
      <c r="T289" s="118"/>
      <c r="U289" s="118"/>
      <c r="V289" s="118"/>
      <c r="W289" s="118"/>
      <c r="X289" s="118"/>
      <c r="Y289" s="118"/>
      <c r="Z289" s="118"/>
      <c r="AA289" s="118"/>
      <c r="AB289" s="119"/>
      <c r="AC289" s="363"/>
      <c r="AD289" s="226">
        <f t="shared" si="55"/>
        <v>0</v>
      </c>
    </row>
    <row r="290" spans="1:31" ht="115.5" outlineLevel="3" thickBot="1" x14ac:dyDescent="0.25">
      <c r="A290" s="199" t="s">
        <v>991</v>
      </c>
      <c r="B290" s="503" t="s">
        <v>247</v>
      </c>
      <c r="C290" s="505" t="s">
        <v>248</v>
      </c>
      <c r="D290" s="503" t="s">
        <v>249</v>
      </c>
      <c r="E290" s="417" t="s">
        <v>250</v>
      </c>
      <c r="F290" s="417" t="s">
        <v>992</v>
      </c>
      <c r="G290" s="417" t="s">
        <v>993</v>
      </c>
      <c r="H290" s="127" t="s">
        <v>238</v>
      </c>
      <c r="I290" s="128">
        <v>1</v>
      </c>
      <c r="J290" s="129" t="s">
        <v>775</v>
      </c>
      <c r="K290" s="130" t="s">
        <v>682</v>
      </c>
      <c r="L290" s="131">
        <v>1</v>
      </c>
      <c r="M290" s="132">
        <f t="shared" ref="M290:M341" si="61">I290*L290</f>
        <v>1</v>
      </c>
      <c r="N290" s="133" t="s">
        <v>291</v>
      </c>
      <c r="O290" s="69" t="s">
        <v>242</v>
      </c>
      <c r="P290" s="131">
        <v>5</v>
      </c>
      <c r="Q290" s="134">
        <f t="shared" ref="Q290:Q341" si="62">I290*L290*P290</f>
        <v>5</v>
      </c>
      <c r="R290" s="428"/>
      <c r="S290" s="428"/>
      <c r="T290" s="133"/>
      <c r="U290" s="405"/>
      <c r="V290" s="135"/>
      <c r="W290" s="133"/>
      <c r="X290" s="405"/>
      <c r="Y290" s="405"/>
      <c r="Z290" s="135"/>
      <c r="AA290" s="136"/>
      <c r="AB290" s="111"/>
      <c r="AC290" s="363"/>
      <c r="AD290" s="226">
        <f t="shared" si="55"/>
        <v>5306</v>
      </c>
    </row>
    <row r="291" spans="1:31" s="82" customFormat="1" ht="115.5" outlineLevel="3" thickBot="1" x14ac:dyDescent="0.25">
      <c r="A291" s="199" t="s">
        <v>994</v>
      </c>
      <c r="B291" s="483"/>
      <c r="C291" s="484"/>
      <c r="D291" s="483"/>
      <c r="E291" s="417" t="s">
        <v>255</v>
      </c>
      <c r="F291" s="417" t="s">
        <v>778</v>
      </c>
      <c r="G291" s="417" t="s">
        <v>993</v>
      </c>
      <c r="H291" s="127" t="s">
        <v>238</v>
      </c>
      <c r="I291" s="128">
        <v>1</v>
      </c>
      <c r="J291" s="129" t="s">
        <v>257</v>
      </c>
      <c r="K291" s="130" t="s">
        <v>682</v>
      </c>
      <c r="L291" s="131">
        <v>1</v>
      </c>
      <c r="M291" s="132">
        <f t="shared" si="61"/>
        <v>1</v>
      </c>
      <c r="N291" s="133" t="s">
        <v>291</v>
      </c>
      <c r="O291" s="69" t="s">
        <v>242</v>
      </c>
      <c r="P291" s="131">
        <v>5</v>
      </c>
      <c r="Q291" s="134">
        <f t="shared" si="62"/>
        <v>5</v>
      </c>
      <c r="R291" s="428"/>
      <c r="S291" s="428"/>
      <c r="T291" s="133"/>
      <c r="U291" s="405"/>
      <c r="V291" s="135"/>
      <c r="W291" s="133"/>
      <c r="X291" s="405"/>
      <c r="Y291" s="405"/>
      <c r="Z291" s="135"/>
      <c r="AA291" s="136"/>
      <c r="AB291" s="111"/>
      <c r="AC291" s="371"/>
      <c r="AD291" s="226">
        <f t="shared" si="55"/>
        <v>5307</v>
      </c>
      <c r="AE291" s="354"/>
    </row>
    <row r="292" spans="1:31" ht="115.5" outlineLevel="3" thickBot="1" x14ac:dyDescent="0.25">
      <c r="A292" s="199" t="s">
        <v>995</v>
      </c>
      <c r="B292" s="483"/>
      <c r="C292" s="484"/>
      <c r="D292" s="483"/>
      <c r="E292" s="405" t="s">
        <v>996</v>
      </c>
      <c r="F292" s="405" t="s">
        <v>261</v>
      </c>
      <c r="G292" s="417" t="s">
        <v>993</v>
      </c>
      <c r="H292" s="127" t="s">
        <v>238</v>
      </c>
      <c r="I292" s="128">
        <v>1</v>
      </c>
      <c r="J292" s="129" t="s">
        <v>257</v>
      </c>
      <c r="K292" s="130" t="s">
        <v>682</v>
      </c>
      <c r="L292" s="131">
        <v>1</v>
      </c>
      <c r="M292" s="132">
        <f t="shared" si="61"/>
        <v>1</v>
      </c>
      <c r="N292" s="133" t="s">
        <v>291</v>
      </c>
      <c r="O292" s="69" t="s">
        <v>242</v>
      </c>
      <c r="P292" s="131">
        <v>5</v>
      </c>
      <c r="Q292" s="134">
        <f t="shared" si="62"/>
        <v>5</v>
      </c>
      <c r="R292" s="428"/>
      <c r="S292" s="428"/>
      <c r="T292" s="133"/>
      <c r="U292" s="405"/>
      <c r="V292" s="135"/>
      <c r="W292" s="133"/>
      <c r="X292" s="405"/>
      <c r="Y292" s="405"/>
      <c r="Z292" s="135"/>
      <c r="AA292" s="136"/>
      <c r="AB292" s="111"/>
      <c r="AC292" s="226"/>
      <c r="AD292" s="226">
        <f t="shared" si="55"/>
        <v>6778</v>
      </c>
    </row>
    <row r="293" spans="1:31" ht="243" outlineLevel="3" thickBot="1" x14ac:dyDescent="0.25">
      <c r="A293" s="199" t="s">
        <v>997</v>
      </c>
      <c r="B293" s="478"/>
      <c r="C293" s="480"/>
      <c r="D293" s="478"/>
      <c r="E293" s="405" t="s">
        <v>998</v>
      </c>
      <c r="F293" s="405" t="s">
        <v>781</v>
      </c>
      <c r="G293" s="417" t="s">
        <v>999</v>
      </c>
      <c r="H293" s="127" t="s">
        <v>238</v>
      </c>
      <c r="I293" s="128">
        <v>2</v>
      </c>
      <c r="J293" s="129" t="s">
        <v>775</v>
      </c>
      <c r="K293" s="130" t="s">
        <v>682</v>
      </c>
      <c r="L293" s="131">
        <v>1</v>
      </c>
      <c r="M293" s="132">
        <f t="shared" si="61"/>
        <v>2</v>
      </c>
      <c r="N293" s="133" t="s">
        <v>291</v>
      </c>
      <c r="O293" s="69" t="s">
        <v>1000</v>
      </c>
      <c r="P293" s="131">
        <v>1</v>
      </c>
      <c r="Q293" s="134">
        <f t="shared" si="62"/>
        <v>2</v>
      </c>
      <c r="R293" s="428"/>
      <c r="S293" s="428"/>
      <c r="T293" s="133"/>
      <c r="U293" s="405"/>
      <c r="V293" s="135"/>
      <c r="W293" s="133"/>
      <c r="X293" s="405"/>
      <c r="Y293" s="405"/>
      <c r="Z293" s="135"/>
      <c r="AA293" s="136"/>
      <c r="AB293" s="111"/>
      <c r="AC293" s="226"/>
      <c r="AD293" s="226">
        <f t="shared" si="55"/>
        <v>6779</v>
      </c>
    </row>
    <row r="294" spans="1:31" ht="243" outlineLevel="3" thickBot="1" x14ac:dyDescent="0.25">
      <c r="A294" s="199" t="s">
        <v>1001</v>
      </c>
      <c r="B294" s="411" t="s">
        <v>266</v>
      </c>
      <c r="C294" s="412" t="s">
        <v>267</v>
      </c>
      <c r="D294" s="405" t="s">
        <v>268</v>
      </c>
      <c r="E294" s="417" t="s">
        <v>269</v>
      </c>
      <c r="F294" s="417" t="s">
        <v>1002</v>
      </c>
      <c r="G294" s="417" t="s">
        <v>999</v>
      </c>
      <c r="H294" s="127" t="s">
        <v>238</v>
      </c>
      <c r="I294" s="128">
        <v>2</v>
      </c>
      <c r="J294" s="129" t="s">
        <v>784</v>
      </c>
      <c r="K294" s="130" t="s">
        <v>682</v>
      </c>
      <c r="L294" s="131">
        <v>1</v>
      </c>
      <c r="M294" s="132">
        <f t="shared" si="61"/>
        <v>2</v>
      </c>
      <c r="N294" s="133" t="s">
        <v>291</v>
      </c>
      <c r="O294" s="69" t="s">
        <v>1000</v>
      </c>
      <c r="P294" s="131">
        <v>1</v>
      </c>
      <c r="Q294" s="134">
        <f t="shared" si="62"/>
        <v>2</v>
      </c>
      <c r="R294" s="428"/>
      <c r="S294" s="428"/>
      <c r="T294" s="133"/>
      <c r="U294" s="405"/>
      <c r="V294" s="135"/>
      <c r="W294" s="133"/>
      <c r="X294" s="405"/>
      <c r="Y294" s="405"/>
      <c r="Z294" s="135"/>
      <c r="AA294" s="136"/>
      <c r="AB294" s="111"/>
      <c r="AC294" s="226"/>
      <c r="AD294" s="226">
        <f t="shared" si="55"/>
        <v>5308</v>
      </c>
    </row>
    <row r="295" spans="1:31" ht="115.5" outlineLevel="3" thickBot="1" x14ac:dyDescent="0.25">
      <c r="A295" s="199" t="s">
        <v>1003</v>
      </c>
      <c r="B295" s="477" t="s">
        <v>272</v>
      </c>
      <c r="C295" s="479" t="s">
        <v>273</v>
      </c>
      <c r="D295" s="477" t="s">
        <v>1004</v>
      </c>
      <c r="E295" s="417" t="s">
        <v>275</v>
      </c>
      <c r="F295" s="417" t="s">
        <v>276</v>
      </c>
      <c r="G295" s="417" t="s">
        <v>993</v>
      </c>
      <c r="H295" s="127" t="s">
        <v>238</v>
      </c>
      <c r="I295" s="128">
        <v>1</v>
      </c>
      <c r="J295" s="129" t="s">
        <v>1005</v>
      </c>
      <c r="K295" s="130" t="s">
        <v>682</v>
      </c>
      <c r="L295" s="131">
        <v>1</v>
      </c>
      <c r="M295" s="132">
        <f t="shared" si="61"/>
        <v>1</v>
      </c>
      <c r="N295" s="133" t="s">
        <v>291</v>
      </c>
      <c r="O295" s="69" t="s">
        <v>242</v>
      </c>
      <c r="P295" s="131">
        <v>5</v>
      </c>
      <c r="Q295" s="134">
        <f t="shared" si="62"/>
        <v>5</v>
      </c>
      <c r="R295" s="428"/>
      <c r="S295" s="428"/>
      <c r="T295" s="133"/>
      <c r="U295" s="405"/>
      <c r="V295" s="135"/>
      <c r="W295" s="133"/>
      <c r="X295" s="405"/>
      <c r="Y295" s="405"/>
      <c r="Z295" s="135"/>
      <c r="AA295" s="136">
        <f t="shared" si="56"/>
        <v>0</v>
      </c>
      <c r="AB295" s="111"/>
      <c r="AC295" s="363"/>
      <c r="AD295" s="226">
        <f t="shared" si="55"/>
        <v>5309</v>
      </c>
    </row>
    <row r="296" spans="1:31" ht="243" outlineLevel="3" thickBot="1" x14ac:dyDescent="0.25">
      <c r="A296" s="199" t="s">
        <v>1006</v>
      </c>
      <c r="B296" s="478"/>
      <c r="C296" s="480"/>
      <c r="D296" s="478"/>
      <c r="E296" s="417" t="s">
        <v>279</v>
      </c>
      <c r="F296" s="415" t="s">
        <v>280</v>
      </c>
      <c r="G296" s="417" t="s">
        <v>999</v>
      </c>
      <c r="H296" s="127" t="s">
        <v>238</v>
      </c>
      <c r="I296" s="128">
        <v>2</v>
      </c>
      <c r="J296" s="163" t="s">
        <v>281</v>
      </c>
      <c r="K296" s="165" t="s">
        <v>1007</v>
      </c>
      <c r="L296" s="138">
        <v>1</v>
      </c>
      <c r="M296" s="166">
        <f t="shared" si="61"/>
        <v>2</v>
      </c>
      <c r="N296" s="133" t="s">
        <v>283</v>
      </c>
      <c r="O296" s="69" t="s">
        <v>1000</v>
      </c>
      <c r="P296" s="131">
        <v>1</v>
      </c>
      <c r="Q296" s="134">
        <f t="shared" si="62"/>
        <v>2</v>
      </c>
      <c r="R296" s="428"/>
      <c r="S296" s="428"/>
      <c r="T296" s="133"/>
      <c r="U296" s="405"/>
      <c r="V296" s="135"/>
      <c r="W296" s="133"/>
      <c r="X296" s="405"/>
      <c r="Y296" s="405"/>
      <c r="Z296" s="135"/>
      <c r="AA296" s="136"/>
      <c r="AB296" s="111"/>
      <c r="AC296" s="363"/>
      <c r="AD296" s="226">
        <f t="shared" si="55"/>
        <v>5310</v>
      </c>
    </row>
    <row r="297" spans="1:31" ht="243" outlineLevel="3" thickBot="1" x14ac:dyDescent="0.25">
      <c r="A297" s="199" t="s">
        <v>1008</v>
      </c>
      <c r="B297" s="477" t="s">
        <v>285</v>
      </c>
      <c r="C297" s="479" t="s">
        <v>286</v>
      </c>
      <c r="D297" s="477" t="s">
        <v>287</v>
      </c>
      <c r="E297" s="405" t="s">
        <v>288</v>
      </c>
      <c r="F297" s="405" t="s">
        <v>1009</v>
      </c>
      <c r="G297" s="405" t="s">
        <v>999</v>
      </c>
      <c r="H297" s="420" t="s">
        <v>238</v>
      </c>
      <c r="I297" s="164">
        <v>2</v>
      </c>
      <c r="J297" s="163" t="s">
        <v>775</v>
      </c>
      <c r="K297" s="130" t="s">
        <v>682</v>
      </c>
      <c r="L297" s="138">
        <v>2</v>
      </c>
      <c r="M297" s="166">
        <f t="shared" si="61"/>
        <v>4</v>
      </c>
      <c r="N297" s="133" t="s">
        <v>291</v>
      </c>
      <c r="O297" s="420" t="s">
        <v>1000</v>
      </c>
      <c r="P297" s="138">
        <v>1</v>
      </c>
      <c r="Q297" s="225">
        <f t="shared" si="62"/>
        <v>4</v>
      </c>
      <c r="R297" s="428"/>
      <c r="S297" s="428"/>
      <c r="T297" s="133"/>
      <c r="U297" s="405"/>
      <c r="V297" s="135"/>
      <c r="W297" s="133"/>
      <c r="X297" s="405"/>
      <c r="Y297" s="405"/>
      <c r="Z297" s="135"/>
      <c r="AA297" s="136">
        <f t="shared" si="56"/>
        <v>0</v>
      </c>
      <c r="AB297" s="111"/>
      <c r="AC297" s="363"/>
      <c r="AD297" s="226">
        <f t="shared" si="55"/>
        <v>5311</v>
      </c>
    </row>
    <row r="298" spans="1:31" ht="204.75" outlineLevel="3" thickBot="1" x14ac:dyDescent="0.25">
      <c r="A298" s="199" t="s">
        <v>1010</v>
      </c>
      <c r="B298" s="478"/>
      <c r="C298" s="480"/>
      <c r="D298" s="478"/>
      <c r="E298" s="405" t="s">
        <v>293</v>
      </c>
      <c r="F298" s="415" t="s">
        <v>294</v>
      </c>
      <c r="G298" s="417" t="s">
        <v>993</v>
      </c>
      <c r="H298" s="420" t="s">
        <v>238</v>
      </c>
      <c r="I298" s="164">
        <v>2</v>
      </c>
      <c r="J298" s="163" t="s">
        <v>257</v>
      </c>
      <c r="K298" s="130" t="s">
        <v>682</v>
      </c>
      <c r="L298" s="138">
        <v>2</v>
      </c>
      <c r="M298" s="166">
        <f t="shared" si="61"/>
        <v>4</v>
      </c>
      <c r="N298" s="133" t="s">
        <v>291</v>
      </c>
      <c r="O298" s="420" t="s">
        <v>1000</v>
      </c>
      <c r="P298" s="138">
        <v>1</v>
      </c>
      <c r="Q298" s="225">
        <f t="shared" si="62"/>
        <v>4</v>
      </c>
      <c r="R298" s="428"/>
      <c r="S298" s="428"/>
      <c r="T298" s="133"/>
      <c r="U298" s="405"/>
      <c r="V298" s="135"/>
      <c r="W298" s="133"/>
      <c r="X298" s="405"/>
      <c r="Y298" s="405"/>
      <c r="Z298" s="135"/>
      <c r="AA298" s="136"/>
      <c r="AB298" s="111"/>
      <c r="AC298" s="363"/>
      <c r="AD298" s="226">
        <f t="shared" si="55"/>
        <v>5312</v>
      </c>
    </row>
    <row r="299" spans="1:31" ht="243" outlineLevel="3" thickBot="1" x14ac:dyDescent="0.25">
      <c r="A299" s="199" t="s">
        <v>1011</v>
      </c>
      <c r="B299" s="477" t="s">
        <v>297</v>
      </c>
      <c r="C299" s="479" t="s">
        <v>298</v>
      </c>
      <c r="D299" s="477" t="s">
        <v>299</v>
      </c>
      <c r="E299" s="405" t="s">
        <v>300</v>
      </c>
      <c r="F299" s="405" t="s">
        <v>301</v>
      </c>
      <c r="G299" s="420" t="s">
        <v>999</v>
      </c>
      <c r="H299" s="420" t="s">
        <v>238</v>
      </c>
      <c r="I299" s="164">
        <v>2</v>
      </c>
      <c r="J299" s="163" t="s">
        <v>302</v>
      </c>
      <c r="K299" s="130" t="s">
        <v>682</v>
      </c>
      <c r="L299" s="138">
        <v>1</v>
      </c>
      <c r="M299" s="166">
        <f t="shared" si="61"/>
        <v>2</v>
      </c>
      <c r="N299" s="133" t="s">
        <v>303</v>
      </c>
      <c r="O299" s="69" t="s">
        <v>1000</v>
      </c>
      <c r="P299" s="131">
        <v>1</v>
      </c>
      <c r="Q299" s="225">
        <f>P299*L299*I299</f>
        <v>2</v>
      </c>
      <c r="R299" s="428"/>
      <c r="S299" s="428"/>
      <c r="T299" s="133"/>
      <c r="U299" s="405"/>
      <c r="V299" s="135"/>
      <c r="W299" s="133"/>
      <c r="X299" s="405"/>
      <c r="Y299" s="405"/>
      <c r="Z299" s="135"/>
      <c r="AA299" s="136">
        <f t="shared" si="56"/>
        <v>0</v>
      </c>
      <c r="AB299" s="111"/>
      <c r="AC299" s="366"/>
      <c r="AD299" s="226">
        <f t="shared" si="55"/>
        <v>10969</v>
      </c>
      <c r="AE299" s="350"/>
    </row>
    <row r="300" spans="1:31" ht="115.5" outlineLevel="3" thickBot="1" x14ac:dyDescent="0.25">
      <c r="A300" s="199" t="s">
        <v>1012</v>
      </c>
      <c r="B300" s="478"/>
      <c r="C300" s="480"/>
      <c r="D300" s="478"/>
      <c r="E300" s="405" t="s">
        <v>305</v>
      </c>
      <c r="F300" s="405" t="s">
        <v>795</v>
      </c>
      <c r="G300" s="417" t="s">
        <v>993</v>
      </c>
      <c r="H300" s="420" t="s">
        <v>238</v>
      </c>
      <c r="I300" s="164">
        <v>1</v>
      </c>
      <c r="J300" s="163" t="s">
        <v>307</v>
      </c>
      <c r="K300" s="130" t="s">
        <v>682</v>
      </c>
      <c r="L300" s="138">
        <v>1</v>
      </c>
      <c r="M300" s="166">
        <f t="shared" si="61"/>
        <v>1</v>
      </c>
      <c r="N300" s="133" t="s">
        <v>303</v>
      </c>
      <c r="O300" s="420" t="s">
        <v>242</v>
      </c>
      <c r="P300" s="138">
        <v>5</v>
      </c>
      <c r="Q300" s="225">
        <f>P300*L300*I300</f>
        <v>5</v>
      </c>
      <c r="R300" s="428"/>
      <c r="S300" s="428"/>
      <c r="T300" s="133"/>
      <c r="U300" s="405"/>
      <c r="V300" s="135"/>
      <c r="W300" s="133"/>
      <c r="X300" s="405"/>
      <c r="Y300" s="405"/>
      <c r="Z300" s="135"/>
      <c r="AA300" s="136"/>
      <c r="AB300" s="111"/>
      <c r="AC300" s="363"/>
      <c r="AD300" s="226">
        <f t="shared" si="55"/>
        <v>10970</v>
      </c>
    </row>
    <row r="301" spans="1:31" ht="243" customHeight="1" outlineLevel="3" thickBot="1" x14ac:dyDescent="0.25">
      <c r="A301" s="199" t="s">
        <v>1013</v>
      </c>
      <c r="B301" s="477" t="s">
        <v>309</v>
      </c>
      <c r="C301" s="479" t="s">
        <v>310</v>
      </c>
      <c r="D301" s="477" t="s">
        <v>311</v>
      </c>
      <c r="E301" s="417" t="s">
        <v>300</v>
      </c>
      <c r="F301" s="417" t="s">
        <v>289</v>
      </c>
      <c r="G301" s="417" t="s">
        <v>999</v>
      </c>
      <c r="H301" s="420" t="s">
        <v>238</v>
      </c>
      <c r="I301" s="164">
        <v>2</v>
      </c>
      <c r="J301" s="163" t="s">
        <v>1014</v>
      </c>
      <c r="K301" s="130" t="s">
        <v>682</v>
      </c>
      <c r="L301" s="138">
        <v>1</v>
      </c>
      <c r="M301" s="166">
        <f t="shared" si="61"/>
        <v>2</v>
      </c>
      <c r="N301" s="133" t="s">
        <v>303</v>
      </c>
      <c r="O301" s="69" t="s">
        <v>1000</v>
      </c>
      <c r="P301" s="131">
        <v>1</v>
      </c>
      <c r="Q301" s="134">
        <f t="shared" si="62"/>
        <v>2</v>
      </c>
      <c r="R301" s="428"/>
      <c r="S301" s="428"/>
      <c r="T301" s="133"/>
      <c r="U301" s="405"/>
      <c r="V301" s="135"/>
      <c r="W301" s="133"/>
      <c r="X301" s="405"/>
      <c r="Y301" s="405"/>
      <c r="Z301" s="135"/>
      <c r="AA301" s="136">
        <f t="shared" ref="AA301" si="63">X301*Y301*Z301</f>
        <v>0</v>
      </c>
      <c r="AB301" s="111"/>
      <c r="AC301" s="226"/>
      <c r="AD301" s="226">
        <f t="shared" si="55"/>
        <v>5313</v>
      </c>
    </row>
    <row r="302" spans="1:31" ht="243" customHeight="1" outlineLevel="3" thickBot="1" x14ac:dyDescent="0.25">
      <c r="A302" s="199" t="s">
        <v>1015</v>
      </c>
      <c r="B302" s="478"/>
      <c r="C302" s="480"/>
      <c r="D302" s="478"/>
      <c r="E302" s="405" t="s">
        <v>314</v>
      </c>
      <c r="F302" s="405" t="s">
        <v>315</v>
      </c>
      <c r="G302" s="405" t="s">
        <v>993</v>
      </c>
      <c r="H302" s="420" t="s">
        <v>238</v>
      </c>
      <c r="I302" s="164">
        <v>1</v>
      </c>
      <c r="J302" s="163" t="s">
        <v>316</v>
      </c>
      <c r="K302" s="165" t="s">
        <v>682</v>
      </c>
      <c r="L302" s="138">
        <v>1</v>
      </c>
      <c r="M302" s="166">
        <f t="shared" si="61"/>
        <v>1</v>
      </c>
      <c r="N302" s="133" t="s">
        <v>303</v>
      </c>
      <c r="O302" s="69" t="s">
        <v>1000</v>
      </c>
      <c r="P302" s="131">
        <v>1</v>
      </c>
      <c r="Q302" s="134">
        <f t="shared" si="62"/>
        <v>1</v>
      </c>
      <c r="R302" s="428"/>
      <c r="S302" s="428"/>
      <c r="T302" s="133"/>
      <c r="U302" s="405"/>
      <c r="V302" s="135"/>
      <c r="W302" s="133"/>
      <c r="X302" s="405"/>
      <c r="Y302" s="405"/>
      <c r="Z302" s="135"/>
      <c r="AA302" s="136"/>
      <c r="AB302" s="111"/>
      <c r="AC302" s="226"/>
      <c r="AD302" s="226">
        <f t="shared" si="55"/>
        <v>5314</v>
      </c>
    </row>
    <row r="303" spans="1:31" ht="243" outlineLevel="3" thickBot="1" x14ac:dyDescent="0.25">
      <c r="A303" s="199" t="s">
        <v>1016</v>
      </c>
      <c r="B303" s="404"/>
      <c r="C303" s="407"/>
      <c r="D303" s="404"/>
      <c r="E303" s="405" t="s">
        <v>319</v>
      </c>
      <c r="F303" s="405" t="s">
        <v>320</v>
      </c>
      <c r="G303" s="405" t="s">
        <v>999</v>
      </c>
      <c r="H303" s="420" t="s">
        <v>238</v>
      </c>
      <c r="I303" s="164">
        <v>2</v>
      </c>
      <c r="J303" s="163" t="s">
        <v>316</v>
      </c>
      <c r="K303" s="165" t="s">
        <v>321</v>
      </c>
      <c r="L303" s="138">
        <v>1</v>
      </c>
      <c r="M303" s="166">
        <f t="shared" si="61"/>
        <v>2</v>
      </c>
      <c r="N303" s="133" t="s">
        <v>303</v>
      </c>
      <c r="O303" s="420" t="s">
        <v>1000</v>
      </c>
      <c r="P303" s="138">
        <v>1</v>
      </c>
      <c r="Q303" s="225">
        <f t="shared" si="62"/>
        <v>2</v>
      </c>
      <c r="R303" s="428"/>
      <c r="S303" s="428"/>
      <c r="T303" s="133"/>
      <c r="U303" s="405"/>
      <c r="V303" s="135"/>
      <c r="W303" s="133"/>
      <c r="X303" s="405"/>
      <c r="Y303" s="405"/>
      <c r="Z303" s="135"/>
      <c r="AA303" s="136"/>
      <c r="AB303" s="111"/>
      <c r="AC303" s="226"/>
      <c r="AD303" s="226">
        <f t="shared" si="55"/>
        <v>12387</v>
      </c>
    </row>
    <row r="304" spans="1:31" ht="243" outlineLevel="3" thickBot="1" x14ac:dyDescent="0.25">
      <c r="A304" s="199" t="s">
        <v>1017</v>
      </c>
      <c r="B304" s="477" t="s">
        <v>323</v>
      </c>
      <c r="C304" s="479" t="s">
        <v>324</v>
      </c>
      <c r="D304" s="477" t="s">
        <v>325</v>
      </c>
      <c r="E304" s="417" t="s">
        <v>326</v>
      </c>
      <c r="F304" s="417" t="s">
        <v>327</v>
      </c>
      <c r="G304" s="417" t="s">
        <v>999</v>
      </c>
      <c r="H304" s="127" t="s">
        <v>238</v>
      </c>
      <c r="I304" s="128">
        <v>2</v>
      </c>
      <c r="J304" s="163" t="s">
        <v>328</v>
      </c>
      <c r="K304" s="130" t="s">
        <v>682</v>
      </c>
      <c r="L304" s="131">
        <v>1</v>
      </c>
      <c r="M304" s="132">
        <f t="shared" si="61"/>
        <v>2</v>
      </c>
      <c r="N304" s="133" t="s">
        <v>291</v>
      </c>
      <c r="O304" s="69" t="s">
        <v>1000</v>
      </c>
      <c r="P304" s="131">
        <v>1</v>
      </c>
      <c r="Q304" s="134">
        <f t="shared" si="62"/>
        <v>2</v>
      </c>
      <c r="R304" s="428"/>
      <c r="S304" s="428"/>
      <c r="T304" s="133"/>
      <c r="U304" s="405"/>
      <c r="V304" s="135"/>
      <c r="W304" s="133"/>
      <c r="X304" s="405"/>
      <c r="Y304" s="405"/>
      <c r="Z304" s="135"/>
      <c r="AA304" s="136">
        <f t="shared" si="56"/>
        <v>0</v>
      </c>
      <c r="AB304" s="111"/>
      <c r="AC304" s="363"/>
      <c r="AD304" s="226">
        <f t="shared" si="55"/>
        <v>5315</v>
      </c>
    </row>
    <row r="305" spans="1:30" ht="243" outlineLevel="3" thickBot="1" x14ac:dyDescent="0.25">
      <c r="A305" s="243" t="s">
        <v>1018</v>
      </c>
      <c r="B305" s="478"/>
      <c r="C305" s="480"/>
      <c r="D305" s="478"/>
      <c r="E305" s="417" t="s">
        <v>330</v>
      </c>
      <c r="F305" s="430" t="s">
        <v>1019</v>
      </c>
      <c r="G305" s="417" t="s">
        <v>999</v>
      </c>
      <c r="H305" s="127" t="s">
        <v>238</v>
      </c>
      <c r="I305" s="128">
        <v>2</v>
      </c>
      <c r="J305" s="163" t="s">
        <v>332</v>
      </c>
      <c r="K305" s="130" t="s">
        <v>682</v>
      </c>
      <c r="L305" s="131">
        <v>1</v>
      </c>
      <c r="M305" s="132">
        <f t="shared" si="61"/>
        <v>2</v>
      </c>
      <c r="N305" s="133" t="s">
        <v>291</v>
      </c>
      <c r="O305" s="69" t="s">
        <v>1000</v>
      </c>
      <c r="P305" s="131">
        <v>1</v>
      </c>
      <c r="Q305" s="134">
        <f t="shared" si="62"/>
        <v>2</v>
      </c>
      <c r="R305" s="428"/>
      <c r="S305" s="428"/>
      <c r="T305" s="133"/>
      <c r="U305" s="405"/>
      <c r="V305" s="135"/>
      <c r="W305" s="133"/>
      <c r="X305" s="405"/>
      <c r="Y305" s="405"/>
      <c r="Z305" s="135"/>
      <c r="AA305" s="136"/>
      <c r="AB305" s="111"/>
      <c r="AC305" s="363"/>
      <c r="AD305" s="226">
        <f t="shared" si="55"/>
        <v>5316</v>
      </c>
    </row>
    <row r="306" spans="1:30" ht="115.5" outlineLevel="3" thickBot="1" x14ac:dyDescent="0.25">
      <c r="A306" s="199" t="s">
        <v>1020</v>
      </c>
      <c r="B306" s="477" t="s">
        <v>334</v>
      </c>
      <c r="C306" s="479" t="s">
        <v>335</v>
      </c>
      <c r="D306" s="477" t="s">
        <v>336</v>
      </c>
      <c r="E306" s="405" t="s">
        <v>288</v>
      </c>
      <c r="F306" s="405" t="s">
        <v>337</v>
      </c>
      <c r="G306" s="405" t="s">
        <v>993</v>
      </c>
      <c r="H306" s="420" t="s">
        <v>238</v>
      </c>
      <c r="I306" s="164">
        <v>1</v>
      </c>
      <c r="J306" s="163" t="s">
        <v>775</v>
      </c>
      <c r="K306" s="165" t="s">
        <v>682</v>
      </c>
      <c r="L306" s="138">
        <v>2</v>
      </c>
      <c r="M306" s="132">
        <f t="shared" si="61"/>
        <v>2</v>
      </c>
      <c r="N306" s="133" t="s">
        <v>291</v>
      </c>
      <c r="O306" s="69" t="s">
        <v>242</v>
      </c>
      <c r="P306" s="131">
        <v>5</v>
      </c>
      <c r="Q306" s="134">
        <f t="shared" si="62"/>
        <v>10</v>
      </c>
      <c r="R306" s="428"/>
      <c r="S306" s="428"/>
      <c r="T306" s="133"/>
      <c r="U306" s="405"/>
      <c r="V306" s="135"/>
      <c r="W306" s="133"/>
      <c r="X306" s="405"/>
      <c r="Y306" s="405"/>
      <c r="Z306" s="135"/>
      <c r="AA306" s="136">
        <f t="shared" ref="AA306" si="64">X306*Y306*Z306</f>
        <v>0</v>
      </c>
      <c r="AB306" s="111"/>
      <c r="AC306" s="363"/>
      <c r="AD306" s="226">
        <f t="shared" si="55"/>
        <v>5317</v>
      </c>
    </row>
    <row r="307" spans="1:30" ht="243" outlineLevel="3" thickBot="1" x14ac:dyDescent="0.25">
      <c r="A307" s="243" t="s">
        <v>1021</v>
      </c>
      <c r="B307" s="491"/>
      <c r="C307" s="487"/>
      <c r="D307" s="491"/>
      <c r="E307" s="415" t="s">
        <v>340</v>
      </c>
      <c r="F307" s="430" t="s">
        <v>341</v>
      </c>
      <c r="G307" s="417" t="s">
        <v>999</v>
      </c>
      <c r="H307" s="127" t="s">
        <v>238</v>
      </c>
      <c r="I307" s="128">
        <v>2</v>
      </c>
      <c r="J307" s="163" t="s">
        <v>257</v>
      </c>
      <c r="K307" s="130" t="s">
        <v>682</v>
      </c>
      <c r="L307" s="138">
        <v>2</v>
      </c>
      <c r="M307" s="132">
        <f t="shared" si="61"/>
        <v>4</v>
      </c>
      <c r="N307" s="133" t="s">
        <v>291</v>
      </c>
      <c r="O307" s="69" t="s">
        <v>1000</v>
      </c>
      <c r="P307" s="131">
        <v>1</v>
      </c>
      <c r="Q307" s="134">
        <f t="shared" si="62"/>
        <v>4</v>
      </c>
      <c r="R307" s="428"/>
      <c r="S307" s="428"/>
      <c r="T307" s="133"/>
      <c r="U307" s="405"/>
      <c r="V307" s="135"/>
      <c r="W307" s="133"/>
      <c r="X307" s="405"/>
      <c r="Y307" s="405"/>
      <c r="Z307" s="135"/>
      <c r="AA307" s="136"/>
      <c r="AB307" s="111"/>
      <c r="AC307" s="363"/>
      <c r="AD307" s="226">
        <f t="shared" si="55"/>
        <v>5318</v>
      </c>
    </row>
    <row r="308" spans="1:30" ht="115.5" outlineLevel="3" thickBot="1" x14ac:dyDescent="0.25">
      <c r="A308" s="199" t="s">
        <v>1022</v>
      </c>
      <c r="B308" s="477" t="s">
        <v>343</v>
      </c>
      <c r="C308" s="479" t="s">
        <v>344</v>
      </c>
      <c r="D308" s="477" t="s">
        <v>345</v>
      </c>
      <c r="E308" s="405" t="s">
        <v>275</v>
      </c>
      <c r="F308" s="405" t="s">
        <v>315</v>
      </c>
      <c r="G308" s="405" t="s">
        <v>993</v>
      </c>
      <c r="H308" s="420" t="s">
        <v>238</v>
      </c>
      <c r="I308" s="164">
        <v>1</v>
      </c>
      <c r="J308" s="163" t="s">
        <v>277</v>
      </c>
      <c r="K308" s="165" t="s">
        <v>682</v>
      </c>
      <c r="L308" s="138">
        <v>1</v>
      </c>
      <c r="M308" s="166">
        <f t="shared" si="61"/>
        <v>1</v>
      </c>
      <c r="N308" s="133" t="s">
        <v>241</v>
      </c>
      <c r="O308" s="420" t="s">
        <v>242</v>
      </c>
      <c r="P308" s="138">
        <v>5</v>
      </c>
      <c r="Q308" s="225">
        <f t="shared" si="62"/>
        <v>5</v>
      </c>
      <c r="R308" s="428"/>
      <c r="S308" s="428"/>
      <c r="T308" s="133"/>
      <c r="U308" s="405"/>
      <c r="V308" s="135"/>
      <c r="W308" s="133"/>
      <c r="X308" s="405"/>
      <c r="Y308" s="405"/>
      <c r="Z308" s="135"/>
      <c r="AA308" s="136">
        <f t="shared" si="56"/>
        <v>0</v>
      </c>
      <c r="AB308" s="111"/>
      <c r="AC308" s="226"/>
      <c r="AD308" s="226">
        <f t="shared" si="55"/>
        <v>12388</v>
      </c>
    </row>
    <row r="309" spans="1:30" ht="243" outlineLevel="3" thickBot="1" x14ac:dyDescent="0.25">
      <c r="A309" s="199" t="s">
        <v>1023</v>
      </c>
      <c r="B309" s="478"/>
      <c r="C309" s="480"/>
      <c r="D309" s="478"/>
      <c r="E309" s="405" t="s">
        <v>279</v>
      </c>
      <c r="F309" s="405" t="s">
        <v>347</v>
      </c>
      <c r="G309" s="405" t="s">
        <v>999</v>
      </c>
      <c r="H309" s="420" t="s">
        <v>238</v>
      </c>
      <c r="I309" s="164">
        <v>2</v>
      </c>
      <c r="J309" s="163" t="s">
        <v>281</v>
      </c>
      <c r="K309" s="165" t="s">
        <v>682</v>
      </c>
      <c r="L309" s="138">
        <v>1</v>
      </c>
      <c r="M309" s="166">
        <f t="shared" si="61"/>
        <v>2</v>
      </c>
      <c r="N309" s="133" t="s">
        <v>283</v>
      </c>
      <c r="O309" s="420" t="s">
        <v>1000</v>
      </c>
      <c r="P309" s="138">
        <v>1</v>
      </c>
      <c r="Q309" s="225">
        <f t="shared" si="62"/>
        <v>2</v>
      </c>
      <c r="R309" s="428"/>
      <c r="S309" s="428"/>
      <c r="T309" s="133"/>
      <c r="U309" s="405"/>
      <c r="V309" s="135"/>
      <c r="W309" s="133"/>
      <c r="X309" s="405"/>
      <c r="Y309" s="405"/>
      <c r="Z309" s="135"/>
      <c r="AA309" s="136"/>
      <c r="AB309" s="111"/>
      <c r="AC309" s="226"/>
      <c r="AD309" s="226">
        <f t="shared" si="55"/>
        <v>12389</v>
      </c>
    </row>
    <row r="310" spans="1:30" ht="243" outlineLevel="3" thickBot="1" x14ac:dyDescent="0.25">
      <c r="A310" s="201" t="s">
        <v>1024</v>
      </c>
      <c r="B310" s="506" t="s">
        <v>349</v>
      </c>
      <c r="C310" s="507" t="s">
        <v>350</v>
      </c>
      <c r="D310" s="506" t="s">
        <v>351</v>
      </c>
      <c r="E310" s="411" t="s">
        <v>352</v>
      </c>
      <c r="F310" s="411" t="s">
        <v>809</v>
      </c>
      <c r="G310" s="411" t="s">
        <v>999</v>
      </c>
      <c r="H310" s="420" t="s">
        <v>238</v>
      </c>
      <c r="I310" s="411">
        <v>2</v>
      </c>
      <c r="J310" s="411" t="s">
        <v>302</v>
      </c>
      <c r="K310" s="130" t="s">
        <v>682</v>
      </c>
      <c r="L310" s="411">
        <v>1</v>
      </c>
      <c r="M310" s="166">
        <f t="shared" si="61"/>
        <v>2</v>
      </c>
      <c r="N310" s="133" t="s">
        <v>303</v>
      </c>
      <c r="O310" s="420" t="s">
        <v>1000</v>
      </c>
      <c r="P310" s="138">
        <v>1</v>
      </c>
      <c r="Q310" s="225">
        <f>P310*L310*I310</f>
        <v>2</v>
      </c>
      <c r="R310" s="428"/>
      <c r="S310" s="428"/>
      <c r="T310" s="133"/>
      <c r="U310" s="405"/>
      <c r="V310" s="135"/>
      <c r="W310" s="133"/>
      <c r="X310" s="405"/>
      <c r="Y310" s="405"/>
      <c r="Z310" s="135"/>
      <c r="AA310" s="136"/>
      <c r="AB310" s="111"/>
      <c r="AC310" s="363"/>
      <c r="AD310" s="226">
        <f t="shared" si="55"/>
        <v>10971</v>
      </c>
    </row>
    <row r="311" spans="1:30" ht="243" outlineLevel="3" thickBot="1" x14ac:dyDescent="0.25">
      <c r="A311" s="198" t="s">
        <v>1025</v>
      </c>
      <c r="B311" s="506"/>
      <c r="C311" s="507"/>
      <c r="D311" s="506"/>
      <c r="E311" s="411" t="s">
        <v>355</v>
      </c>
      <c r="F311" s="411" t="s">
        <v>356</v>
      </c>
      <c r="G311" s="411" t="s">
        <v>999</v>
      </c>
      <c r="H311" s="420" t="s">
        <v>238</v>
      </c>
      <c r="I311" s="411">
        <v>2</v>
      </c>
      <c r="J311" s="411" t="s">
        <v>307</v>
      </c>
      <c r="K311" s="130" t="s">
        <v>682</v>
      </c>
      <c r="L311" s="411">
        <v>1</v>
      </c>
      <c r="M311" s="166">
        <f t="shared" si="61"/>
        <v>2</v>
      </c>
      <c r="N311" s="133" t="s">
        <v>303</v>
      </c>
      <c r="O311" s="420" t="s">
        <v>1000</v>
      </c>
      <c r="P311" s="138">
        <v>1</v>
      </c>
      <c r="Q311" s="225">
        <f>P311*L311*I311</f>
        <v>2</v>
      </c>
      <c r="R311" s="428"/>
      <c r="S311" s="428"/>
      <c r="T311" s="133"/>
      <c r="U311" s="405"/>
      <c r="V311" s="135"/>
      <c r="W311" s="133"/>
      <c r="X311" s="405"/>
      <c r="Y311" s="405"/>
      <c r="Z311" s="135"/>
      <c r="AA311" s="136"/>
      <c r="AB311" s="111"/>
      <c r="AC311" s="363"/>
      <c r="AD311" s="226">
        <f t="shared" si="55"/>
        <v>10972</v>
      </c>
    </row>
    <row r="312" spans="1:30" ht="243" outlineLevel="3" thickBot="1" x14ac:dyDescent="0.25">
      <c r="A312" s="199" t="s">
        <v>1026</v>
      </c>
      <c r="B312" s="477" t="s">
        <v>358</v>
      </c>
      <c r="C312" s="479" t="s">
        <v>359</v>
      </c>
      <c r="D312" s="477" t="s">
        <v>360</v>
      </c>
      <c r="E312" s="405" t="s">
        <v>288</v>
      </c>
      <c r="F312" s="405" t="s">
        <v>361</v>
      </c>
      <c r="G312" s="417" t="s">
        <v>999</v>
      </c>
      <c r="H312" s="420" t="s">
        <v>238</v>
      </c>
      <c r="I312" s="164">
        <v>2</v>
      </c>
      <c r="J312" s="163" t="s">
        <v>775</v>
      </c>
      <c r="K312" s="130" t="s">
        <v>682</v>
      </c>
      <c r="L312" s="138">
        <v>1</v>
      </c>
      <c r="M312" s="166">
        <f t="shared" si="61"/>
        <v>2</v>
      </c>
      <c r="N312" s="133" t="s">
        <v>291</v>
      </c>
      <c r="O312" s="69" t="s">
        <v>1000</v>
      </c>
      <c r="P312" s="131">
        <v>1</v>
      </c>
      <c r="Q312" s="134">
        <f t="shared" si="62"/>
        <v>2</v>
      </c>
      <c r="R312" s="428"/>
      <c r="S312" s="428"/>
      <c r="T312" s="133"/>
      <c r="U312" s="405"/>
      <c r="V312" s="135"/>
      <c r="W312" s="133"/>
      <c r="X312" s="405"/>
      <c r="Y312" s="405"/>
      <c r="Z312" s="135"/>
      <c r="AA312" s="136"/>
      <c r="AB312" s="111"/>
      <c r="AC312" s="363"/>
      <c r="AD312" s="226">
        <f t="shared" si="55"/>
        <v>6780</v>
      </c>
    </row>
    <row r="313" spans="1:30" ht="243" outlineLevel="3" thickBot="1" x14ac:dyDescent="0.25">
      <c r="A313" s="199" t="s">
        <v>1027</v>
      </c>
      <c r="B313" s="478"/>
      <c r="C313" s="480"/>
      <c r="D313" s="478"/>
      <c r="E313" s="405" t="s">
        <v>340</v>
      </c>
      <c r="F313" s="405" t="s">
        <v>363</v>
      </c>
      <c r="G313" s="417" t="s">
        <v>999</v>
      </c>
      <c r="H313" s="420" t="s">
        <v>238</v>
      </c>
      <c r="I313" s="164">
        <v>2</v>
      </c>
      <c r="J313" s="163" t="s">
        <v>257</v>
      </c>
      <c r="K313" s="130" t="s">
        <v>682</v>
      </c>
      <c r="L313" s="138">
        <v>1</v>
      </c>
      <c r="M313" s="166">
        <f t="shared" si="61"/>
        <v>2</v>
      </c>
      <c r="N313" s="133" t="s">
        <v>291</v>
      </c>
      <c r="O313" s="69" t="s">
        <v>1000</v>
      </c>
      <c r="P313" s="131">
        <v>1</v>
      </c>
      <c r="Q313" s="134">
        <f t="shared" si="62"/>
        <v>2</v>
      </c>
      <c r="R313" s="428"/>
      <c r="S313" s="428"/>
      <c r="T313" s="133"/>
      <c r="U313" s="405"/>
      <c r="V313" s="135"/>
      <c r="W313" s="133"/>
      <c r="X313" s="405"/>
      <c r="Y313" s="405"/>
      <c r="Z313" s="135"/>
      <c r="AA313" s="136"/>
      <c r="AB313" s="111"/>
      <c r="AC313" s="363"/>
      <c r="AD313" s="226">
        <f t="shared" si="55"/>
        <v>6781</v>
      </c>
    </row>
    <row r="314" spans="1:30" ht="243" outlineLevel="3" thickBot="1" x14ac:dyDescent="0.25">
      <c r="A314" s="199" t="s">
        <v>1028</v>
      </c>
      <c r="B314" s="477" t="s">
        <v>365</v>
      </c>
      <c r="C314" s="479" t="s">
        <v>366</v>
      </c>
      <c r="D314" s="477" t="s">
        <v>367</v>
      </c>
      <c r="E314" s="405" t="s">
        <v>288</v>
      </c>
      <c r="F314" s="405" t="s">
        <v>327</v>
      </c>
      <c r="G314" s="417" t="s">
        <v>999</v>
      </c>
      <c r="H314" s="420" t="s">
        <v>238</v>
      </c>
      <c r="I314" s="164">
        <v>2</v>
      </c>
      <c r="J314" s="163" t="s">
        <v>775</v>
      </c>
      <c r="K314" s="130" t="s">
        <v>682</v>
      </c>
      <c r="L314" s="138">
        <v>1</v>
      </c>
      <c r="M314" s="166">
        <f t="shared" si="61"/>
        <v>2</v>
      </c>
      <c r="N314" s="133" t="s">
        <v>291</v>
      </c>
      <c r="O314" s="69" t="s">
        <v>1000</v>
      </c>
      <c r="P314" s="131">
        <v>1</v>
      </c>
      <c r="Q314" s="134">
        <f t="shared" si="62"/>
        <v>2</v>
      </c>
      <c r="R314" s="428"/>
      <c r="S314" s="428"/>
      <c r="T314" s="133"/>
      <c r="U314" s="405"/>
      <c r="V314" s="135"/>
      <c r="W314" s="133"/>
      <c r="X314" s="405"/>
      <c r="Y314" s="405"/>
      <c r="Z314" s="135"/>
      <c r="AA314" s="136"/>
      <c r="AB314" s="111"/>
      <c r="AC314" s="363"/>
      <c r="AD314" s="226">
        <f t="shared" si="55"/>
        <v>6782</v>
      </c>
    </row>
    <row r="315" spans="1:30" ht="243" outlineLevel="3" thickBot="1" x14ac:dyDescent="0.25">
      <c r="A315" s="199" t="s">
        <v>1029</v>
      </c>
      <c r="B315" s="478"/>
      <c r="C315" s="480"/>
      <c r="D315" s="478"/>
      <c r="E315" s="405" t="s">
        <v>340</v>
      </c>
      <c r="F315" s="405" t="s">
        <v>369</v>
      </c>
      <c r="G315" s="405" t="s">
        <v>999</v>
      </c>
      <c r="H315" s="420" t="s">
        <v>238</v>
      </c>
      <c r="I315" s="164">
        <v>2</v>
      </c>
      <c r="J315" s="163" t="s">
        <v>257</v>
      </c>
      <c r="K315" s="165" t="s">
        <v>682</v>
      </c>
      <c r="L315" s="138">
        <v>1</v>
      </c>
      <c r="M315" s="166">
        <f t="shared" si="61"/>
        <v>2</v>
      </c>
      <c r="N315" s="133" t="s">
        <v>291</v>
      </c>
      <c r="O315" s="69" t="s">
        <v>1000</v>
      </c>
      <c r="P315" s="131">
        <v>1</v>
      </c>
      <c r="Q315" s="134">
        <f t="shared" si="62"/>
        <v>2</v>
      </c>
      <c r="R315" s="428"/>
      <c r="S315" s="428"/>
      <c r="T315" s="133"/>
      <c r="U315" s="405"/>
      <c r="V315" s="135"/>
      <c r="W315" s="133"/>
      <c r="X315" s="405"/>
      <c r="Y315" s="405"/>
      <c r="Z315" s="135"/>
      <c r="AA315" s="136"/>
      <c r="AB315" s="111"/>
      <c r="AC315" s="363"/>
      <c r="AD315" s="226">
        <f t="shared" si="55"/>
        <v>6783</v>
      </c>
    </row>
    <row r="316" spans="1:30" ht="243" outlineLevel="3" thickBot="1" x14ac:dyDescent="0.25">
      <c r="A316" s="199" t="s">
        <v>1030</v>
      </c>
      <c r="B316" s="477" t="s">
        <v>371</v>
      </c>
      <c r="C316" s="479" t="s">
        <v>372</v>
      </c>
      <c r="D316" s="477" t="s">
        <v>373</v>
      </c>
      <c r="E316" s="405" t="s">
        <v>288</v>
      </c>
      <c r="F316" s="405" t="s">
        <v>374</v>
      </c>
      <c r="G316" s="417" t="s">
        <v>999</v>
      </c>
      <c r="H316" s="420" t="s">
        <v>238</v>
      </c>
      <c r="I316" s="164">
        <v>2</v>
      </c>
      <c r="J316" s="163" t="s">
        <v>1031</v>
      </c>
      <c r="K316" s="130" t="s">
        <v>682</v>
      </c>
      <c r="L316" s="138">
        <v>2</v>
      </c>
      <c r="M316" s="166">
        <f t="shared" si="61"/>
        <v>4</v>
      </c>
      <c r="N316" s="133" t="s">
        <v>291</v>
      </c>
      <c r="O316" s="69" t="s">
        <v>1000</v>
      </c>
      <c r="P316" s="131">
        <v>1</v>
      </c>
      <c r="Q316" s="134">
        <f t="shared" si="62"/>
        <v>4</v>
      </c>
      <c r="R316" s="428"/>
      <c r="S316" s="428"/>
      <c r="T316" s="133"/>
      <c r="U316" s="405"/>
      <c r="V316" s="135"/>
      <c r="W316" s="133"/>
      <c r="X316" s="405"/>
      <c r="Y316" s="405"/>
      <c r="Z316" s="135"/>
      <c r="AA316" s="136"/>
      <c r="AB316" s="111"/>
      <c r="AC316" s="363"/>
      <c r="AD316" s="226">
        <f t="shared" si="55"/>
        <v>6784</v>
      </c>
    </row>
    <row r="317" spans="1:30" ht="243" outlineLevel="3" thickBot="1" x14ac:dyDescent="0.25">
      <c r="A317" s="199" t="s">
        <v>1032</v>
      </c>
      <c r="B317" s="478"/>
      <c r="C317" s="480"/>
      <c r="D317" s="478"/>
      <c r="E317" s="405" t="s">
        <v>340</v>
      </c>
      <c r="F317" s="436" t="s">
        <v>376</v>
      </c>
      <c r="G317" s="417" t="s">
        <v>999</v>
      </c>
      <c r="H317" s="420" t="s">
        <v>238</v>
      </c>
      <c r="I317" s="164">
        <v>2</v>
      </c>
      <c r="J317" s="163" t="s">
        <v>833</v>
      </c>
      <c r="K317" s="130" t="s">
        <v>682</v>
      </c>
      <c r="L317" s="138">
        <v>2</v>
      </c>
      <c r="M317" s="166">
        <f t="shared" si="61"/>
        <v>4</v>
      </c>
      <c r="N317" s="133" t="s">
        <v>291</v>
      </c>
      <c r="O317" s="69" t="s">
        <v>1000</v>
      </c>
      <c r="P317" s="131">
        <v>1</v>
      </c>
      <c r="Q317" s="134">
        <f t="shared" si="62"/>
        <v>4</v>
      </c>
      <c r="R317" s="428"/>
      <c r="S317" s="428"/>
      <c r="T317" s="133"/>
      <c r="U317" s="405"/>
      <c r="V317" s="135"/>
      <c r="W317" s="133"/>
      <c r="X317" s="405"/>
      <c r="Y317" s="405"/>
      <c r="Z317" s="135"/>
      <c r="AA317" s="136"/>
      <c r="AB317" s="111"/>
      <c r="AC317" s="363"/>
      <c r="AD317" s="226">
        <f t="shared" si="55"/>
        <v>6785</v>
      </c>
    </row>
    <row r="318" spans="1:30" ht="243" outlineLevel="3" thickBot="1" x14ac:dyDescent="0.25">
      <c r="A318" s="243" t="s">
        <v>1033</v>
      </c>
      <c r="B318" s="489" t="s">
        <v>378</v>
      </c>
      <c r="C318" s="486" t="s">
        <v>379</v>
      </c>
      <c r="D318" s="516" t="s">
        <v>380</v>
      </c>
      <c r="E318" s="417" t="s">
        <v>381</v>
      </c>
      <c r="F318" s="417" t="s">
        <v>327</v>
      </c>
      <c r="G318" s="417" t="s">
        <v>999</v>
      </c>
      <c r="H318" s="127" t="s">
        <v>238</v>
      </c>
      <c r="I318" s="128">
        <v>2</v>
      </c>
      <c r="J318" s="163" t="s">
        <v>382</v>
      </c>
      <c r="K318" s="130" t="s">
        <v>682</v>
      </c>
      <c r="L318" s="131">
        <v>1</v>
      </c>
      <c r="M318" s="132">
        <f t="shared" si="61"/>
        <v>2</v>
      </c>
      <c r="N318" s="133" t="s">
        <v>291</v>
      </c>
      <c r="O318" s="69" t="s">
        <v>1000</v>
      </c>
      <c r="P318" s="131">
        <v>1</v>
      </c>
      <c r="Q318" s="134">
        <f t="shared" si="62"/>
        <v>2</v>
      </c>
      <c r="R318" s="428"/>
      <c r="S318" s="428"/>
      <c r="T318" s="133"/>
      <c r="U318" s="405"/>
      <c r="V318" s="135"/>
      <c r="W318" s="133"/>
      <c r="X318" s="405"/>
      <c r="Y318" s="405"/>
      <c r="Z318" s="135"/>
      <c r="AA318" s="136"/>
      <c r="AB318" s="111"/>
      <c r="AC318" s="363"/>
      <c r="AD318" s="226">
        <f t="shared" si="55"/>
        <v>5319</v>
      </c>
    </row>
    <row r="319" spans="1:30" ht="243" outlineLevel="3" thickBot="1" x14ac:dyDescent="0.25">
      <c r="A319" s="199" t="s">
        <v>1034</v>
      </c>
      <c r="B319" s="478"/>
      <c r="C319" s="480"/>
      <c r="D319" s="478"/>
      <c r="E319" s="417" t="s">
        <v>384</v>
      </c>
      <c r="F319" s="405" t="s">
        <v>385</v>
      </c>
      <c r="G319" s="417" t="s">
        <v>999</v>
      </c>
      <c r="H319" s="127" t="s">
        <v>238</v>
      </c>
      <c r="I319" s="128">
        <v>2</v>
      </c>
      <c r="J319" s="163" t="s">
        <v>386</v>
      </c>
      <c r="K319" s="130" t="s">
        <v>682</v>
      </c>
      <c r="L319" s="131">
        <v>1</v>
      </c>
      <c r="M319" s="132">
        <f t="shared" si="61"/>
        <v>2</v>
      </c>
      <c r="N319" s="133" t="s">
        <v>291</v>
      </c>
      <c r="O319" s="69" t="s">
        <v>1000</v>
      </c>
      <c r="P319" s="131">
        <v>1</v>
      </c>
      <c r="Q319" s="134">
        <f t="shared" si="62"/>
        <v>2</v>
      </c>
      <c r="R319" s="428"/>
      <c r="S319" s="428"/>
      <c r="T319" s="133"/>
      <c r="U319" s="405"/>
      <c r="V319" s="135"/>
      <c r="W319" s="133"/>
      <c r="X319" s="405"/>
      <c r="Y319" s="405"/>
      <c r="Z319" s="135"/>
      <c r="AA319" s="136"/>
      <c r="AB319" s="111"/>
      <c r="AC319" s="363"/>
      <c r="AD319" s="226">
        <f t="shared" si="55"/>
        <v>5320</v>
      </c>
    </row>
    <row r="320" spans="1:30" ht="243" outlineLevel="3" thickBot="1" x14ac:dyDescent="0.25">
      <c r="A320" s="252" t="s">
        <v>1035</v>
      </c>
      <c r="B320" s="489" t="s">
        <v>388</v>
      </c>
      <c r="C320" s="486" t="s">
        <v>389</v>
      </c>
      <c r="D320" s="489" t="s">
        <v>390</v>
      </c>
      <c r="E320" s="415" t="s">
        <v>300</v>
      </c>
      <c r="F320" s="415" t="s">
        <v>391</v>
      </c>
      <c r="G320" s="415" t="s">
        <v>999</v>
      </c>
      <c r="H320" s="127" t="s">
        <v>238</v>
      </c>
      <c r="I320" s="128">
        <v>2</v>
      </c>
      <c r="J320" s="163" t="s">
        <v>302</v>
      </c>
      <c r="K320" s="130" t="s">
        <v>682</v>
      </c>
      <c r="L320" s="131">
        <v>1</v>
      </c>
      <c r="M320" s="132">
        <f t="shared" si="61"/>
        <v>2</v>
      </c>
      <c r="N320" s="133" t="s">
        <v>291</v>
      </c>
      <c r="O320" s="69" t="s">
        <v>1000</v>
      </c>
      <c r="P320" s="131">
        <v>1</v>
      </c>
      <c r="Q320" s="134">
        <f t="shared" si="62"/>
        <v>2</v>
      </c>
      <c r="R320" s="428"/>
      <c r="S320" s="428"/>
      <c r="T320" s="133"/>
      <c r="U320" s="405"/>
      <c r="V320" s="135"/>
      <c r="W320" s="133"/>
      <c r="X320" s="405"/>
      <c r="Y320" s="405"/>
      <c r="Z320" s="135"/>
      <c r="AA320" s="136">
        <f t="shared" si="56"/>
        <v>0</v>
      </c>
      <c r="AB320" s="111"/>
      <c r="AC320" s="363"/>
      <c r="AD320" s="226">
        <f t="shared" si="55"/>
        <v>5321</v>
      </c>
    </row>
    <row r="321" spans="1:31" ht="243" outlineLevel="3" thickBot="1" x14ac:dyDescent="0.25">
      <c r="A321" s="243" t="s">
        <v>1036</v>
      </c>
      <c r="B321" s="491"/>
      <c r="C321" s="487"/>
      <c r="D321" s="491"/>
      <c r="E321" s="415" t="s">
        <v>393</v>
      </c>
      <c r="F321" s="430" t="s">
        <v>394</v>
      </c>
      <c r="G321" s="415" t="s">
        <v>999</v>
      </c>
      <c r="H321" s="127" t="s">
        <v>238</v>
      </c>
      <c r="I321" s="128">
        <v>2</v>
      </c>
      <c r="J321" s="163" t="s">
        <v>307</v>
      </c>
      <c r="K321" s="130" t="s">
        <v>682</v>
      </c>
      <c r="L321" s="131">
        <v>1</v>
      </c>
      <c r="M321" s="132">
        <f t="shared" si="61"/>
        <v>2</v>
      </c>
      <c r="N321" s="133" t="s">
        <v>291</v>
      </c>
      <c r="O321" s="69" t="s">
        <v>1000</v>
      </c>
      <c r="P321" s="131">
        <v>1</v>
      </c>
      <c r="Q321" s="134">
        <f t="shared" si="62"/>
        <v>2</v>
      </c>
      <c r="R321" s="428"/>
      <c r="S321" s="428"/>
      <c r="T321" s="133"/>
      <c r="U321" s="405"/>
      <c r="V321" s="135"/>
      <c r="W321" s="133"/>
      <c r="X321" s="405"/>
      <c r="Y321" s="405"/>
      <c r="Z321" s="135"/>
      <c r="AA321" s="136"/>
      <c r="AB321" s="111"/>
      <c r="AC321" s="363"/>
      <c r="AD321" s="226">
        <f t="shared" si="55"/>
        <v>5322</v>
      </c>
    </row>
    <row r="322" spans="1:31" ht="243" outlineLevel="3" thickBot="1" x14ac:dyDescent="0.25">
      <c r="A322" s="200" t="s">
        <v>1037</v>
      </c>
      <c r="B322" s="485" t="s">
        <v>396</v>
      </c>
      <c r="C322" s="479" t="s">
        <v>1038</v>
      </c>
      <c r="D322" s="485" t="s">
        <v>397</v>
      </c>
      <c r="E322" s="337" t="s">
        <v>398</v>
      </c>
      <c r="F322" s="337" t="s">
        <v>399</v>
      </c>
      <c r="G322" s="337" t="s">
        <v>999</v>
      </c>
      <c r="H322" s="148" t="s">
        <v>238</v>
      </c>
      <c r="I322" s="149">
        <v>2</v>
      </c>
      <c r="J322" s="176" t="s">
        <v>438</v>
      </c>
      <c r="K322" s="130" t="s">
        <v>682</v>
      </c>
      <c r="L322" s="152">
        <v>1</v>
      </c>
      <c r="M322" s="153">
        <f t="shared" si="61"/>
        <v>2</v>
      </c>
      <c r="N322" s="154" t="s">
        <v>291</v>
      </c>
      <c r="O322" s="155" t="s">
        <v>1000</v>
      </c>
      <c r="P322" s="152">
        <v>1</v>
      </c>
      <c r="Q322" s="156">
        <f t="shared" si="62"/>
        <v>2</v>
      </c>
      <c r="R322" s="428"/>
      <c r="S322" s="428"/>
      <c r="T322" s="133"/>
      <c r="U322" s="405"/>
      <c r="V322" s="135"/>
      <c r="W322" s="133"/>
      <c r="X322" s="405"/>
      <c r="Y322" s="405"/>
      <c r="Z322" s="135"/>
      <c r="AA322" s="136"/>
      <c r="AB322" s="111"/>
      <c r="AC322" s="363"/>
      <c r="AD322" s="226">
        <f t="shared" si="55"/>
        <v>5323</v>
      </c>
    </row>
    <row r="323" spans="1:31" ht="243" outlineLevel="3" thickBot="1" x14ac:dyDescent="0.25">
      <c r="A323" s="199" t="s">
        <v>1039</v>
      </c>
      <c r="B323" s="478"/>
      <c r="C323" s="480"/>
      <c r="D323" s="478"/>
      <c r="E323" s="417" t="s">
        <v>340</v>
      </c>
      <c r="F323" s="417" t="s">
        <v>1040</v>
      </c>
      <c r="G323" s="417" t="s">
        <v>999</v>
      </c>
      <c r="H323" s="127" t="s">
        <v>238</v>
      </c>
      <c r="I323" s="128">
        <v>2</v>
      </c>
      <c r="J323" s="163" t="s">
        <v>402</v>
      </c>
      <c r="K323" s="130" t="s">
        <v>682</v>
      </c>
      <c r="L323" s="131">
        <v>1</v>
      </c>
      <c r="M323" s="132">
        <f t="shared" si="61"/>
        <v>2</v>
      </c>
      <c r="N323" s="133" t="s">
        <v>291</v>
      </c>
      <c r="O323" s="69" t="s">
        <v>1000</v>
      </c>
      <c r="P323" s="131">
        <v>1</v>
      </c>
      <c r="Q323" s="134">
        <f t="shared" si="62"/>
        <v>2</v>
      </c>
      <c r="R323" s="428"/>
      <c r="S323" s="428"/>
      <c r="T323" s="133"/>
      <c r="U323" s="405"/>
      <c r="V323" s="135"/>
      <c r="W323" s="133"/>
      <c r="X323" s="405"/>
      <c r="Y323" s="405"/>
      <c r="Z323" s="135"/>
      <c r="AA323" s="136"/>
      <c r="AB323" s="111"/>
      <c r="AC323" s="363"/>
      <c r="AD323" s="226">
        <f t="shared" si="55"/>
        <v>5324</v>
      </c>
    </row>
    <row r="324" spans="1:31" ht="115.5" outlineLevel="3" thickBot="1" x14ac:dyDescent="0.25">
      <c r="A324" s="199" t="s">
        <v>1041</v>
      </c>
      <c r="B324" s="477" t="s">
        <v>404</v>
      </c>
      <c r="C324" s="479" t="s">
        <v>405</v>
      </c>
      <c r="D324" s="477" t="s">
        <v>406</v>
      </c>
      <c r="E324" s="417" t="s">
        <v>407</v>
      </c>
      <c r="F324" s="417" t="s">
        <v>408</v>
      </c>
      <c r="G324" s="417" t="s">
        <v>993</v>
      </c>
      <c r="H324" s="127" t="s">
        <v>238</v>
      </c>
      <c r="I324" s="128">
        <v>1</v>
      </c>
      <c r="J324" s="163" t="s">
        <v>277</v>
      </c>
      <c r="K324" s="130" t="s">
        <v>682</v>
      </c>
      <c r="L324" s="131">
        <v>1</v>
      </c>
      <c r="M324" s="132">
        <f t="shared" si="61"/>
        <v>1</v>
      </c>
      <c r="N324" s="133" t="s">
        <v>291</v>
      </c>
      <c r="O324" s="69" t="s">
        <v>242</v>
      </c>
      <c r="P324" s="131">
        <v>5</v>
      </c>
      <c r="Q324" s="134">
        <f t="shared" si="62"/>
        <v>5</v>
      </c>
      <c r="R324" s="428"/>
      <c r="S324" s="428"/>
      <c r="T324" s="133"/>
      <c r="U324" s="405"/>
      <c r="V324" s="135"/>
      <c r="W324" s="133"/>
      <c r="X324" s="405"/>
      <c r="Y324" s="405"/>
      <c r="Z324" s="135"/>
      <c r="AA324" s="136"/>
      <c r="AB324" s="111"/>
      <c r="AC324" s="227"/>
      <c r="AD324" s="226">
        <f t="shared" si="55"/>
        <v>5325</v>
      </c>
    </row>
    <row r="325" spans="1:31" ht="243" outlineLevel="3" thickBot="1" x14ac:dyDescent="0.25">
      <c r="A325" s="199" t="s">
        <v>1042</v>
      </c>
      <c r="B325" s="478"/>
      <c r="C325" s="480"/>
      <c r="D325" s="478"/>
      <c r="E325" s="417" t="s">
        <v>279</v>
      </c>
      <c r="F325" s="417" t="s">
        <v>411</v>
      </c>
      <c r="G325" s="417" t="s">
        <v>999</v>
      </c>
      <c r="H325" s="127" t="s">
        <v>238</v>
      </c>
      <c r="I325" s="128">
        <v>2</v>
      </c>
      <c r="J325" s="163" t="s">
        <v>412</v>
      </c>
      <c r="K325" s="130" t="s">
        <v>682</v>
      </c>
      <c r="L325" s="131">
        <v>1</v>
      </c>
      <c r="M325" s="132">
        <f t="shared" si="61"/>
        <v>2</v>
      </c>
      <c r="N325" s="133" t="s">
        <v>291</v>
      </c>
      <c r="O325" s="69" t="s">
        <v>1000</v>
      </c>
      <c r="P325" s="131">
        <v>1</v>
      </c>
      <c r="Q325" s="134">
        <f t="shared" si="62"/>
        <v>2</v>
      </c>
      <c r="R325" s="428"/>
      <c r="S325" s="428"/>
      <c r="T325" s="133"/>
      <c r="U325" s="405"/>
      <c r="V325" s="135"/>
      <c r="W325" s="133"/>
      <c r="X325" s="405"/>
      <c r="Y325" s="405"/>
      <c r="Z325" s="135"/>
      <c r="AA325" s="136">
        <f>X325*Y325*Z325</f>
        <v>0</v>
      </c>
      <c r="AB325" s="111"/>
      <c r="AC325" s="363"/>
      <c r="AD325" s="226">
        <f t="shared" si="55"/>
        <v>5326</v>
      </c>
    </row>
    <row r="326" spans="1:31" s="144" customFormat="1" ht="243" outlineLevel="3" thickBot="1" x14ac:dyDescent="0.25">
      <c r="A326" s="199" t="s">
        <v>1043</v>
      </c>
      <c r="B326" s="477" t="s">
        <v>414</v>
      </c>
      <c r="C326" s="479" t="s">
        <v>415</v>
      </c>
      <c r="D326" s="477" t="s">
        <v>416</v>
      </c>
      <c r="E326" s="417" t="s">
        <v>417</v>
      </c>
      <c r="F326" s="417" t="s">
        <v>418</v>
      </c>
      <c r="G326" s="417" t="s">
        <v>999</v>
      </c>
      <c r="H326" s="127" t="s">
        <v>238</v>
      </c>
      <c r="I326" s="128">
        <v>2</v>
      </c>
      <c r="J326" s="163" t="s">
        <v>302</v>
      </c>
      <c r="K326" s="130" t="s">
        <v>682</v>
      </c>
      <c r="L326" s="131">
        <v>1</v>
      </c>
      <c r="M326" s="132">
        <f t="shared" si="61"/>
        <v>2</v>
      </c>
      <c r="N326" s="133" t="s">
        <v>291</v>
      </c>
      <c r="O326" s="69" t="s">
        <v>1000</v>
      </c>
      <c r="P326" s="131">
        <v>1</v>
      </c>
      <c r="Q326" s="134">
        <f t="shared" si="62"/>
        <v>2</v>
      </c>
      <c r="R326" s="428"/>
      <c r="S326" s="428"/>
      <c r="T326" s="133"/>
      <c r="U326" s="405"/>
      <c r="V326" s="135"/>
      <c r="W326" s="133"/>
      <c r="X326" s="405"/>
      <c r="Y326" s="405"/>
      <c r="Z326" s="135"/>
      <c r="AA326" s="136">
        <f>X326*Y326*Z326</f>
        <v>0</v>
      </c>
      <c r="AB326" s="111"/>
      <c r="AC326" s="366"/>
      <c r="AD326" s="226">
        <f t="shared" ref="AD326:AD389" si="65">VALUE(RIGHT((IF(A326="",0,A326)),5))</f>
        <v>5327</v>
      </c>
      <c r="AE326" s="350"/>
    </row>
    <row r="327" spans="1:31" s="144" customFormat="1" ht="243" outlineLevel="3" thickBot="1" x14ac:dyDescent="0.25">
      <c r="A327" s="199" t="s">
        <v>1044</v>
      </c>
      <c r="B327" s="478"/>
      <c r="C327" s="480"/>
      <c r="D327" s="478"/>
      <c r="E327" s="417" t="s">
        <v>393</v>
      </c>
      <c r="F327" s="417" t="s">
        <v>1045</v>
      </c>
      <c r="G327" s="417" t="s">
        <v>999</v>
      </c>
      <c r="H327" s="127" t="s">
        <v>238</v>
      </c>
      <c r="I327" s="128">
        <v>2</v>
      </c>
      <c r="J327" s="163" t="s">
        <v>307</v>
      </c>
      <c r="K327" s="130" t="s">
        <v>682</v>
      </c>
      <c r="L327" s="131">
        <v>1</v>
      </c>
      <c r="M327" s="132">
        <f t="shared" si="61"/>
        <v>2</v>
      </c>
      <c r="N327" s="133" t="s">
        <v>291</v>
      </c>
      <c r="O327" s="69" t="s">
        <v>1000</v>
      </c>
      <c r="P327" s="131">
        <v>1</v>
      </c>
      <c r="Q327" s="134">
        <f t="shared" si="62"/>
        <v>2</v>
      </c>
      <c r="R327" s="428"/>
      <c r="S327" s="428"/>
      <c r="T327" s="133"/>
      <c r="U327" s="405"/>
      <c r="V327" s="135"/>
      <c r="W327" s="133"/>
      <c r="X327" s="405"/>
      <c r="Y327" s="405"/>
      <c r="Z327" s="135"/>
      <c r="AA327" s="136">
        <f>X327*Y327*Z327</f>
        <v>0</v>
      </c>
      <c r="AB327" s="111"/>
      <c r="AC327" s="366"/>
      <c r="AD327" s="226">
        <f t="shared" si="65"/>
        <v>5328</v>
      </c>
      <c r="AE327" s="350"/>
    </row>
    <row r="328" spans="1:31" ht="243" outlineLevel="3" thickBot="1" x14ac:dyDescent="0.25">
      <c r="A328" s="243" t="s">
        <v>1046</v>
      </c>
      <c r="B328" s="489" t="s">
        <v>422</v>
      </c>
      <c r="C328" s="523" t="s">
        <v>423</v>
      </c>
      <c r="D328" s="516" t="s">
        <v>424</v>
      </c>
      <c r="E328" s="415" t="s">
        <v>425</v>
      </c>
      <c r="F328" s="415" t="s">
        <v>418</v>
      </c>
      <c r="G328" s="417" t="s">
        <v>999</v>
      </c>
      <c r="H328" s="127" t="s">
        <v>238</v>
      </c>
      <c r="I328" s="128">
        <v>2</v>
      </c>
      <c r="J328" s="163" t="s">
        <v>833</v>
      </c>
      <c r="K328" s="130" t="s">
        <v>682</v>
      </c>
      <c r="L328" s="138">
        <v>2</v>
      </c>
      <c r="M328" s="132">
        <f t="shared" si="61"/>
        <v>4</v>
      </c>
      <c r="N328" s="133" t="s">
        <v>291</v>
      </c>
      <c r="O328" s="69" t="s">
        <v>1000</v>
      </c>
      <c r="P328" s="131">
        <v>1</v>
      </c>
      <c r="Q328" s="134">
        <f t="shared" si="62"/>
        <v>4</v>
      </c>
      <c r="R328" s="428"/>
      <c r="S328" s="428"/>
      <c r="T328" s="133"/>
      <c r="U328" s="405"/>
      <c r="V328" s="135"/>
      <c r="W328" s="133"/>
      <c r="X328" s="405"/>
      <c r="Y328" s="405"/>
      <c r="Z328" s="135"/>
      <c r="AA328" s="136">
        <f t="shared" ref="AA328:AA346" si="66">X328*Y328*Z328</f>
        <v>0</v>
      </c>
      <c r="AB328" s="111"/>
      <c r="AC328" s="363"/>
      <c r="AD328" s="226">
        <f t="shared" si="65"/>
        <v>5329</v>
      </c>
    </row>
    <row r="329" spans="1:31" ht="243" outlineLevel="3" thickBot="1" x14ac:dyDescent="0.25">
      <c r="A329" s="243" t="s">
        <v>1047</v>
      </c>
      <c r="B329" s="491"/>
      <c r="C329" s="524"/>
      <c r="D329" s="491"/>
      <c r="E329" s="415" t="s">
        <v>340</v>
      </c>
      <c r="F329" s="430" t="s">
        <v>427</v>
      </c>
      <c r="G329" s="417" t="s">
        <v>999</v>
      </c>
      <c r="H329" s="127" t="s">
        <v>238</v>
      </c>
      <c r="I329" s="128">
        <v>2</v>
      </c>
      <c r="J329" s="163" t="s">
        <v>302</v>
      </c>
      <c r="K329" s="130" t="s">
        <v>682</v>
      </c>
      <c r="L329" s="138">
        <v>2</v>
      </c>
      <c r="M329" s="132">
        <f t="shared" si="61"/>
        <v>4</v>
      </c>
      <c r="N329" s="133" t="s">
        <v>291</v>
      </c>
      <c r="O329" s="69" t="s">
        <v>1000</v>
      </c>
      <c r="P329" s="131">
        <v>1</v>
      </c>
      <c r="Q329" s="134">
        <f t="shared" si="62"/>
        <v>4</v>
      </c>
      <c r="R329" s="428"/>
      <c r="S329" s="428"/>
      <c r="T329" s="133"/>
      <c r="U329" s="405"/>
      <c r="V329" s="135"/>
      <c r="W329" s="133"/>
      <c r="X329" s="405"/>
      <c r="Y329" s="405"/>
      <c r="Z329" s="135"/>
      <c r="AA329" s="136"/>
      <c r="AB329" s="111"/>
      <c r="AC329" s="363"/>
      <c r="AD329" s="226">
        <f t="shared" si="65"/>
        <v>5330</v>
      </c>
    </row>
    <row r="330" spans="1:31" ht="243" outlineLevel="3" thickBot="1" x14ac:dyDescent="0.25">
      <c r="A330" s="199" t="s">
        <v>1048</v>
      </c>
      <c r="B330" s="477" t="s">
        <v>430</v>
      </c>
      <c r="C330" s="479" t="s">
        <v>431</v>
      </c>
      <c r="D330" s="477" t="s">
        <v>432</v>
      </c>
      <c r="E330" s="405" t="s">
        <v>352</v>
      </c>
      <c r="F330" s="405" t="s">
        <v>418</v>
      </c>
      <c r="G330" s="417" t="s">
        <v>999</v>
      </c>
      <c r="H330" s="420" t="s">
        <v>238</v>
      </c>
      <c r="I330" s="164">
        <v>2</v>
      </c>
      <c r="J330" s="163" t="s">
        <v>302</v>
      </c>
      <c r="K330" s="130" t="s">
        <v>682</v>
      </c>
      <c r="L330" s="138">
        <v>1</v>
      </c>
      <c r="M330" s="166">
        <f t="shared" si="61"/>
        <v>2</v>
      </c>
      <c r="N330" s="133" t="s">
        <v>291</v>
      </c>
      <c r="O330" s="69" t="s">
        <v>1000</v>
      </c>
      <c r="P330" s="131">
        <v>1</v>
      </c>
      <c r="Q330" s="134">
        <f t="shared" si="62"/>
        <v>2</v>
      </c>
      <c r="R330" s="428"/>
      <c r="S330" s="428"/>
      <c r="T330" s="133"/>
      <c r="U330" s="405"/>
      <c r="V330" s="135"/>
      <c r="W330" s="133"/>
      <c r="X330" s="405"/>
      <c r="Y330" s="405"/>
      <c r="Z330" s="135"/>
      <c r="AA330" s="136">
        <f t="shared" si="66"/>
        <v>0</v>
      </c>
      <c r="AB330" s="111"/>
      <c r="AC330" s="363"/>
      <c r="AD330" s="226">
        <f t="shared" si="65"/>
        <v>6786</v>
      </c>
    </row>
    <row r="331" spans="1:31" ht="243" outlineLevel="3" thickBot="1" x14ac:dyDescent="0.25">
      <c r="A331" s="199" t="s">
        <v>1049</v>
      </c>
      <c r="B331" s="478"/>
      <c r="C331" s="480"/>
      <c r="D331" s="478"/>
      <c r="E331" s="405" t="s">
        <v>355</v>
      </c>
      <c r="F331" s="405" t="s">
        <v>418</v>
      </c>
      <c r="G331" s="417" t="s">
        <v>999</v>
      </c>
      <c r="H331" s="420" t="s">
        <v>238</v>
      </c>
      <c r="I331" s="164">
        <v>2</v>
      </c>
      <c r="J331" s="163" t="s">
        <v>307</v>
      </c>
      <c r="K331" s="130" t="s">
        <v>682</v>
      </c>
      <c r="L331" s="138">
        <v>1</v>
      </c>
      <c r="M331" s="166">
        <f t="shared" si="61"/>
        <v>2</v>
      </c>
      <c r="N331" s="133" t="s">
        <v>291</v>
      </c>
      <c r="O331" s="69" t="s">
        <v>1000</v>
      </c>
      <c r="P331" s="131">
        <v>1</v>
      </c>
      <c r="Q331" s="134">
        <f t="shared" si="62"/>
        <v>2</v>
      </c>
      <c r="R331" s="428"/>
      <c r="S331" s="428"/>
      <c r="T331" s="133"/>
      <c r="U331" s="405"/>
      <c r="V331" s="135"/>
      <c r="W331" s="133"/>
      <c r="X331" s="405"/>
      <c r="Y331" s="405"/>
      <c r="Z331" s="135"/>
      <c r="AA331" s="136"/>
      <c r="AB331" s="111"/>
      <c r="AC331" s="363"/>
      <c r="AD331" s="226">
        <f t="shared" si="65"/>
        <v>6787</v>
      </c>
    </row>
    <row r="332" spans="1:31" ht="243" outlineLevel="3" thickBot="1" x14ac:dyDescent="0.25">
      <c r="A332" s="200" t="s">
        <v>1050</v>
      </c>
      <c r="B332" s="485" t="s">
        <v>436</v>
      </c>
      <c r="C332" s="566" t="s">
        <v>423</v>
      </c>
      <c r="D332" s="485" t="s">
        <v>424</v>
      </c>
      <c r="E332" s="414" t="s">
        <v>437</v>
      </c>
      <c r="F332" s="414" t="s">
        <v>418</v>
      </c>
      <c r="G332" s="337" t="s">
        <v>999</v>
      </c>
      <c r="H332" s="336" t="s">
        <v>238</v>
      </c>
      <c r="I332" s="177">
        <v>2</v>
      </c>
      <c r="J332" s="176" t="s">
        <v>438</v>
      </c>
      <c r="K332" s="130" t="s">
        <v>682</v>
      </c>
      <c r="L332" s="179">
        <v>1</v>
      </c>
      <c r="M332" s="180">
        <f t="shared" si="61"/>
        <v>2</v>
      </c>
      <c r="N332" s="154" t="s">
        <v>291</v>
      </c>
      <c r="O332" s="69" t="s">
        <v>1000</v>
      </c>
      <c r="P332" s="131">
        <v>1</v>
      </c>
      <c r="Q332" s="156">
        <f t="shared" si="62"/>
        <v>2</v>
      </c>
      <c r="R332" s="428"/>
      <c r="S332" s="428"/>
      <c r="T332" s="133"/>
      <c r="U332" s="405"/>
      <c r="V332" s="135"/>
      <c r="W332" s="133"/>
      <c r="X332" s="405"/>
      <c r="Y332" s="405"/>
      <c r="Z332" s="135"/>
      <c r="AA332" s="136">
        <f t="shared" si="66"/>
        <v>0</v>
      </c>
      <c r="AB332" s="111"/>
      <c r="AC332" s="363"/>
      <c r="AD332" s="226">
        <f t="shared" si="65"/>
        <v>6788</v>
      </c>
    </row>
    <row r="333" spans="1:31" ht="115.5" outlineLevel="3" thickBot="1" x14ac:dyDescent="0.25">
      <c r="A333" s="200" t="s">
        <v>1051</v>
      </c>
      <c r="B333" s="515"/>
      <c r="C333" s="567"/>
      <c r="D333" s="579"/>
      <c r="E333" s="414" t="s">
        <v>440</v>
      </c>
      <c r="F333" s="414" t="s">
        <v>441</v>
      </c>
      <c r="G333" s="417" t="s">
        <v>993</v>
      </c>
      <c r="H333" s="336" t="s">
        <v>238</v>
      </c>
      <c r="I333" s="177">
        <v>1</v>
      </c>
      <c r="J333" s="176" t="s">
        <v>402</v>
      </c>
      <c r="K333" s="130" t="s">
        <v>682</v>
      </c>
      <c r="L333" s="179">
        <v>1</v>
      </c>
      <c r="M333" s="180">
        <f t="shared" si="61"/>
        <v>1</v>
      </c>
      <c r="N333" s="154" t="s">
        <v>291</v>
      </c>
      <c r="O333" s="155" t="s">
        <v>242</v>
      </c>
      <c r="P333" s="152">
        <v>5</v>
      </c>
      <c r="Q333" s="156">
        <f t="shared" si="62"/>
        <v>5</v>
      </c>
      <c r="R333" s="428"/>
      <c r="S333" s="428"/>
      <c r="T333" s="133"/>
      <c r="U333" s="405"/>
      <c r="V333" s="135"/>
      <c r="W333" s="133"/>
      <c r="X333" s="405"/>
      <c r="Y333" s="405"/>
      <c r="Z333" s="135"/>
      <c r="AA333" s="136"/>
      <c r="AB333" s="111"/>
      <c r="AC333" s="363"/>
      <c r="AD333" s="226">
        <f t="shared" si="65"/>
        <v>6789</v>
      </c>
    </row>
    <row r="334" spans="1:31" ht="243" outlineLevel="3" thickBot="1" x14ac:dyDescent="0.25">
      <c r="A334" s="199" t="s">
        <v>1052</v>
      </c>
      <c r="B334" s="477" t="s">
        <v>443</v>
      </c>
      <c r="C334" s="479" t="s">
        <v>444</v>
      </c>
      <c r="D334" s="477" t="s">
        <v>445</v>
      </c>
      <c r="E334" s="405" t="s">
        <v>437</v>
      </c>
      <c r="F334" s="405" t="s">
        <v>446</v>
      </c>
      <c r="G334" s="417" t="s">
        <v>999</v>
      </c>
      <c r="H334" s="420" t="s">
        <v>238</v>
      </c>
      <c r="I334" s="164">
        <v>2</v>
      </c>
      <c r="J334" s="163" t="s">
        <v>438</v>
      </c>
      <c r="K334" s="130" t="s">
        <v>682</v>
      </c>
      <c r="L334" s="138">
        <v>1</v>
      </c>
      <c r="M334" s="166">
        <f t="shared" si="61"/>
        <v>2</v>
      </c>
      <c r="N334" s="133" t="s">
        <v>291</v>
      </c>
      <c r="O334" s="69" t="s">
        <v>1000</v>
      </c>
      <c r="P334" s="131">
        <v>1</v>
      </c>
      <c r="Q334" s="134">
        <f t="shared" si="62"/>
        <v>2</v>
      </c>
      <c r="R334" s="428"/>
      <c r="S334" s="428"/>
      <c r="T334" s="133"/>
      <c r="U334" s="405"/>
      <c r="V334" s="135"/>
      <c r="W334" s="133"/>
      <c r="X334" s="405"/>
      <c r="Y334" s="405"/>
      <c r="Z334" s="135"/>
      <c r="AA334" s="136">
        <f t="shared" si="66"/>
        <v>0</v>
      </c>
      <c r="AB334" s="111"/>
      <c r="AC334" s="363"/>
      <c r="AD334" s="226">
        <f t="shared" si="65"/>
        <v>6790</v>
      </c>
    </row>
    <row r="335" spans="1:31" ht="243" outlineLevel="3" thickBot="1" x14ac:dyDescent="0.25">
      <c r="A335" s="199" t="s">
        <v>1053</v>
      </c>
      <c r="B335" s="478"/>
      <c r="C335" s="480"/>
      <c r="D335" s="478"/>
      <c r="E335" s="405" t="s">
        <v>440</v>
      </c>
      <c r="F335" s="405" t="s">
        <v>448</v>
      </c>
      <c r="G335" s="417" t="s">
        <v>999</v>
      </c>
      <c r="H335" s="420" t="s">
        <v>238</v>
      </c>
      <c r="I335" s="164">
        <v>2</v>
      </c>
      <c r="J335" s="163" t="s">
        <v>402</v>
      </c>
      <c r="K335" s="130" t="s">
        <v>682</v>
      </c>
      <c r="L335" s="138">
        <v>1</v>
      </c>
      <c r="M335" s="166">
        <f t="shared" si="61"/>
        <v>2</v>
      </c>
      <c r="N335" s="133" t="s">
        <v>291</v>
      </c>
      <c r="O335" s="69" t="s">
        <v>1000</v>
      </c>
      <c r="P335" s="131">
        <v>1</v>
      </c>
      <c r="Q335" s="134">
        <f t="shared" si="62"/>
        <v>2</v>
      </c>
      <c r="R335" s="428"/>
      <c r="S335" s="428"/>
      <c r="T335" s="133"/>
      <c r="U335" s="405"/>
      <c r="V335" s="135"/>
      <c r="W335" s="133"/>
      <c r="X335" s="405"/>
      <c r="Y335" s="405"/>
      <c r="Z335" s="135"/>
      <c r="AA335" s="136"/>
      <c r="AB335" s="111"/>
      <c r="AC335" s="363"/>
      <c r="AD335" s="226">
        <f t="shared" si="65"/>
        <v>6791</v>
      </c>
    </row>
    <row r="336" spans="1:31" ht="115.5" outlineLevel="3" thickBot="1" x14ac:dyDescent="0.25">
      <c r="A336" s="199" t="s">
        <v>1054</v>
      </c>
      <c r="B336" s="477" t="s">
        <v>450</v>
      </c>
      <c r="C336" s="479" t="s">
        <v>451</v>
      </c>
      <c r="D336" s="477" t="s">
        <v>452</v>
      </c>
      <c r="E336" s="405" t="s">
        <v>437</v>
      </c>
      <c r="F336" s="405" t="s">
        <v>441</v>
      </c>
      <c r="G336" s="417" t="s">
        <v>993</v>
      </c>
      <c r="H336" s="420" t="s">
        <v>238</v>
      </c>
      <c r="I336" s="164">
        <v>1</v>
      </c>
      <c r="J336" s="163" t="s">
        <v>438</v>
      </c>
      <c r="K336" s="130" t="s">
        <v>682</v>
      </c>
      <c r="L336" s="138">
        <v>2</v>
      </c>
      <c r="M336" s="166">
        <f t="shared" si="61"/>
        <v>2</v>
      </c>
      <c r="N336" s="133" t="s">
        <v>291</v>
      </c>
      <c r="O336" s="69" t="s">
        <v>242</v>
      </c>
      <c r="P336" s="131">
        <v>5</v>
      </c>
      <c r="Q336" s="134">
        <f t="shared" si="62"/>
        <v>10</v>
      </c>
      <c r="R336" s="428"/>
      <c r="S336" s="428"/>
      <c r="T336" s="133"/>
      <c r="U336" s="405"/>
      <c r="V336" s="135"/>
      <c r="W336" s="133"/>
      <c r="X336" s="405"/>
      <c r="Y336" s="405"/>
      <c r="Z336" s="135"/>
      <c r="AA336" s="136"/>
      <c r="AB336" s="111"/>
      <c r="AC336" s="363"/>
      <c r="AD336" s="226">
        <f t="shared" si="65"/>
        <v>6792</v>
      </c>
    </row>
    <row r="337" spans="1:30" ht="243" outlineLevel="3" thickBot="1" x14ac:dyDescent="0.25">
      <c r="A337" s="199" t="s">
        <v>1055</v>
      </c>
      <c r="B337" s="478"/>
      <c r="C337" s="480"/>
      <c r="D337" s="478"/>
      <c r="E337" s="405" t="s">
        <v>440</v>
      </c>
      <c r="F337" s="405" t="s">
        <v>454</v>
      </c>
      <c r="G337" s="417" t="s">
        <v>999</v>
      </c>
      <c r="H337" s="420" t="s">
        <v>238</v>
      </c>
      <c r="I337" s="164">
        <v>2</v>
      </c>
      <c r="J337" s="163" t="s">
        <v>402</v>
      </c>
      <c r="K337" s="130" t="s">
        <v>682</v>
      </c>
      <c r="L337" s="138">
        <v>2</v>
      </c>
      <c r="M337" s="166">
        <f t="shared" si="61"/>
        <v>4</v>
      </c>
      <c r="N337" s="133" t="s">
        <v>291</v>
      </c>
      <c r="O337" s="69" t="s">
        <v>1000</v>
      </c>
      <c r="P337" s="131">
        <v>1</v>
      </c>
      <c r="Q337" s="134">
        <f t="shared" si="62"/>
        <v>4</v>
      </c>
      <c r="R337" s="428"/>
      <c r="S337" s="428"/>
      <c r="T337" s="133"/>
      <c r="U337" s="405"/>
      <c r="V337" s="135"/>
      <c r="W337" s="133"/>
      <c r="X337" s="405"/>
      <c r="Y337" s="405"/>
      <c r="Z337" s="135"/>
      <c r="AA337" s="136"/>
      <c r="AB337" s="111"/>
      <c r="AC337" s="363"/>
      <c r="AD337" s="226">
        <f t="shared" si="65"/>
        <v>6793</v>
      </c>
    </row>
    <row r="338" spans="1:30" ht="243" outlineLevel="3" thickBot="1" x14ac:dyDescent="0.25">
      <c r="A338" s="199" t="s">
        <v>1056</v>
      </c>
      <c r="B338" s="477" t="s">
        <v>456</v>
      </c>
      <c r="C338" s="479" t="s">
        <v>457</v>
      </c>
      <c r="D338" s="477" t="s">
        <v>458</v>
      </c>
      <c r="E338" s="417" t="s">
        <v>459</v>
      </c>
      <c r="F338" s="417" t="s">
        <v>418</v>
      </c>
      <c r="G338" s="417" t="s">
        <v>999</v>
      </c>
      <c r="H338" s="127" t="s">
        <v>238</v>
      </c>
      <c r="I338" s="128">
        <v>2</v>
      </c>
      <c r="J338" s="163" t="s">
        <v>328</v>
      </c>
      <c r="K338" s="130" t="s">
        <v>682</v>
      </c>
      <c r="L338" s="131">
        <v>1</v>
      </c>
      <c r="M338" s="132">
        <f t="shared" si="61"/>
        <v>2</v>
      </c>
      <c r="N338" s="133" t="s">
        <v>291</v>
      </c>
      <c r="O338" s="69" t="s">
        <v>1000</v>
      </c>
      <c r="P338" s="131">
        <v>1</v>
      </c>
      <c r="Q338" s="134">
        <f t="shared" si="62"/>
        <v>2</v>
      </c>
      <c r="R338" s="428"/>
      <c r="S338" s="428"/>
      <c r="T338" s="133"/>
      <c r="U338" s="405"/>
      <c r="V338" s="135"/>
      <c r="W338" s="133"/>
      <c r="X338" s="405"/>
      <c r="Y338" s="405"/>
      <c r="Z338" s="135"/>
      <c r="AA338" s="136">
        <f t="shared" si="66"/>
        <v>0</v>
      </c>
      <c r="AB338" s="111"/>
      <c r="AC338" s="363"/>
      <c r="AD338" s="226">
        <f t="shared" si="65"/>
        <v>5331</v>
      </c>
    </row>
    <row r="339" spans="1:30" ht="243" outlineLevel="3" thickBot="1" x14ac:dyDescent="0.25">
      <c r="A339" s="199" t="s">
        <v>1057</v>
      </c>
      <c r="B339" s="478"/>
      <c r="C339" s="480"/>
      <c r="D339" s="478"/>
      <c r="E339" s="417" t="s">
        <v>330</v>
      </c>
      <c r="F339" s="417" t="s">
        <v>461</v>
      </c>
      <c r="G339" s="417" t="s">
        <v>999</v>
      </c>
      <c r="H339" s="127" t="s">
        <v>238</v>
      </c>
      <c r="I339" s="128">
        <v>2</v>
      </c>
      <c r="J339" s="163" t="s">
        <v>332</v>
      </c>
      <c r="K339" s="130" t="s">
        <v>682</v>
      </c>
      <c r="L339" s="131">
        <v>1</v>
      </c>
      <c r="M339" s="132">
        <f t="shared" si="61"/>
        <v>2</v>
      </c>
      <c r="N339" s="133" t="s">
        <v>291</v>
      </c>
      <c r="O339" s="69" t="s">
        <v>1000</v>
      </c>
      <c r="P339" s="131">
        <v>1</v>
      </c>
      <c r="Q339" s="134">
        <f t="shared" si="62"/>
        <v>2</v>
      </c>
      <c r="R339" s="428"/>
      <c r="S339" s="428"/>
      <c r="T339" s="133"/>
      <c r="U339" s="405"/>
      <c r="V339" s="135"/>
      <c r="W339" s="133"/>
      <c r="X339" s="405"/>
      <c r="Y339" s="405"/>
      <c r="Z339" s="135"/>
      <c r="AA339" s="136"/>
      <c r="AB339" s="111"/>
      <c r="AC339" s="363"/>
      <c r="AD339" s="226">
        <f t="shared" si="65"/>
        <v>5332</v>
      </c>
    </row>
    <row r="340" spans="1:30" ht="115.5" outlineLevel="3" thickBot="1" x14ac:dyDescent="0.25">
      <c r="A340" s="252" t="s">
        <v>1058</v>
      </c>
      <c r="B340" s="489" t="s">
        <v>463</v>
      </c>
      <c r="C340" s="486" t="s">
        <v>464</v>
      </c>
      <c r="D340" s="477" t="s">
        <v>465</v>
      </c>
      <c r="E340" s="415" t="s">
        <v>425</v>
      </c>
      <c r="F340" s="415" t="s">
        <v>337</v>
      </c>
      <c r="G340" s="417" t="s">
        <v>993</v>
      </c>
      <c r="H340" s="127" t="s">
        <v>238</v>
      </c>
      <c r="I340" s="128">
        <v>1</v>
      </c>
      <c r="J340" s="163" t="s">
        <v>438</v>
      </c>
      <c r="K340" s="130" t="s">
        <v>682</v>
      </c>
      <c r="L340" s="131">
        <v>2</v>
      </c>
      <c r="M340" s="132">
        <f t="shared" si="61"/>
        <v>2</v>
      </c>
      <c r="N340" s="133" t="s">
        <v>291</v>
      </c>
      <c r="O340" s="69" t="s">
        <v>242</v>
      </c>
      <c r="P340" s="131">
        <v>5</v>
      </c>
      <c r="Q340" s="134">
        <f t="shared" si="62"/>
        <v>10</v>
      </c>
      <c r="R340" s="428"/>
      <c r="S340" s="428"/>
      <c r="T340" s="133"/>
      <c r="U340" s="405"/>
      <c r="V340" s="135"/>
      <c r="W340" s="133"/>
      <c r="X340" s="405"/>
      <c r="Y340" s="405"/>
      <c r="Z340" s="135"/>
      <c r="AA340" s="136">
        <f t="shared" si="66"/>
        <v>0</v>
      </c>
      <c r="AB340" s="111"/>
      <c r="AC340" s="363"/>
      <c r="AD340" s="226">
        <f t="shared" si="65"/>
        <v>5333</v>
      </c>
    </row>
    <row r="341" spans="1:30" ht="243" outlineLevel="3" thickBot="1" x14ac:dyDescent="0.25">
      <c r="A341" s="243" t="s">
        <v>1059</v>
      </c>
      <c r="B341" s="490"/>
      <c r="C341" s="578"/>
      <c r="D341" s="517"/>
      <c r="E341" s="415" t="s">
        <v>340</v>
      </c>
      <c r="F341" s="430" t="s">
        <v>468</v>
      </c>
      <c r="G341" s="417" t="s">
        <v>999</v>
      </c>
      <c r="H341" s="127" t="s">
        <v>238</v>
      </c>
      <c r="I341" s="128">
        <v>2</v>
      </c>
      <c r="J341" s="163" t="s">
        <v>402</v>
      </c>
      <c r="K341" s="130" t="s">
        <v>682</v>
      </c>
      <c r="L341" s="131">
        <v>2</v>
      </c>
      <c r="M341" s="132">
        <f t="shared" si="61"/>
        <v>4</v>
      </c>
      <c r="N341" s="133" t="s">
        <v>291</v>
      </c>
      <c r="O341" s="69" t="s">
        <v>1000</v>
      </c>
      <c r="P341" s="131">
        <v>1</v>
      </c>
      <c r="Q341" s="134">
        <f t="shared" si="62"/>
        <v>4</v>
      </c>
      <c r="R341" s="428"/>
      <c r="S341" s="428"/>
      <c r="T341" s="133"/>
      <c r="U341" s="405"/>
      <c r="V341" s="135"/>
      <c r="W341" s="133"/>
      <c r="X341" s="405"/>
      <c r="Y341" s="405"/>
      <c r="Z341" s="135"/>
      <c r="AA341" s="136"/>
      <c r="AB341" s="111"/>
      <c r="AC341" s="363"/>
      <c r="AD341" s="226">
        <f t="shared" si="65"/>
        <v>5334</v>
      </c>
    </row>
    <row r="342" spans="1:30" ht="21" outlineLevel="2" thickBot="1" x14ac:dyDescent="0.25">
      <c r="A342" s="199"/>
      <c r="B342" s="117" t="s">
        <v>469</v>
      </c>
      <c r="C342" s="190"/>
      <c r="D342" s="118"/>
      <c r="E342" s="118"/>
      <c r="F342" s="118"/>
      <c r="G342" s="118"/>
      <c r="H342" s="118"/>
      <c r="I342" s="118"/>
      <c r="J342" s="118"/>
      <c r="K342" s="118"/>
      <c r="L342" s="118"/>
      <c r="M342" s="118"/>
      <c r="N342" s="118"/>
      <c r="O342" s="118"/>
      <c r="P342" s="118"/>
      <c r="Q342" s="118"/>
      <c r="R342" s="118"/>
      <c r="S342" s="118"/>
      <c r="T342" s="118"/>
      <c r="U342" s="118"/>
      <c r="V342" s="118"/>
      <c r="W342" s="118"/>
      <c r="X342" s="118"/>
      <c r="Y342" s="118"/>
      <c r="Z342" s="118"/>
      <c r="AA342" s="118"/>
      <c r="AB342" s="119"/>
      <c r="AC342" s="363"/>
      <c r="AD342" s="226">
        <f t="shared" si="65"/>
        <v>0</v>
      </c>
    </row>
    <row r="343" spans="1:30" ht="243" outlineLevel="3" thickBot="1" x14ac:dyDescent="0.25">
      <c r="A343" s="199" t="s">
        <v>1060</v>
      </c>
      <c r="B343" s="503" t="s">
        <v>471</v>
      </c>
      <c r="C343" s="505" t="s">
        <v>472</v>
      </c>
      <c r="D343" s="503" t="s">
        <v>473</v>
      </c>
      <c r="E343" s="417" t="s">
        <v>474</v>
      </c>
      <c r="F343" s="417" t="s">
        <v>1061</v>
      </c>
      <c r="G343" s="417" t="s">
        <v>999</v>
      </c>
      <c r="H343" s="127" t="s">
        <v>238</v>
      </c>
      <c r="I343" s="128">
        <v>2</v>
      </c>
      <c r="J343" s="163" t="s">
        <v>476</v>
      </c>
      <c r="K343" s="130" t="s">
        <v>682</v>
      </c>
      <c r="L343" s="131">
        <v>1</v>
      </c>
      <c r="M343" s="132">
        <f t="shared" ref="M343:M371" si="67">I343*L343</f>
        <v>2</v>
      </c>
      <c r="N343" s="133" t="s">
        <v>291</v>
      </c>
      <c r="O343" s="69" t="s">
        <v>1000</v>
      </c>
      <c r="P343" s="131">
        <v>1</v>
      </c>
      <c r="Q343" s="134">
        <f t="shared" ref="Q343:Q371" si="68">I343*L343*P343</f>
        <v>2</v>
      </c>
      <c r="R343" s="428"/>
      <c r="S343" s="428"/>
      <c r="T343" s="133"/>
      <c r="U343" s="405"/>
      <c r="V343" s="135"/>
      <c r="W343" s="133"/>
      <c r="X343" s="405"/>
      <c r="Y343" s="405"/>
      <c r="Z343" s="135"/>
      <c r="AA343" s="136"/>
      <c r="AB343" s="111"/>
      <c r="AC343" s="363"/>
      <c r="AD343" s="226">
        <f t="shared" si="65"/>
        <v>5335</v>
      </c>
    </row>
    <row r="344" spans="1:30" ht="243" outlineLevel="3" thickBot="1" x14ac:dyDescent="0.25">
      <c r="A344" s="199" t="s">
        <v>1062</v>
      </c>
      <c r="B344" s="483"/>
      <c r="C344" s="484"/>
      <c r="D344" s="483"/>
      <c r="E344" s="417" t="s">
        <v>478</v>
      </c>
      <c r="F344" s="417" t="s">
        <v>1063</v>
      </c>
      <c r="G344" s="417" t="s">
        <v>999</v>
      </c>
      <c r="H344" s="127" t="s">
        <v>238</v>
      </c>
      <c r="I344" s="128">
        <v>2</v>
      </c>
      <c r="J344" s="163" t="s">
        <v>476</v>
      </c>
      <c r="K344" s="130" t="s">
        <v>682</v>
      </c>
      <c r="L344" s="131">
        <v>1</v>
      </c>
      <c r="M344" s="132">
        <f t="shared" si="67"/>
        <v>2</v>
      </c>
      <c r="N344" s="133" t="s">
        <v>291</v>
      </c>
      <c r="O344" s="69" t="s">
        <v>1000</v>
      </c>
      <c r="P344" s="131">
        <v>1</v>
      </c>
      <c r="Q344" s="134">
        <f t="shared" si="68"/>
        <v>2</v>
      </c>
      <c r="R344" s="428"/>
      <c r="S344" s="428"/>
      <c r="T344" s="133"/>
      <c r="U344" s="405"/>
      <c r="V344" s="135"/>
      <c r="W344" s="133"/>
      <c r="X344" s="405"/>
      <c r="Y344" s="405"/>
      <c r="Z344" s="135"/>
      <c r="AA344" s="136">
        <f t="shared" si="66"/>
        <v>0</v>
      </c>
      <c r="AB344" s="111"/>
      <c r="AC344" s="363"/>
      <c r="AD344" s="226">
        <f t="shared" si="65"/>
        <v>5336</v>
      </c>
    </row>
    <row r="345" spans="1:30" ht="115.5" outlineLevel="3" thickBot="1" x14ac:dyDescent="0.25">
      <c r="A345" s="199" t="s">
        <v>1064</v>
      </c>
      <c r="B345" s="478"/>
      <c r="C345" s="480"/>
      <c r="D345" s="478"/>
      <c r="E345" s="417" t="s">
        <v>852</v>
      </c>
      <c r="F345" s="417" t="s">
        <v>482</v>
      </c>
      <c r="G345" s="417" t="s">
        <v>993</v>
      </c>
      <c r="H345" s="127" t="s">
        <v>238</v>
      </c>
      <c r="I345" s="128">
        <v>1</v>
      </c>
      <c r="J345" s="163" t="s">
        <v>483</v>
      </c>
      <c r="K345" s="130" t="s">
        <v>682</v>
      </c>
      <c r="L345" s="131">
        <v>2</v>
      </c>
      <c r="M345" s="132">
        <f t="shared" si="67"/>
        <v>2</v>
      </c>
      <c r="N345" s="133" t="s">
        <v>291</v>
      </c>
      <c r="O345" s="69" t="s">
        <v>242</v>
      </c>
      <c r="P345" s="131">
        <v>5</v>
      </c>
      <c r="Q345" s="134">
        <f t="shared" si="68"/>
        <v>10</v>
      </c>
      <c r="R345" s="428"/>
      <c r="S345" s="428"/>
      <c r="T345" s="133"/>
      <c r="U345" s="405"/>
      <c r="V345" s="135"/>
      <c r="W345" s="133"/>
      <c r="X345" s="405"/>
      <c r="Y345" s="405"/>
      <c r="Z345" s="135"/>
      <c r="AA345" s="136"/>
      <c r="AB345" s="111"/>
      <c r="AC345" s="363"/>
      <c r="AD345" s="226">
        <f t="shared" si="65"/>
        <v>5337</v>
      </c>
    </row>
    <row r="346" spans="1:30" ht="243" outlineLevel="3" thickBot="1" x14ac:dyDescent="0.25">
      <c r="A346" s="199" t="s">
        <v>1065</v>
      </c>
      <c r="B346" s="477" t="s">
        <v>485</v>
      </c>
      <c r="C346" s="479" t="s">
        <v>486</v>
      </c>
      <c r="D346" s="477" t="s">
        <v>487</v>
      </c>
      <c r="E346" s="417" t="s">
        <v>300</v>
      </c>
      <c r="F346" s="417" t="s">
        <v>496</v>
      </c>
      <c r="G346" s="417" t="s">
        <v>999</v>
      </c>
      <c r="H346" s="127" t="s">
        <v>238</v>
      </c>
      <c r="I346" s="128">
        <v>2</v>
      </c>
      <c r="J346" s="163" t="s">
        <v>302</v>
      </c>
      <c r="K346" s="130" t="s">
        <v>682</v>
      </c>
      <c r="L346" s="131">
        <v>1</v>
      </c>
      <c r="M346" s="132">
        <f t="shared" si="67"/>
        <v>2</v>
      </c>
      <c r="N346" s="133" t="s">
        <v>291</v>
      </c>
      <c r="O346" s="69" t="s">
        <v>1000</v>
      </c>
      <c r="P346" s="131">
        <v>1</v>
      </c>
      <c r="Q346" s="134">
        <f t="shared" si="68"/>
        <v>2</v>
      </c>
      <c r="R346" s="428"/>
      <c r="S346" s="428"/>
      <c r="T346" s="133"/>
      <c r="U346" s="405"/>
      <c r="V346" s="135"/>
      <c r="W346" s="133"/>
      <c r="X346" s="405"/>
      <c r="Y346" s="405"/>
      <c r="Z346" s="135"/>
      <c r="AA346" s="136">
        <f t="shared" si="66"/>
        <v>0</v>
      </c>
      <c r="AB346" s="111"/>
      <c r="AC346" s="363"/>
      <c r="AD346" s="226">
        <f t="shared" si="65"/>
        <v>5338</v>
      </c>
    </row>
    <row r="347" spans="1:30" ht="243" outlineLevel="3" thickBot="1" x14ac:dyDescent="0.25">
      <c r="A347" s="199" t="s">
        <v>1066</v>
      </c>
      <c r="B347" s="478"/>
      <c r="C347" s="480"/>
      <c r="D347" s="478"/>
      <c r="E347" s="417" t="s">
        <v>393</v>
      </c>
      <c r="F347" s="417" t="s">
        <v>1067</v>
      </c>
      <c r="G347" s="417" t="s">
        <v>999</v>
      </c>
      <c r="H347" s="127" t="s">
        <v>238</v>
      </c>
      <c r="I347" s="128">
        <v>2</v>
      </c>
      <c r="J347" s="163" t="s">
        <v>307</v>
      </c>
      <c r="K347" s="130" t="s">
        <v>682</v>
      </c>
      <c r="L347" s="131">
        <v>1</v>
      </c>
      <c r="M347" s="132">
        <f t="shared" si="67"/>
        <v>2</v>
      </c>
      <c r="N347" s="133" t="s">
        <v>291</v>
      </c>
      <c r="O347" s="69" t="s">
        <v>1000</v>
      </c>
      <c r="P347" s="131">
        <v>1</v>
      </c>
      <c r="Q347" s="134">
        <f t="shared" si="68"/>
        <v>2</v>
      </c>
      <c r="R347" s="428"/>
      <c r="S347" s="428"/>
      <c r="T347" s="133"/>
      <c r="U347" s="405"/>
      <c r="V347" s="135"/>
      <c r="W347" s="133"/>
      <c r="X347" s="405"/>
      <c r="Y347" s="405"/>
      <c r="Z347" s="135"/>
      <c r="AA347" s="136"/>
      <c r="AB347" s="111"/>
      <c r="AC347" s="363"/>
      <c r="AD347" s="226">
        <f t="shared" si="65"/>
        <v>5339</v>
      </c>
    </row>
    <row r="348" spans="1:30" ht="243" outlineLevel="3" thickBot="1" x14ac:dyDescent="0.25">
      <c r="A348" s="243" t="s">
        <v>1068</v>
      </c>
      <c r="B348" s="489" t="s">
        <v>492</v>
      </c>
      <c r="C348" s="486" t="s">
        <v>493</v>
      </c>
      <c r="D348" s="489" t="s">
        <v>487</v>
      </c>
      <c r="E348" s="415" t="s">
        <v>300</v>
      </c>
      <c r="F348" s="430" t="s">
        <v>490</v>
      </c>
      <c r="G348" s="417" t="s">
        <v>999</v>
      </c>
      <c r="H348" s="127" t="s">
        <v>238</v>
      </c>
      <c r="I348" s="128">
        <v>2</v>
      </c>
      <c r="J348" s="163" t="s">
        <v>302</v>
      </c>
      <c r="K348" s="130" t="s">
        <v>682</v>
      </c>
      <c r="L348" s="131">
        <v>1</v>
      </c>
      <c r="M348" s="132">
        <f t="shared" si="67"/>
        <v>2</v>
      </c>
      <c r="N348" s="133" t="s">
        <v>291</v>
      </c>
      <c r="O348" s="69" t="s">
        <v>1000</v>
      </c>
      <c r="P348" s="131">
        <v>1</v>
      </c>
      <c r="Q348" s="134">
        <f t="shared" si="68"/>
        <v>2</v>
      </c>
      <c r="R348" s="428"/>
      <c r="S348" s="428"/>
      <c r="T348" s="133"/>
      <c r="U348" s="405"/>
      <c r="V348" s="135"/>
      <c r="W348" s="133"/>
      <c r="X348" s="405"/>
      <c r="Y348" s="405"/>
      <c r="Z348" s="135"/>
      <c r="AA348" s="136"/>
      <c r="AB348" s="111"/>
      <c r="AD348" s="226">
        <f t="shared" si="65"/>
        <v>5340</v>
      </c>
    </row>
    <row r="349" spans="1:30" ht="243" outlineLevel="3" thickBot="1" x14ac:dyDescent="0.25">
      <c r="A349" s="243" t="s">
        <v>1069</v>
      </c>
      <c r="B349" s="491"/>
      <c r="C349" s="487"/>
      <c r="D349" s="491"/>
      <c r="E349" s="415" t="s">
        <v>393</v>
      </c>
      <c r="F349" s="430" t="s">
        <v>496</v>
      </c>
      <c r="G349" s="417" t="s">
        <v>999</v>
      </c>
      <c r="H349" s="127" t="s">
        <v>238</v>
      </c>
      <c r="I349" s="128">
        <v>2</v>
      </c>
      <c r="J349" s="163" t="s">
        <v>307</v>
      </c>
      <c r="K349" s="130" t="s">
        <v>682</v>
      </c>
      <c r="L349" s="131">
        <v>1</v>
      </c>
      <c r="M349" s="132">
        <f t="shared" si="67"/>
        <v>2</v>
      </c>
      <c r="N349" s="133" t="s">
        <v>291</v>
      </c>
      <c r="O349" s="69" t="s">
        <v>1000</v>
      </c>
      <c r="P349" s="131">
        <v>1</v>
      </c>
      <c r="Q349" s="134">
        <f t="shared" si="68"/>
        <v>2</v>
      </c>
      <c r="R349" s="428"/>
      <c r="S349" s="428"/>
      <c r="T349" s="133"/>
      <c r="U349" s="405"/>
      <c r="V349" s="135"/>
      <c r="W349" s="133"/>
      <c r="X349" s="405"/>
      <c r="Y349" s="405"/>
      <c r="Z349" s="135"/>
      <c r="AA349" s="136">
        <f>X349*Y349*Z349</f>
        <v>0</v>
      </c>
      <c r="AB349" s="111"/>
      <c r="AC349" s="363"/>
      <c r="AD349" s="226">
        <f t="shared" si="65"/>
        <v>5341</v>
      </c>
    </row>
    <row r="350" spans="1:30" ht="243" outlineLevel="3" thickBot="1" x14ac:dyDescent="0.25">
      <c r="A350" s="199" t="s">
        <v>1070</v>
      </c>
      <c r="B350" s="477" t="s">
        <v>498</v>
      </c>
      <c r="C350" s="479" t="s">
        <v>499</v>
      </c>
      <c r="D350" s="477" t="s">
        <v>500</v>
      </c>
      <c r="E350" s="417" t="s">
        <v>300</v>
      </c>
      <c r="F350" s="417" t="s">
        <v>1071</v>
      </c>
      <c r="G350" s="417" t="s">
        <v>999</v>
      </c>
      <c r="H350" s="127" t="s">
        <v>238</v>
      </c>
      <c r="I350" s="128">
        <v>2</v>
      </c>
      <c r="J350" s="163" t="s">
        <v>302</v>
      </c>
      <c r="K350" s="130" t="s">
        <v>682</v>
      </c>
      <c r="L350" s="131">
        <v>1</v>
      </c>
      <c r="M350" s="132">
        <f t="shared" si="67"/>
        <v>2</v>
      </c>
      <c r="N350" s="133" t="s">
        <v>291</v>
      </c>
      <c r="O350" s="69" t="s">
        <v>1000</v>
      </c>
      <c r="P350" s="131">
        <v>1</v>
      </c>
      <c r="Q350" s="134">
        <f t="shared" si="68"/>
        <v>2</v>
      </c>
      <c r="R350" s="428"/>
      <c r="S350" s="428"/>
      <c r="T350" s="133"/>
      <c r="U350" s="405"/>
      <c r="V350" s="135"/>
      <c r="W350" s="133"/>
      <c r="X350" s="405"/>
      <c r="Y350" s="405"/>
      <c r="Z350" s="135"/>
      <c r="AA350" s="136"/>
      <c r="AB350" s="111"/>
      <c r="AC350" s="363"/>
      <c r="AD350" s="226">
        <f t="shared" si="65"/>
        <v>5342</v>
      </c>
    </row>
    <row r="351" spans="1:30" ht="243" outlineLevel="3" thickBot="1" x14ac:dyDescent="0.25">
      <c r="A351" s="199" t="s">
        <v>1072</v>
      </c>
      <c r="B351" s="478"/>
      <c r="C351" s="480"/>
      <c r="D351" s="478"/>
      <c r="E351" s="417" t="s">
        <v>393</v>
      </c>
      <c r="F351" s="417" t="s">
        <v>1071</v>
      </c>
      <c r="G351" s="417" t="s">
        <v>999</v>
      </c>
      <c r="H351" s="127" t="s">
        <v>238</v>
      </c>
      <c r="I351" s="128">
        <v>2</v>
      </c>
      <c r="J351" s="163" t="s">
        <v>307</v>
      </c>
      <c r="K351" s="130" t="s">
        <v>682</v>
      </c>
      <c r="L351" s="131">
        <v>1</v>
      </c>
      <c r="M351" s="132">
        <f t="shared" si="67"/>
        <v>2</v>
      </c>
      <c r="N351" s="133" t="s">
        <v>291</v>
      </c>
      <c r="O351" s="69" t="s">
        <v>1000</v>
      </c>
      <c r="P351" s="131">
        <v>1</v>
      </c>
      <c r="Q351" s="134">
        <f t="shared" si="68"/>
        <v>2</v>
      </c>
      <c r="R351" s="428"/>
      <c r="S351" s="428"/>
      <c r="T351" s="133"/>
      <c r="U351" s="405"/>
      <c r="V351" s="135"/>
      <c r="W351" s="133"/>
      <c r="X351" s="405"/>
      <c r="Y351" s="405"/>
      <c r="Z351" s="135"/>
      <c r="AA351" s="136"/>
      <c r="AB351" s="111"/>
      <c r="AC351" s="363"/>
      <c r="AD351" s="226">
        <f t="shared" si="65"/>
        <v>5343</v>
      </c>
    </row>
    <row r="352" spans="1:30" ht="243" outlineLevel="3" thickBot="1" x14ac:dyDescent="0.25">
      <c r="A352" s="199" t="s">
        <v>1073</v>
      </c>
      <c r="B352" s="477" t="s">
        <v>506</v>
      </c>
      <c r="C352" s="479" t="s">
        <v>507</v>
      </c>
      <c r="D352" s="477" t="s">
        <v>508</v>
      </c>
      <c r="E352" s="417" t="s">
        <v>300</v>
      </c>
      <c r="F352" s="417" t="s">
        <v>1071</v>
      </c>
      <c r="G352" s="417" t="s">
        <v>999</v>
      </c>
      <c r="H352" s="127" t="s">
        <v>238</v>
      </c>
      <c r="I352" s="128">
        <v>2</v>
      </c>
      <c r="J352" s="163" t="s">
        <v>302</v>
      </c>
      <c r="K352" s="130" t="s">
        <v>682</v>
      </c>
      <c r="L352" s="131">
        <v>1</v>
      </c>
      <c r="M352" s="132">
        <f t="shared" si="67"/>
        <v>2</v>
      </c>
      <c r="N352" s="133" t="s">
        <v>291</v>
      </c>
      <c r="O352" s="69" t="s">
        <v>1000</v>
      </c>
      <c r="P352" s="131">
        <v>1</v>
      </c>
      <c r="Q352" s="134">
        <f t="shared" si="68"/>
        <v>2</v>
      </c>
      <c r="R352" s="428"/>
      <c r="S352" s="428"/>
      <c r="T352" s="133"/>
      <c r="U352" s="405"/>
      <c r="V352" s="135"/>
      <c r="W352" s="133"/>
      <c r="X352" s="405"/>
      <c r="Y352" s="405"/>
      <c r="Z352" s="135"/>
      <c r="AA352" s="136"/>
      <c r="AB352" s="111"/>
      <c r="AC352" s="363"/>
      <c r="AD352" s="226">
        <f t="shared" si="65"/>
        <v>5344</v>
      </c>
    </row>
    <row r="353" spans="1:31" ht="243" outlineLevel="3" thickBot="1" x14ac:dyDescent="0.25">
      <c r="A353" s="199" t="s">
        <v>1074</v>
      </c>
      <c r="B353" s="478"/>
      <c r="C353" s="480"/>
      <c r="D353" s="478"/>
      <c r="E353" s="417" t="s">
        <v>393</v>
      </c>
      <c r="F353" s="417" t="s">
        <v>1071</v>
      </c>
      <c r="G353" s="417" t="s">
        <v>999</v>
      </c>
      <c r="H353" s="127" t="s">
        <v>238</v>
      </c>
      <c r="I353" s="128">
        <v>2</v>
      </c>
      <c r="J353" s="163" t="s">
        <v>307</v>
      </c>
      <c r="K353" s="130" t="s">
        <v>682</v>
      </c>
      <c r="L353" s="131">
        <v>1</v>
      </c>
      <c r="M353" s="132">
        <f t="shared" si="67"/>
        <v>2</v>
      </c>
      <c r="N353" s="133" t="s">
        <v>291</v>
      </c>
      <c r="O353" s="69" t="s">
        <v>1000</v>
      </c>
      <c r="P353" s="131">
        <v>1</v>
      </c>
      <c r="Q353" s="134">
        <f t="shared" si="68"/>
        <v>2</v>
      </c>
      <c r="R353" s="428"/>
      <c r="S353" s="428"/>
      <c r="T353" s="133"/>
      <c r="U353" s="405"/>
      <c r="V353" s="135"/>
      <c r="W353" s="133"/>
      <c r="X353" s="405"/>
      <c r="Y353" s="405"/>
      <c r="Z353" s="135"/>
      <c r="AA353" s="136"/>
      <c r="AB353" s="111"/>
      <c r="AC353" s="363"/>
      <c r="AD353" s="226">
        <f t="shared" si="65"/>
        <v>5345</v>
      </c>
    </row>
    <row r="354" spans="1:31" ht="115.5" outlineLevel="3" thickBot="1" x14ac:dyDescent="0.25">
      <c r="A354" s="199" t="s">
        <v>1075</v>
      </c>
      <c r="B354" s="477" t="s">
        <v>513</v>
      </c>
      <c r="C354" s="479" t="s">
        <v>514</v>
      </c>
      <c r="D354" s="477" t="s">
        <v>515</v>
      </c>
      <c r="E354" s="417" t="s">
        <v>300</v>
      </c>
      <c r="F354" s="417" t="s">
        <v>866</v>
      </c>
      <c r="G354" s="417" t="s">
        <v>993</v>
      </c>
      <c r="H354" s="127" t="s">
        <v>238</v>
      </c>
      <c r="I354" s="128">
        <v>1</v>
      </c>
      <c r="J354" s="163" t="s">
        <v>302</v>
      </c>
      <c r="K354" s="130" t="s">
        <v>682</v>
      </c>
      <c r="L354" s="131">
        <v>1</v>
      </c>
      <c r="M354" s="132">
        <f t="shared" si="67"/>
        <v>1</v>
      </c>
      <c r="N354" s="133" t="s">
        <v>291</v>
      </c>
      <c r="O354" s="69" t="s">
        <v>242</v>
      </c>
      <c r="P354" s="131">
        <v>5</v>
      </c>
      <c r="Q354" s="134">
        <f t="shared" si="68"/>
        <v>5</v>
      </c>
      <c r="R354" s="428"/>
      <c r="S354" s="428"/>
      <c r="T354" s="133"/>
      <c r="U354" s="405"/>
      <c r="V354" s="135"/>
      <c r="W354" s="133"/>
      <c r="X354" s="405"/>
      <c r="Y354" s="405"/>
      <c r="Z354" s="135"/>
      <c r="AA354" s="136"/>
      <c r="AB354" s="111"/>
      <c r="AC354" s="363"/>
      <c r="AD354" s="226">
        <f t="shared" si="65"/>
        <v>5346</v>
      </c>
    </row>
    <row r="355" spans="1:31" ht="115.5" outlineLevel="3" thickBot="1" x14ac:dyDescent="0.25">
      <c r="A355" s="199" t="s">
        <v>1076</v>
      </c>
      <c r="B355" s="478"/>
      <c r="C355" s="480"/>
      <c r="D355" s="478"/>
      <c r="E355" s="417" t="s">
        <v>393</v>
      </c>
      <c r="F355" s="417" t="s">
        <v>866</v>
      </c>
      <c r="G355" s="417" t="s">
        <v>993</v>
      </c>
      <c r="H355" s="127" t="s">
        <v>238</v>
      </c>
      <c r="I355" s="128">
        <v>1</v>
      </c>
      <c r="J355" s="163" t="s">
        <v>307</v>
      </c>
      <c r="K355" s="130" t="s">
        <v>682</v>
      </c>
      <c r="L355" s="131">
        <v>1</v>
      </c>
      <c r="M355" s="132">
        <f t="shared" si="67"/>
        <v>1</v>
      </c>
      <c r="N355" s="133" t="s">
        <v>291</v>
      </c>
      <c r="O355" s="69" t="s">
        <v>242</v>
      </c>
      <c r="P355" s="131">
        <v>5</v>
      </c>
      <c r="Q355" s="134">
        <f t="shared" si="68"/>
        <v>5</v>
      </c>
      <c r="R355" s="428"/>
      <c r="S355" s="428"/>
      <c r="T355" s="133"/>
      <c r="U355" s="405"/>
      <c r="V355" s="135"/>
      <c r="W355" s="133"/>
      <c r="X355" s="405"/>
      <c r="Y355" s="405"/>
      <c r="Z355" s="135"/>
      <c r="AA355" s="136">
        <f t="shared" ref="AA355:AA391" si="69">X355*Y355*Z355</f>
        <v>0</v>
      </c>
      <c r="AB355" s="111"/>
      <c r="AC355" s="363"/>
      <c r="AD355" s="226">
        <f t="shared" si="65"/>
        <v>5347</v>
      </c>
    </row>
    <row r="356" spans="1:31" ht="115.5" outlineLevel="3" thickBot="1" x14ac:dyDescent="0.25">
      <c r="A356" s="199" t="s">
        <v>1077</v>
      </c>
      <c r="B356" s="477" t="s">
        <v>520</v>
      </c>
      <c r="C356" s="479" t="s">
        <v>521</v>
      </c>
      <c r="D356" s="477" t="s">
        <v>522</v>
      </c>
      <c r="E356" s="417" t="s">
        <v>275</v>
      </c>
      <c r="F356" s="417" t="s">
        <v>1078</v>
      </c>
      <c r="G356" s="417" t="s">
        <v>993</v>
      </c>
      <c r="H356" s="127" t="s">
        <v>238</v>
      </c>
      <c r="I356" s="128">
        <v>1</v>
      </c>
      <c r="J356" s="163" t="s">
        <v>277</v>
      </c>
      <c r="K356" s="130" t="s">
        <v>682</v>
      </c>
      <c r="L356" s="131">
        <v>1</v>
      </c>
      <c r="M356" s="132">
        <f t="shared" si="67"/>
        <v>1</v>
      </c>
      <c r="N356" s="133" t="s">
        <v>291</v>
      </c>
      <c r="O356" s="69" t="s">
        <v>242</v>
      </c>
      <c r="P356" s="131">
        <v>5</v>
      </c>
      <c r="Q356" s="134">
        <f t="shared" si="68"/>
        <v>5</v>
      </c>
      <c r="R356" s="428"/>
      <c r="S356" s="428"/>
      <c r="T356" s="133"/>
      <c r="U356" s="405"/>
      <c r="V356" s="135"/>
      <c r="W356" s="133"/>
      <c r="X356" s="405"/>
      <c r="Y356" s="405"/>
      <c r="Z356" s="135"/>
      <c r="AA356" s="136"/>
      <c r="AB356" s="111"/>
      <c r="AC356" s="363"/>
      <c r="AD356" s="226">
        <f t="shared" si="65"/>
        <v>5348</v>
      </c>
    </row>
    <row r="357" spans="1:31" ht="243" outlineLevel="3" thickBot="1" x14ac:dyDescent="0.25">
      <c r="A357" s="199" t="s">
        <v>1079</v>
      </c>
      <c r="B357" s="478"/>
      <c r="C357" s="480"/>
      <c r="D357" s="478"/>
      <c r="E357" s="417" t="s">
        <v>279</v>
      </c>
      <c r="F357" s="417" t="s">
        <v>525</v>
      </c>
      <c r="G357" s="417" t="s">
        <v>999</v>
      </c>
      <c r="H357" s="127" t="s">
        <v>238</v>
      </c>
      <c r="I357" s="128">
        <v>2</v>
      </c>
      <c r="J357" s="163" t="s">
        <v>412</v>
      </c>
      <c r="K357" s="130" t="s">
        <v>682</v>
      </c>
      <c r="L357" s="131">
        <v>1</v>
      </c>
      <c r="M357" s="132">
        <f t="shared" si="67"/>
        <v>2</v>
      </c>
      <c r="N357" s="133" t="s">
        <v>291</v>
      </c>
      <c r="O357" s="69" t="s">
        <v>1000</v>
      </c>
      <c r="P357" s="131">
        <v>1</v>
      </c>
      <c r="Q357" s="134">
        <f t="shared" si="68"/>
        <v>2</v>
      </c>
      <c r="R357" s="428"/>
      <c r="S357" s="428"/>
      <c r="T357" s="133"/>
      <c r="U357" s="405"/>
      <c r="V357" s="135"/>
      <c r="W357" s="133"/>
      <c r="X357" s="405"/>
      <c r="Y357" s="405"/>
      <c r="Z357" s="135"/>
      <c r="AA357" s="136">
        <f t="shared" si="69"/>
        <v>0</v>
      </c>
      <c r="AB357" s="111"/>
      <c r="AC357" s="363"/>
      <c r="AD357" s="226">
        <f t="shared" si="65"/>
        <v>5349</v>
      </c>
    </row>
    <row r="358" spans="1:31" s="317" customFormat="1" ht="128.25" outlineLevel="3" thickBot="1" x14ac:dyDescent="0.25">
      <c r="A358" s="200" t="s">
        <v>1080</v>
      </c>
      <c r="B358" s="485" t="s">
        <v>527</v>
      </c>
      <c r="C358" s="566" t="s">
        <v>528</v>
      </c>
      <c r="D358" s="485" t="s">
        <v>529</v>
      </c>
      <c r="E358" s="337" t="s">
        <v>300</v>
      </c>
      <c r="F358" s="337" t="s">
        <v>530</v>
      </c>
      <c r="G358" s="417" t="s">
        <v>993</v>
      </c>
      <c r="H358" s="148" t="s">
        <v>238</v>
      </c>
      <c r="I358" s="149">
        <v>1</v>
      </c>
      <c r="J358" s="176" t="s">
        <v>302</v>
      </c>
      <c r="K358" s="130" t="s">
        <v>682</v>
      </c>
      <c r="L358" s="152">
        <v>1</v>
      </c>
      <c r="M358" s="153">
        <f t="shared" si="67"/>
        <v>1</v>
      </c>
      <c r="N358" s="154" t="s">
        <v>291</v>
      </c>
      <c r="O358" s="155" t="s">
        <v>242</v>
      </c>
      <c r="P358" s="152">
        <v>5</v>
      </c>
      <c r="Q358" s="156">
        <f t="shared" si="68"/>
        <v>5</v>
      </c>
      <c r="R358" s="428"/>
      <c r="S358" s="428"/>
      <c r="T358" s="133"/>
      <c r="U358" s="405"/>
      <c r="V358" s="135"/>
      <c r="W358" s="133"/>
      <c r="X358" s="405"/>
      <c r="Y358" s="405"/>
      <c r="Z358" s="135"/>
      <c r="AA358" s="136"/>
      <c r="AB358" s="111"/>
      <c r="AC358" s="368"/>
      <c r="AD358" s="226">
        <f t="shared" si="65"/>
        <v>5350</v>
      </c>
      <c r="AE358" s="264"/>
    </row>
    <row r="359" spans="1:31" s="317" customFormat="1" ht="128.25" outlineLevel="3" thickBot="1" x14ac:dyDescent="0.25">
      <c r="A359" s="200" t="s">
        <v>1081</v>
      </c>
      <c r="B359" s="515"/>
      <c r="C359" s="567"/>
      <c r="D359" s="515"/>
      <c r="E359" s="337" t="s">
        <v>393</v>
      </c>
      <c r="F359" s="337" t="s">
        <v>530</v>
      </c>
      <c r="G359" s="417" t="s">
        <v>993</v>
      </c>
      <c r="H359" s="148" t="s">
        <v>238</v>
      </c>
      <c r="I359" s="149">
        <v>1</v>
      </c>
      <c r="J359" s="176" t="s">
        <v>307</v>
      </c>
      <c r="K359" s="130" t="s">
        <v>682</v>
      </c>
      <c r="L359" s="152">
        <v>1</v>
      </c>
      <c r="M359" s="153">
        <f t="shared" si="67"/>
        <v>1</v>
      </c>
      <c r="N359" s="154" t="s">
        <v>291</v>
      </c>
      <c r="O359" s="155" t="s">
        <v>242</v>
      </c>
      <c r="P359" s="152">
        <v>5</v>
      </c>
      <c r="Q359" s="156">
        <f t="shared" si="68"/>
        <v>5</v>
      </c>
      <c r="R359" s="428"/>
      <c r="S359" s="428"/>
      <c r="T359" s="133"/>
      <c r="U359" s="405"/>
      <c r="V359" s="135"/>
      <c r="W359" s="133"/>
      <c r="X359" s="405"/>
      <c r="Y359" s="405"/>
      <c r="Z359" s="135"/>
      <c r="AA359" s="136"/>
      <c r="AB359" s="111"/>
      <c r="AC359" s="368"/>
      <c r="AD359" s="226">
        <f t="shared" si="65"/>
        <v>5351</v>
      </c>
      <c r="AE359" s="264"/>
    </row>
    <row r="360" spans="1:31" s="317" customFormat="1" ht="115.5" outlineLevel="3" thickBot="1" x14ac:dyDescent="0.25">
      <c r="A360" s="199" t="s">
        <v>1082</v>
      </c>
      <c r="B360" s="477" t="s">
        <v>533</v>
      </c>
      <c r="C360" s="479" t="s">
        <v>534</v>
      </c>
      <c r="D360" s="477" t="s">
        <v>535</v>
      </c>
      <c r="E360" s="417" t="s">
        <v>536</v>
      </c>
      <c r="F360" s="417" t="s">
        <v>874</v>
      </c>
      <c r="G360" s="417" t="s">
        <v>993</v>
      </c>
      <c r="H360" s="127" t="s">
        <v>238</v>
      </c>
      <c r="I360" s="128">
        <v>1</v>
      </c>
      <c r="J360" s="163" t="s">
        <v>277</v>
      </c>
      <c r="K360" s="130" t="s">
        <v>682</v>
      </c>
      <c r="L360" s="131">
        <v>1</v>
      </c>
      <c r="M360" s="132">
        <f t="shared" si="67"/>
        <v>1</v>
      </c>
      <c r="N360" s="133" t="s">
        <v>291</v>
      </c>
      <c r="O360" s="69" t="s">
        <v>242</v>
      </c>
      <c r="P360" s="131">
        <v>5</v>
      </c>
      <c r="Q360" s="134">
        <f>P360*L360*I360</f>
        <v>5</v>
      </c>
      <c r="R360" s="428"/>
      <c r="S360" s="428"/>
      <c r="T360" s="133"/>
      <c r="U360" s="405"/>
      <c r="V360" s="135"/>
      <c r="W360" s="133"/>
      <c r="X360" s="405"/>
      <c r="Y360" s="405"/>
      <c r="Z360" s="135"/>
      <c r="AA360" s="136"/>
      <c r="AB360" s="111"/>
      <c r="AC360" s="368"/>
      <c r="AD360" s="226">
        <f t="shared" si="65"/>
        <v>5352</v>
      </c>
      <c r="AE360" s="264"/>
    </row>
    <row r="361" spans="1:31" s="317" customFormat="1" ht="153.75" outlineLevel="3" thickBot="1" x14ac:dyDescent="0.25">
      <c r="A361" s="199" t="s">
        <v>1083</v>
      </c>
      <c r="B361" s="478"/>
      <c r="C361" s="480"/>
      <c r="D361" s="478"/>
      <c r="E361" s="417" t="s">
        <v>279</v>
      </c>
      <c r="F361" s="417" t="s">
        <v>539</v>
      </c>
      <c r="G361" s="417" t="s">
        <v>993</v>
      </c>
      <c r="H361" s="127" t="s">
        <v>238</v>
      </c>
      <c r="I361" s="128">
        <v>1</v>
      </c>
      <c r="J361" s="163" t="s">
        <v>412</v>
      </c>
      <c r="K361" s="130" t="s">
        <v>682</v>
      </c>
      <c r="L361" s="131">
        <v>1</v>
      </c>
      <c r="M361" s="132">
        <f t="shared" si="67"/>
        <v>1</v>
      </c>
      <c r="N361" s="133" t="s">
        <v>291</v>
      </c>
      <c r="O361" s="69" t="s">
        <v>242</v>
      </c>
      <c r="P361" s="131">
        <v>5</v>
      </c>
      <c r="Q361" s="134">
        <f t="shared" ref="Q361" si="70">I361*L361*P361</f>
        <v>5</v>
      </c>
      <c r="R361" s="428"/>
      <c r="S361" s="428"/>
      <c r="T361" s="133"/>
      <c r="U361" s="405"/>
      <c r="V361" s="135"/>
      <c r="W361" s="133"/>
      <c r="X361" s="405"/>
      <c r="Y361" s="405"/>
      <c r="Z361" s="135"/>
      <c r="AA361" s="136"/>
      <c r="AB361" s="111"/>
      <c r="AC361" s="368"/>
      <c r="AD361" s="226">
        <f t="shared" si="65"/>
        <v>5353</v>
      </c>
      <c r="AE361" s="264"/>
    </row>
    <row r="362" spans="1:31" ht="115.5" outlineLevel="3" thickBot="1" x14ac:dyDescent="0.25">
      <c r="A362" s="199" t="s">
        <v>1084</v>
      </c>
      <c r="B362" s="569" t="s">
        <v>541</v>
      </c>
      <c r="C362" s="499" t="s">
        <v>542</v>
      </c>
      <c r="D362" s="569" t="s">
        <v>877</v>
      </c>
      <c r="E362" s="417" t="s">
        <v>275</v>
      </c>
      <c r="F362" s="417" t="s">
        <v>878</v>
      </c>
      <c r="G362" s="417" t="s">
        <v>993</v>
      </c>
      <c r="H362" s="127" t="s">
        <v>238</v>
      </c>
      <c r="I362" s="128">
        <v>1</v>
      </c>
      <c r="J362" s="163" t="s">
        <v>277</v>
      </c>
      <c r="K362" s="130" t="s">
        <v>682</v>
      </c>
      <c r="L362" s="131">
        <v>1</v>
      </c>
      <c r="M362" s="132">
        <f t="shared" si="67"/>
        <v>1</v>
      </c>
      <c r="N362" s="133" t="s">
        <v>291</v>
      </c>
      <c r="O362" s="69" t="s">
        <v>242</v>
      </c>
      <c r="P362" s="131">
        <v>5</v>
      </c>
      <c r="Q362" s="134">
        <f t="shared" si="68"/>
        <v>5</v>
      </c>
      <c r="R362" s="428"/>
      <c r="S362" s="428"/>
      <c r="T362" s="133"/>
      <c r="U362" s="405"/>
      <c r="V362" s="135"/>
      <c r="W362" s="133"/>
      <c r="X362" s="405"/>
      <c r="Y362" s="405"/>
      <c r="Z362" s="135"/>
      <c r="AA362" s="136"/>
      <c r="AB362" s="111"/>
      <c r="AC362" s="363"/>
      <c r="AD362" s="226">
        <f t="shared" si="65"/>
        <v>5354</v>
      </c>
    </row>
    <row r="363" spans="1:31" ht="115.5" outlineLevel="3" thickBot="1" x14ac:dyDescent="0.25">
      <c r="A363" s="199" t="s">
        <v>1085</v>
      </c>
      <c r="B363" s="570"/>
      <c r="C363" s="500"/>
      <c r="D363" s="570"/>
      <c r="E363" s="417" t="s">
        <v>279</v>
      </c>
      <c r="F363" s="417" t="s">
        <v>878</v>
      </c>
      <c r="G363" s="417" t="s">
        <v>993</v>
      </c>
      <c r="H363" s="127" t="s">
        <v>238</v>
      </c>
      <c r="I363" s="128">
        <v>1</v>
      </c>
      <c r="J363" s="163" t="s">
        <v>412</v>
      </c>
      <c r="K363" s="130" t="s">
        <v>682</v>
      </c>
      <c r="L363" s="131">
        <v>1</v>
      </c>
      <c r="M363" s="132">
        <f t="shared" si="67"/>
        <v>1</v>
      </c>
      <c r="N363" s="133" t="s">
        <v>291</v>
      </c>
      <c r="O363" s="69" t="s">
        <v>242</v>
      </c>
      <c r="P363" s="131">
        <v>5</v>
      </c>
      <c r="Q363" s="134">
        <f t="shared" si="68"/>
        <v>5</v>
      </c>
      <c r="R363" s="428"/>
      <c r="S363" s="428"/>
      <c r="T363" s="133"/>
      <c r="U363" s="405"/>
      <c r="V363" s="135"/>
      <c r="W363" s="133"/>
      <c r="X363" s="405"/>
      <c r="Y363" s="405"/>
      <c r="Z363" s="135"/>
      <c r="AA363" s="136">
        <f t="shared" si="69"/>
        <v>0</v>
      </c>
      <c r="AB363" s="111"/>
      <c r="AC363" s="363"/>
      <c r="AD363" s="226">
        <f t="shared" si="65"/>
        <v>5355</v>
      </c>
    </row>
    <row r="364" spans="1:31" ht="115.5" outlineLevel="3" thickBot="1" x14ac:dyDescent="0.25">
      <c r="A364" s="199" t="s">
        <v>1086</v>
      </c>
      <c r="B364" s="477" t="s">
        <v>547</v>
      </c>
      <c r="C364" s="479" t="s">
        <v>548</v>
      </c>
      <c r="D364" s="477" t="s">
        <v>549</v>
      </c>
      <c r="E364" s="405" t="s">
        <v>275</v>
      </c>
      <c r="F364" s="405" t="s">
        <v>537</v>
      </c>
      <c r="G364" s="405" t="s">
        <v>993</v>
      </c>
      <c r="H364" s="420" t="s">
        <v>238</v>
      </c>
      <c r="I364" s="164">
        <v>1</v>
      </c>
      <c r="J364" s="163" t="s">
        <v>277</v>
      </c>
      <c r="K364" s="165" t="s">
        <v>682</v>
      </c>
      <c r="L364" s="138">
        <v>1</v>
      </c>
      <c r="M364" s="166">
        <f t="shared" si="67"/>
        <v>1</v>
      </c>
      <c r="N364" s="133" t="s">
        <v>241</v>
      </c>
      <c r="O364" s="420" t="s">
        <v>242</v>
      </c>
      <c r="P364" s="138">
        <v>5</v>
      </c>
      <c r="Q364" s="225">
        <f t="shared" si="68"/>
        <v>5</v>
      </c>
      <c r="R364" s="428"/>
      <c r="S364" s="428"/>
      <c r="T364" s="133"/>
      <c r="U364" s="405"/>
      <c r="V364" s="135"/>
      <c r="W364" s="133"/>
      <c r="X364" s="405"/>
      <c r="Y364" s="405"/>
      <c r="Z364" s="135"/>
      <c r="AA364" s="136"/>
      <c r="AB364" s="111"/>
      <c r="AC364" s="226"/>
      <c r="AD364" s="226">
        <f t="shared" si="65"/>
        <v>12390</v>
      </c>
    </row>
    <row r="365" spans="1:31" ht="243" outlineLevel="3" thickBot="1" x14ac:dyDescent="0.25">
      <c r="A365" s="199" t="s">
        <v>1087</v>
      </c>
      <c r="B365" s="478"/>
      <c r="C365" s="480"/>
      <c r="D365" s="478"/>
      <c r="E365" s="405" t="s">
        <v>279</v>
      </c>
      <c r="F365" s="405" t="s">
        <v>882</v>
      </c>
      <c r="G365" s="405" t="s">
        <v>999</v>
      </c>
      <c r="H365" s="420" t="s">
        <v>238</v>
      </c>
      <c r="I365" s="164">
        <v>2</v>
      </c>
      <c r="J365" s="163" t="s">
        <v>281</v>
      </c>
      <c r="K365" s="165" t="s">
        <v>682</v>
      </c>
      <c r="L365" s="138">
        <v>1</v>
      </c>
      <c r="M365" s="166">
        <f t="shared" si="67"/>
        <v>2</v>
      </c>
      <c r="N365" s="133" t="s">
        <v>283</v>
      </c>
      <c r="O365" s="420" t="s">
        <v>1000</v>
      </c>
      <c r="P365" s="138">
        <v>1</v>
      </c>
      <c r="Q365" s="225">
        <f t="shared" si="68"/>
        <v>2</v>
      </c>
      <c r="R365" s="428"/>
      <c r="S365" s="428"/>
      <c r="T365" s="133"/>
      <c r="U365" s="405"/>
      <c r="V365" s="135"/>
      <c r="W365" s="133"/>
      <c r="X365" s="405"/>
      <c r="Y365" s="405"/>
      <c r="Z365" s="135"/>
      <c r="AA365" s="136">
        <f t="shared" si="69"/>
        <v>0</v>
      </c>
      <c r="AB365" s="111"/>
      <c r="AC365" s="226"/>
      <c r="AD365" s="226">
        <f t="shared" si="65"/>
        <v>12391</v>
      </c>
    </row>
    <row r="366" spans="1:31" ht="115.5" outlineLevel="3" thickBot="1" x14ac:dyDescent="0.25">
      <c r="A366" s="252" t="s">
        <v>1088</v>
      </c>
      <c r="B366" s="488" t="s">
        <v>553</v>
      </c>
      <c r="C366" s="486" t="s">
        <v>554</v>
      </c>
      <c r="D366" s="488" t="s">
        <v>555</v>
      </c>
      <c r="E366" s="415" t="s">
        <v>275</v>
      </c>
      <c r="F366" s="331" t="s">
        <v>556</v>
      </c>
      <c r="G366" s="417" t="s">
        <v>993</v>
      </c>
      <c r="H366" s="255" t="s">
        <v>238</v>
      </c>
      <c r="I366" s="265">
        <v>1</v>
      </c>
      <c r="J366" s="253" t="s">
        <v>277</v>
      </c>
      <c r="K366" s="130" t="s">
        <v>682</v>
      </c>
      <c r="L366" s="258">
        <v>1</v>
      </c>
      <c r="M366" s="256">
        <f t="shared" si="67"/>
        <v>1</v>
      </c>
      <c r="N366" s="248" t="s">
        <v>241</v>
      </c>
      <c r="O366" s="257" t="s">
        <v>242</v>
      </c>
      <c r="P366" s="258">
        <v>5</v>
      </c>
      <c r="Q366" s="259">
        <f t="shared" si="68"/>
        <v>5</v>
      </c>
      <c r="R366" s="428"/>
      <c r="S366" s="428"/>
      <c r="T366" s="133"/>
      <c r="U366" s="405"/>
      <c r="V366" s="135"/>
      <c r="W366" s="133"/>
      <c r="X366" s="405"/>
      <c r="Y366" s="405"/>
      <c r="Z366" s="135"/>
      <c r="AA366" s="136"/>
      <c r="AB366" s="111"/>
      <c r="AC366" s="363"/>
      <c r="AD366" s="226">
        <f t="shared" si="65"/>
        <v>10973</v>
      </c>
    </row>
    <row r="367" spans="1:31" ht="243" outlineLevel="3" thickBot="1" x14ac:dyDescent="0.25">
      <c r="A367" s="252" t="s">
        <v>1089</v>
      </c>
      <c r="B367" s="488"/>
      <c r="C367" s="487"/>
      <c r="D367" s="488"/>
      <c r="E367" s="415" t="s">
        <v>279</v>
      </c>
      <c r="F367" s="331" t="s">
        <v>558</v>
      </c>
      <c r="G367" s="415" t="s">
        <v>999</v>
      </c>
      <c r="H367" s="255" t="s">
        <v>238</v>
      </c>
      <c r="I367" s="265">
        <v>2</v>
      </c>
      <c r="J367" s="253" t="s">
        <v>412</v>
      </c>
      <c r="K367" s="130" t="s">
        <v>682</v>
      </c>
      <c r="L367" s="258">
        <v>1</v>
      </c>
      <c r="M367" s="256">
        <f t="shared" si="67"/>
        <v>2</v>
      </c>
      <c r="N367" s="248" t="s">
        <v>291</v>
      </c>
      <c r="O367" s="69" t="s">
        <v>1000</v>
      </c>
      <c r="P367" s="131">
        <v>1</v>
      </c>
      <c r="Q367" s="259">
        <f t="shared" si="68"/>
        <v>2</v>
      </c>
      <c r="R367" s="428"/>
      <c r="S367" s="428"/>
      <c r="T367" s="133"/>
      <c r="U367" s="405"/>
      <c r="V367" s="135"/>
      <c r="W367" s="133"/>
      <c r="X367" s="405"/>
      <c r="Y367" s="405"/>
      <c r="Z367" s="135"/>
      <c r="AA367" s="136">
        <f t="shared" si="69"/>
        <v>0</v>
      </c>
      <c r="AB367" s="111"/>
      <c r="AC367" s="363"/>
      <c r="AD367" s="226">
        <f t="shared" si="65"/>
        <v>10974</v>
      </c>
    </row>
    <row r="368" spans="1:31" ht="115.5" outlineLevel="3" thickBot="1" x14ac:dyDescent="0.25">
      <c r="A368" s="252" t="s">
        <v>1090</v>
      </c>
      <c r="B368" s="488" t="s">
        <v>560</v>
      </c>
      <c r="C368" s="486" t="s">
        <v>561</v>
      </c>
      <c r="D368" s="489" t="s">
        <v>886</v>
      </c>
      <c r="E368" s="415" t="s">
        <v>300</v>
      </c>
      <c r="F368" s="331" t="s">
        <v>563</v>
      </c>
      <c r="G368" s="417" t="s">
        <v>993</v>
      </c>
      <c r="H368" s="255" t="s">
        <v>238</v>
      </c>
      <c r="I368" s="265">
        <v>1</v>
      </c>
      <c r="J368" s="253" t="s">
        <v>302</v>
      </c>
      <c r="K368" s="130" t="s">
        <v>682</v>
      </c>
      <c r="L368" s="258">
        <v>1</v>
      </c>
      <c r="M368" s="256">
        <f t="shared" si="67"/>
        <v>1</v>
      </c>
      <c r="N368" s="248" t="s">
        <v>291</v>
      </c>
      <c r="O368" s="257" t="s">
        <v>242</v>
      </c>
      <c r="P368" s="258">
        <v>5</v>
      </c>
      <c r="Q368" s="259">
        <f t="shared" si="68"/>
        <v>5</v>
      </c>
      <c r="R368" s="428"/>
      <c r="S368" s="428"/>
      <c r="T368" s="133"/>
      <c r="U368" s="405"/>
      <c r="V368" s="135"/>
      <c r="W368" s="133"/>
      <c r="X368" s="405"/>
      <c r="Y368" s="405"/>
      <c r="Z368" s="135"/>
      <c r="AA368" s="136"/>
      <c r="AB368" s="111"/>
      <c r="AC368" s="363"/>
      <c r="AD368" s="226">
        <f t="shared" si="65"/>
        <v>10975</v>
      </c>
    </row>
    <row r="369" spans="1:31" ht="243" outlineLevel="3" thickBot="1" x14ac:dyDescent="0.25">
      <c r="A369" s="252" t="s">
        <v>1091</v>
      </c>
      <c r="B369" s="488"/>
      <c r="C369" s="487"/>
      <c r="D369" s="490"/>
      <c r="E369" s="415" t="s">
        <v>393</v>
      </c>
      <c r="F369" s="331" t="s">
        <v>888</v>
      </c>
      <c r="G369" s="415" t="s">
        <v>999</v>
      </c>
      <c r="H369" s="255" t="s">
        <v>238</v>
      </c>
      <c r="I369" s="128">
        <v>2</v>
      </c>
      <c r="J369" s="253" t="s">
        <v>307</v>
      </c>
      <c r="K369" s="130" t="s">
        <v>682</v>
      </c>
      <c r="L369" s="258">
        <v>1</v>
      </c>
      <c r="M369" s="256">
        <f t="shared" si="67"/>
        <v>2</v>
      </c>
      <c r="N369" s="248" t="s">
        <v>291</v>
      </c>
      <c r="O369" s="69" t="s">
        <v>1000</v>
      </c>
      <c r="P369" s="131">
        <v>1</v>
      </c>
      <c r="Q369" s="259">
        <f t="shared" si="68"/>
        <v>2</v>
      </c>
      <c r="R369" s="428"/>
      <c r="S369" s="428"/>
      <c r="T369" s="133"/>
      <c r="U369" s="405"/>
      <c r="V369" s="135"/>
      <c r="W369" s="133"/>
      <c r="X369" s="405"/>
      <c r="Y369" s="405"/>
      <c r="Z369" s="135"/>
      <c r="AA369" s="136">
        <f t="shared" ref="AA369" si="71">X369*Y369*Z369</f>
        <v>0</v>
      </c>
      <c r="AB369" s="111"/>
      <c r="AC369" s="363"/>
      <c r="AD369" s="226">
        <f t="shared" si="65"/>
        <v>10976</v>
      </c>
    </row>
    <row r="370" spans="1:31" ht="243" outlineLevel="3" thickBot="1" x14ac:dyDescent="0.25">
      <c r="A370" s="199" t="s">
        <v>1092</v>
      </c>
      <c r="B370" s="477" t="s">
        <v>567</v>
      </c>
      <c r="C370" s="479" t="s">
        <v>568</v>
      </c>
      <c r="D370" s="477" t="s">
        <v>569</v>
      </c>
      <c r="E370" s="417" t="s">
        <v>300</v>
      </c>
      <c r="F370" s="417" t="s">
        <v>1093</v>
      </c>
      <c r="G370" s="417" t="s">
        <v>999</v>
      </c>
      <c r="H370" s="127" t="s">
        <v>238</v>
      </c>
      <c r="I370" s="128">
        <v>2</v>
      </c>
      <c r="J370" s="163" t="s">
        <v>302</v>
      </c>
      <c r="K370" s="130" t="s">
        <v>682</v>
      </c>
      <c r="L370" s="131">
        <v>1</v>
      </c>
      <c r="M370" s="132">
        <f t="shared" si="67"/>
        <v>2</v>
      </c>
      <c r="N370" s="133" t="s">
        <v>291</v>
      </c>
      <c r="O370" s="69" t="s">
        <v>1000</v>
      </c>
      <c r="P370" s="131">
        <v>1</v>
      </c>
      <c r="Q370" s="134">
        <f t="shared" si="68"/>
        <v>2</v>
      </c>
      <c r="R370" s="428"/>
      <c r="S370" s="428"/>
      <c r="T370" s="133"/>
      <c r="U370" s="405"/>
      <c r="V370" s="135"/>
      <c r="W370" s="133"/>
      <c r="X370" s="405"/>
      <c r="Y370" s="405"/>
      <c r="Z370" s="135"/>
      <c r="AA370" s="136"/>
      <c r="AB370" s="111"/>
      <c r="AC370" s="363"/>
      <c r="AD370" s="226">
        <f t="shared" si="65"/>
        <v>5356</v>
      </c>
    </row>
    <row r="371" spans="1:31" ht="243" outlineLevel="3" thickBot="1" x14ac:dyDescent="0.25">
      <c r="A371" s="199" t="s">
        <v>1094</v>
      </c>
      <c r="B371" s="517"/>
      <c r="C371" s="514"/>
      <c r="D371" s="517"/>
      <c r="E371" s="417" t="s">
        <v>393</v>
      </c>
      <c r="F371" s="417" t="s">
        <v>1095</v>
      </c>
      <c r="G371" s="417" t="s">
        <v>999</v>
      </c>
      <c r="H371" s="127" t="s">
        <v>238</v>
      </c>
      <c r="I371" s="128">
        <v>2</v>
      </c>
      <c r="J371" s="163" t="s">
        <v>307</v>
      </c>
      <c r="K371" s="130" t="s">
        <v>682</v>
      </c>
      <c r="L371" s="131">
        <v>1</v>
      </c>
      <c r="M371" s="132">
        <f t="shared" si="67"/>
        <v>2</v>
      </c>
      <c r="N371" s="133" t="s">
        <v>291</v>
      </c>
      <c r="O371" s="69" t="s">
        <v>1000</v>
      </c>
      <c r="P371" s="131">
        <v>1</v>
      </c>
      <c r="Q371" s="134">
        <f t="shared" si="68"/>
        <v>2</v>
      </c>
      <c r="R371" s="428"/>
      <c r="S371" s="428"/>
      <c r="T371" s="133"/>
      <c r="U371" s="405"/>
      <c r="V371" s="135"/>
      <c r="W371" s="133"/>
      <c r="X371" s="405"/>
      <c r="Y371" s="405"/>
      <c r="Z371" s="135"/>
      <c r="AA371" s="136"/>
      <c r="AB371" s="111"/>
      <c r="AC371" s="363"/>
      <c r="AD371" s="226">
        <f t="shared" si="65"/>
        <v>5357</v>
      </c>
    </row>
    <row r="372" spans="1:31" ht="21" outlineLevel="2" thickBot="1" x14ac:dyDescent="0.25">
      <c r="A372" s="199"/>
      <c r="B372" s="117" t="s">
        <v>573</v>
      </c>
      <c r="C372" s="190"/>
      <c r="D372" s="118"/>
      <c r="E372" s="118"/>
      <c r="F372" s="118"/>
      <c r="G372" s="118"/>
      <c r="H372" s="118"/>
      <c r="I372" s="118"/>
      <c r="J372" s="118"/>
      <c r="K372" s="118"/>
      <c r="L372" s="118"/>
      <c r="M372" s="118"/>
      <c r="N372" s="118"/>
      <c r="O372" s="118"/>
      <c r="P372" s="118"/>
      <c r="Q372" s="118"/>
      <c r="R372" s="118"/>
      <c r="S372" s="118"/>
      <c r="T372" s="118"/>
      <c r="U372" s="118"/>
      <c r="V372" s="118"/>
      <c r="W372" s="118"/>
      <c r="X372" s="118"/>
      <c r="Y372" s="118"/>
      <c r="Z372" s="118"/>
      <c r="AA372" s="118"/>
      <c r="AB372" s="119"/>
      <c r="AC372" s="363"/>
      <c r="AD372" s="226">
        <f t="shared" si="65"/>
        <v>0</v>
      </c>
    </row>
    <row r="373" spans="1:31" ht="243" outlineLevel="3" thickBot="1" x14ac:dyDescent="0.25">
      <c r="A373" s="199" t="s">
        <v>1096</v>
      </c>
      <c r="B373" s="503" t="s">
        <v>575</v>
      </c>
      <c r="C373" s="505" t="s">
        <v>576</v>
      </c>
      <c r="D373" s="503" t="s">
        <v>577</v>
      </c>
      <c r="E373" s="417" t="s">
        <v>1097</v>
      </c>
      <c r="F373" s="417" t="s">
        <v>1098</v>
      </c>
      <c r="G373" s="417" t="s">
        <v>999</v>
      </c>
      <c r="H373" s="127" t="s">
        <v>238</v>
      </c>
      <c r="I373" s="128">
        <v>2</v>
      </c>
      <c r="J373" s="163" t="s">
        <v>580</v>
      </c>
      <c r="K373" s="130" t="s">
        <v>682</v>
      </c>
      <c r="L373" s="131">
        <v>1</v>
      </c>
      <c r="M373" s="132">
        <f t="shared" ref="M373:M428" si="72">I373*L373</f>
        <v>2</v>
      </c>
      <c r="N373" s="133" t="s">
        <v>291</v>
      </c>
      <c r="O373" s="69" t="s">
        <v>1000</v>
      </c>
      <c r="P373" s="131">
        <v>1</v>
      </c>
      <c r="Q373" s="134">
        <f t="shared" ref="Q373:Q428" si="73">I373*L373*P373</f>
        <v>2</v>
      </c>
      <c r="R373" s="428"/>
      <c r="S373" s="428"/>
      <c r="T373" s="133"/>
      <c r="U373" s="405"/>
      <c r="V373" s="135"/>
      <c r="W373" s="133"/>
      <c r="X373" s="405"/>
      <c r="Y373" s="405"/>
      <c r="Z373" s="135"/>
      <c r="AA373" s="136"/>
      <c r="AB373" s="111"/>
      <c r="AC373" s="363"/>
      <c r="AD373" s="226">
        <f t="shared" si="65"/>
        <v>5358</v>
      </c>
    </row>
    <row r="374" spans="1:31" ht="243" outlineLevel="3" thickBot="1" x14ac:dyDescent="0.25">
      <c r="A374" s="199" t="s">
        <v>1099</v>
      </c>
      <c r="B374" s="483"/>
      <c r="C374" s="484"/>
      <c r="D374" s="483"/>
      <c r="E374" s="417" t="s">
        <v>582</v>
      </c>
      <c r="F374" s="417" t="s">
        <v>1100</v>
      </c>
      <c r="G374" s="417" t="s">
        <v>999</v>
      </c>
      <c r="H374" s="127" t="s">
        <v>238</v>
      </c>
      <c r="I374" s="128">
        <v>2</v>
      </c>
      <c r="J374" s="163" t="s">
        <v>580</v>
      </c>
      <c r="K374" s="130" t="s">
        <v>682</v>
      </c>
      <c r="L374" s="131">
        <v>1</v>
      </c>
      <c r="M374" s="132">
        <f t="shared" si="72"/>
        <v>2</v>
      </c>
      <c r="N374" s="133" t="s">
        <v>291</v>
      </c>
      <c r="O374" s="69" t="s">
        <v>1000</v>
      </c>
      <c r="P374" s="131">
        <v>1</v>
      </c>
      <c r="Q374" s="134">
        <f t="shared" si="73"/>
        <v>2</v>
      </c>
      <c r="R374" s="428"/>
      <c r="S374" s="428"/>
      <c r="T374" s="133"/>
      <c r="U374" s="405"/>
      <c r="V374" s="135"/>
      <c r="W374" s="133"/>
      <c r="X374" s="405"/>
      <c r="Y374" s="405"/>
      <c r="Z374" s="135"/>
      <c r="AA374" s="136"/>
      <c r="AB374" s="111"/>
      <c r="AC374" s="363"/>
      <c r="AD374" s="226">
        <f t="shared" si="65"/>
        <v>5359</v>
      </c>
    </row>
    <row r="375" spans="1:31" ht="243" outlineLevel="3" thickBot="1" x14ac:dyDescent="0.25">
      <c r="A375" s="199" t="s">
        <v>1101</v>
      </c>
      <c r="B375" s="478"/>
      <c r="C375" s="480"/>
      <c r="D375" s="478"/>
      <c r="E375" s="417" t="s">
        <v>585</v>
      </c>
      <c r="F375" s="405" t="s">
        <v>1102</v>
      </c>
      <c r="G375" s="417" t="s">
        <v>999</v>
      </c>
      <c r="H375" s="127" t="s">
        <v>238</v>
      </c>
      <c r="I375" s="128">
        <v>2</v>
      </c>
      <c r="J375" s="163" t="s">
        <v>580</v>
      </c>
      <c r="K375" s="130" t="s">
        <v>682</v>
      </c>
      <c r="L375" s="131">
        <v>1</v>
      </c>
      <c r="M375" s="132">
        <f t="shared" si="72"/>
        <v>2</v>
      </c>
      <c r="N375" s="133" t="s">
        <v>291</v>
      </c>
      <c r="O375" s="69" t="s">
        <v>1000</v>
      </c>
      <c r="P375" s="131">
        <v>1</v>
      </c>
      <c r="Q375" s="134">
        <f t="shared" si="73"/>
        <v>2</v>
      </c>
      <c r="R375" s="428"/>
      <c r="S375" s="428"/>
      <c r="T375" s="133"/>
      <c r="U375" s="405"/>
      <c r="V375" s="135"/>
      <c r="W375" s="133"/>
      <c r="X375" s="405"/>
      <c r="Y375" s="405"/>
      <c r="Z375" s="135"/>
      <c r="AA375" s="136">
        <f t="shared" si="69"/>
        <v>0</v>
      </c>
      <c r="AB375" s="111"/>
      <c r="AC375" s="363"/>
      <c r="AD375" s="226">
        <f t="shared" si="65"/>
        <v>5360</v>
      </c>
    </row>
    <row r="376" spans="1:31" ht="243" outlineLevel="3" thickBot="1" x14ac:dyDescent="0.25">
      <c r="A376" s="199" t="s">
        <v>1103</v>
      </c>
      <c r="B376" s="505" t="s">
        <v>575</v>
      </c>
      <c r="C376" s="505" t="s">
        <v>576</v>
      </c>
      <c r="D376" s="503" t="s">
        <v>577</v>
      </c>
      <c r="E376" s="417" t="s">
        <v>588</v>
      </c>
      <c r="F376" s="417" t="s">
        <v>1104</v>
      </c>
      <c r="G376" s="417" t="s">
        <v>999</v>
      </c>
      <c r="H376" s="127" t="s">
        <v>238</v>
      </c>
      <c r="I376" s="128">
        <v>2</v>
      </c>
      <c r="J376" s="163" t="s">
        <v>580</v>
      </c>
      <c r="K376" s="130" t="s">
        <v>682</v>
      </c>
      <c r="L376" s="131">
        <v>1</v>
      </c>
      <c r="M376" s="132">
        <f t="shared" si="72"/>
        <v>2</v>
      </c>
      <c r="N376" s="133" t="s">
        <v>291</v>
      </c>
      <c r="O376" s="69" t="s">
        <v>1000</v>
      </c>
      <c r="P376" s="131">
        <v>1</v>
      </c>
      <c r="Q376" s="134">
        <f t="shared" si="73"/>
        <v>2</v>
      </c>
      <c r="R376" s="428"/>
      <c r="S376" s="428"/>
      <c r="T376" s="133"/>
      <c r="U376" s="405"/>
      <c r="V376" s="135"/>
      <c r="W376" s="133"/>
      <c r="X376" s="405"/>
      <c r="Y376" s="405"/>
      <c r="Z376" s="135"/>
      <c r="AA376" s="136"/>
      <c r="AB376" s="111"/>
      <c r="AC376" s="363"/>
      <c r="AD376" s="226">
        <f t="shared" si="65"/>
        <v>8902</v>
      </c>
    </row>
    <row r="377" spans="1:31" s="303" customFormat="1" ht="243" outlineLevel="3" thickBot="1" x14ac:dyDescent="0.25">
      <c r="A377" s="199" t="s">
        <v>1105</v>
      </c>
      <c r="B377" s="484"/>
      <c r="C377" s="484"/>
      <c r="D377" s="483"/>
      <c r="E377" s="417" t="s">
        <v>590</v>
      </c>
      <c r="F377" s="417" t="s">
        <v>902</v>
      </c>
      <c r="G377" s="417" t="s">
        <v>999</v>
      </c>
      <c r="H377" s="127" t="s">
        <v>238</v>
      </c>
      <c r="I377" s="128">
        <v>2</v>
      </c>
      <c r="J377" s="163" t="s">
        <v>580</v>
      </c>
      <c r="K377" s="130" t="s">
        <v>682</v>
      </c>
      <c r="L377" s="131">
        <v>1</v>
      </c>
      <c r="M377" s="132">
        <f t="shared" si="72"/>
        <v>2</v>
      </c>
      <c r="N377" s="133" t="s">
        <v>291</v>
      </c>
      <c r="O377" s="69" t="s">
        <v>1000</v>
      </c>
      <c r="P377" s="131">
        <v>1</v>
      </c>
      <c r="Q377" s="134">
        <f t="shared" si="73"/>
        <v>2</v>
      </c>
      <c r="R377" s="428"/>
      <c r="S377" s="428"/>
      <c r="T377" s="133"/>
      <c r="U377" s="405"/>
      <c r="V377" s="135"/>
      <c r="W377" s="133"/>
      <c r="X377" s="405"/>
      <c r="Y377" s="405"/>
      <c r="Z377" s="135"/>
      <c r="AA377" s="136">
        <f t="shared" ref="AA377" si="74">X377*Y377*Z377</f>
        <v>0</v>
      </c>
      <c r="AB377" s="111"/>
      <c r="AC377" s="367"/>
      <c r="AD377" s="226">
        <f t="shared" si="65"/>
        <v>8903</v>
      </c>
      <c r="AE377" s="239"/>
    </row>
    <row r="378" spans="1:31" s="303" customFormat="1" ht="243" outlineLevel="3" thickBot="1" x14ac:dyDescent="0.25">
      <c r="A378" s="199" t="s">
        <v>1106</v>
      </c>
      <c r="B378" s="480"/>
      <c r="C378" s="480"/>
      <c r="D378" s="478"/>
      <c r="E378" s="405" t="s">
        <v>593</v>
      </c>
      <c r="F378" s="405" t="s">
        <v>904</v>
      </c>
      <c r="G378" s="417" t="s">
        <v>999</v>
      </c>
      <c r="H378" s="127" t="s">
        <v>238</v>
      </c>
      <c r="I378" s="128">
        <v>2</v>
      </c>
      <c r="J378" s="163" t="s">
        <v>580</v>
      </c>
      <c r="K378" s="130" t="s">
        <v>682</v>
      </c>
      <c r="L378" s="131">
        <v>1</v>
      </c>
      <c r="M378" s="132">
        <f t="shared" si="72"/>
        <v>2</v>
      </c>
      <c r="N378" s="133" t="s">
        <v>291</v>
      </c>
      <c r="O378" s="69" t="s">
        <v>1000</v>
      </c>
      <c r="P378" s="131">
        <v>1</v>
      </c>
      <c r="Q378" s="134">
        <f t="shared" si="73"/>
        <v>2</v>
      </c>
      <c r="R378" s="428"/>
      <c r="S378" s="428"/>
      <c r="T378" s="133"/>
      <c r="U378" s="405"/>
      <c r="V378" s="135"/>
      <c r="W378" s="133"/>
      <c r="X378" s="405"/>
      <c r="Y378" s="405"/>
      <c r="Z378" s="135"/>
      <c r="AA378" s="136"/>
      <c r="AB378" s="111"/>
      <c r="AC378" s="367"/>
      <c r="AD378" s="226">
        <f t="shared" si="65"/>
        <v>8904</v>
      </c>
      <c r="AE378" s="239"/>
    </row>
    <row r="379" spans="1:31" s="303" customFormat="1" ht="243" outlineLevel="3" thickBot="1" x14ac:dyDescent="0.25">
      <c r="A379" s="199" t="s">
        <v>1107</v>
      </c>
      <c r="B379" s="477" t="s">
        <v>596</v>
      </c>
      <c r="C379" s="479" t="s">
        <v>597</v>
      </c>
      <c r="D379" s="477" t="s">
        <v>598</v>
      </c>
      <c r="E379" s="405" t="s">
        <v>275</v>
      </c>
      <c r="F379" s="405" t="s">
        <v>1108</v>
      </c>
      <c r="G379" s="405" t="s">
        <v>999</v>
      </c>
      <c r="H379" s="420" t="s">
        <v>238</v>
      </c>
      <c r="I379" s="164">
        <v>2</v>
      </c>
      <c r="J379" s="163" t="s">
        <v>277</v>
      </c>
      <c r="K379" s="165" t="s">
        <v>682</v>
      </c>
      <c r="L379" s="138">
        <v>1</v>
      </c>
      <c r="M379" s="132">
        <f t="shared" si="72"/>
        <v>2</v>
      </c>
      <c r="N379" s="133" t="s">
        <v>291</v>
      </c>
      <c r="O379" s="69" t="s">
        <v>1000</v>
      </c>
      <c r="P379" s="131">
        <v>1</v>
      </c>
      <c r="Q379" s="134">
        <f t="shared" si="73"/>
        <v>2</v>
      </c>
      <c r="R379" s="428"/>
      <c r="S379" s="428"/>
      <c r="T379" s="133"/>
      <c r="U379" s="405"/>
      <c r="V379" s="135"/>
      <c r="W379" s="133"/>
      <c r="X379" s="405"/>
      <c r="Y379" s="405"/>
      <c r="Z379" s="135"/>
      <c r="AA379" s="136">
        <f t="shared" ref="AA379" si="75">X379*Y379*Z379</f>
        <v>0</v>
      </c>
      <c r="AB379" s="111"/>
      <c r="AC379" s="367"/>
      <c r="AD379" s="226">
        <f t="shared" si="65"/>
        <v>5361</v>
      </c>
      <c r="AE379" s="239"/>
    </row>
    <row r="380" spans="1:31" s="303" customFormat="1" ht="243" outlineLevel="3" thickBot="1" x14ac:dyDescent="0.25">
      <c r="A380" s="199" t="s">
        <v>1109</v>
      </c>
      <c r="B380" s="482"/>
      <c r="C380" s="480"/>
      <c r="D380" s="581"/>
      <c r="E380" s="417" t="s">
        <v>1110</v>
      </c>
      <c r="F380" s="417" t="s">
        <v>1111</v>
      </c>
      <c r="G380" s="417" t="s">
        <v>999</v>
      </c>
      <c r="H380" s="127" t="s">
        <v>238</v>
      </c>
      <c r="I380" s="128">
        <v>2</v>
      </c>
      <c r="J380" s="129" t="s">
        <v>784</v>
      </c>
      <c r="K380" s="130" t="s">
        <v>682</v>
      </c>
      <c r="L380" s="131">
        <v>1</v>
      </c>
      <c r="M380" s="132">
        <f t="shared" si="72"/>
        <v>2</v>
      </c>
      <c r="N380" s="133" t="s">
        <v>291</v>
      </c>
      <c r="O380" s="69" t="s">
        <v>1000</v>
      </c>
      <c r="P380" s="131">
        <v>1</v>
      </c>
      <c r="Q380" s="134">
        <f t="shared" si="73"/>
        <v>2</v>
      </c>
      <c r="R380" s="428"/>
      <c r="S380" s="428"/>
      <c r="T380" s="133"/>
      <c r="U380" s="405"/>
      <c r="V380" s="135"/>
      <c r="W380" s="133"/>
      <c r="X380" s="405"/>
      <c r="Y380" s="405"/>
      <c r="Z380" s="135"/>
      <c r="AA380" s="136"/>
      <c r="AB380" s="111"/>
      <c r="AC380" s="367"/>
      <c r="AD380" s="226">
        <f t="shared" si="65"/>
        <v>5362</v>
      </c>
      <c r="AE380" s="239"/>
    </row>
    <row r="381" spans="1:31" s="303" customFormat="1" ht="141" outlineLevel="3" thickBot="1" x14ac:dyDescent="0.25">
      <c r="A381" s="199" t="s">
        <v>1112</v>
      </c>
      <c r="B381" s="477" t="s">
        <v>602</v>
      </c>
      <c r="C381" s="479" t="s">
        <v>603</v>
      </c>
      <c r="D381" s="477" t="s">
        <v>604</v>
      </c>
      <c r="E381" s="417" t="s">
        <v>300</v>
      </c>
      <c r="F381" s="417" t="s">
        <v>605</v>
      </c>
      <c r="G381" s="417" t="s">
        <v>993</v>
      </c>
      <c r="H381" s="127" t="s">
        <v>238</v>
      </c>
      <c r="I381" s="128">
        <v>1</v>
      </c>
      <c r="J381" s="129" t="s">
        <v>675</v>
      </c>
      <c r="K381" s="130" t="s">
        <v>682</v>
      </c>
      <c r="L381" s="131">
        <v>1</v>
      </c>
      <c r="M381" s="132">
        <f t="shared" si="72"/>
        <v>1</v>
      </c>
      <c r="N381" s="133" t="s">
        <v>291</v>
      </c>
      <c r="O381" s="69" t="s">
        <v>242</v>
      </c>
      <c r="P381" s="131">
        <v>5</v>
      </c>
      <c r="Q381" s="134">
        <f t="shared" si="73"/>
        <v>5</v>
      </c>
      <c r="R381" s="428"/>
      <c r="S381" s="428"/>
      <c r="T381" s="133"/>
      <c r="U381" s="405"/>
      <c r="V381" s="135"/>
      <c r="W381" s="133"/>
      <c r="X381" s="405"/>
      <c r="Y381" s="405"/>
      <c r="Z381" s="135"/>
      <c r="AA381" s="136">
        <f t="shared" ref="AA381" si="76">X381*Y381*Z381</f>
        <v>0</v>
      </c>
      <c r="AB381" s="111"/>
      <c r="AC381" s="367"/>
      <c r="AD381" s="226">
        <f t="shared" si="65"/>
        <v>5363</v>
      </c>
      <c r="AE381" s="239"/>
    </row>
    <row r="382" spans="1:31" s="303" customFormat="1" ht="192" outlineLevel="3" thickBot="1" x14ac:dyDescent="0.25">
      <c r="A382" s="199" t="s">
        <v>1113</v>
      </c>
      <c r="B382" s="478"/>
      <c r="C382" s="480"/>
      <c r="D382" s="478"/>
      <c r="E382" s="417" t="s">
        <v>393</v>
      </c>
      <c r="F382" s="417" t="s">
        <v>607</v>
      </c>
      <c r="G382" s="417" t="s">
        <v>993</v>
      </c>
      <c r="H382" s="127" t="s">
        <v>238</v>
      </c>
      <c r="I382" s="128">
        <v>1</v>
      </c>
      <c r="J382" s="129" t="s">
        <v>675</v>
      </c>
      <c r="K382" s="130" t="s">
        <v>682</v>
      </c>
      <c r="L382" s="131">
        <v>1</v>
      </c>
      <c r="M382" s="132">
        <f t="shared" si="72"/>
        <v>1</v>
      </c>
      <c r="N382" s="133" t="s">
        <v>291</v>
      </c>
      <c r="O382" s="69" t="s">
        <v>242</v>
      </c>
      <c r="P382" s="131">
        <v>5</v>
      </c>
      <c r="Q382" s="134">
        <f t="shared" si="73"/>
        <v>5</v>
      </c>
      <c r="R382" s="428"/>
      <c r="S382" s="428"/>
      <c r="T382" s="133"/>
      <c r="U382" s="405"/>
      <c r="V382" s="135"/>
      <c r="W382" s="133"/>
      <c r="X382" s="405"/>
      <c r="Y382" s="405"/>
      <c r="Z382" s="135"/>
      <c r="AA382" s="136"/>
      <c r="AB382" s="111"/>
      <c r="AC382" s="367"/>
      <c r="AD382" s="226">
        <f t="shared" si="65"/>
        <v>5364</v>
      </c>
      <c r="AE382" s="239"/>
    </row>
    <row r="383" spans="1:31" ht="115.5" outlineLevel="3" thickBot="1" x14ac:dyDescent="0.25">
      <c r="A383" s="199" t="s">
        <v>1114</v>
      </c>
      <c r="B383" s="569" t="s">
        <v>609</v>
      </c>
      <c r="C383" s="499" t="s">
        <v>610</v>
      </c>
      <c r="D383" s="477" t="s">
        <v>611</v>
      </c>
      <c r="E383" s="417" t="s">
        <v>288</v>
      </c>
      <c r="F383" s="417" t="s">
        <v>612</v>
      </c>
      <c r="G383" s="417" t="s">
        <v>993</v>
      </c>
      <c r="H383" s="127" t="s">
        <v>238</v>
      </c>
      <c r="I383" s="128">
        <v>1</v>
      </c>
      <c r="J383" s="129" t="s">
        <v>675</v>
      </c>
      <c r="K383" s="130" t="s">
        <v>682</v>
      </c>
      <c r="L383" s="131">
        <v>1</v>
      </c>
      <c r="M383" s="132">
        <f t="shared" si="72"/>
        <v>1</v>
      </c>
      <c r="N383" s="133" t="s">
        <v>291</v>
      </c>
      <c r="O383" s="69" t="s">
        <v>242</v>
      </c>
      <c r="P383" s="131">
        <v>5</v>
      </c>
      <c r="Q383" s="134">
        <f t="shared" si="73"/>
        <v>5</v>
      </c>
      <c r="R383" s="428"/>
      <c r="S383" s="428"/>
      <c r="T383" s="133"/>
      <c r="U383" s="405"/>
      <c r="V383" s="135"/>
      <c r="W383" s="133"/>
      <c r="X383" s="405"/>
      <c r="Y383" s="405"/>
      <c r="Z383" s="135"/>
      <c r="AA383" s="136"/>
      <c r="AB383" s="111"/>
      <c r="AC383" s="226"/>
      <c r="AD383" s="226">
        <f t="shared" si="65"/>
        <v>5365</v>
      </c>
    </row>
    <row r="384" spans="1:31" ht="166.5" outlineLevel="3" thickBot="1" x14ac:dyDescent="0.25">
      <c r="A384" s="199" t="s">
        <v>1115</v>
      </c>
      <c r="B384" s="570"/>
      <c r="C384" s="500"/>
      <c r="D384" s="478"/>
      <c r="E384" s="417" t="s">
        <v>614</v>
      </c>
      <c r="F384" s="417" t="s">
        <v>615</v>
      </c>
      <c r="G384" s="417" t="s">
        <v>993</v>
      </c>
      <c r="H384" s="127" t="s">
        <v>238</v>
      </c>
      <c r="I384" s="128">
        <v>1</v>
      </c>
      <c r="J384" s="129" t="s">
        <v>675</v>
      </c>
      <c r="K384" s="130" t="s">
        <v>682</v>
      </c>
      <c r="L384" s="131">
        <v>1</v>
      </c>
      <c r="M384" s="132">
        <f t="shared" si="72"/>
        <v>1</v>
      </c>
      <c r="N384" s="133" t="s">
        <v>291</v>
      </c>
      <c r="O384" s="69" t="s">
        <v>242</v>
      </c>
      <c r="P384" s="131">
        <v>5</v>
      </c>
      <c r="Q384" s="134">
        <f t="shared" si="73"/>
        <v>5</v>
      </c>
      <c r="R384" s="428"/>
      <c r="S384" s="428"/>
      <c r="T384" s="133"/>
      <c r="U384" s="405"/>
      <c r="V384" s="135"/>
      <c r="W384" s="133"/>
      <c r="X384" s="405"/>
      <c r="Y384" s="405"/>
      <c r="Z384" s="135"/>
      <c r="AA384" s="136">
        <f t="shared" si="69"/>
        <v>0</v>
      </c>
      <c r="AB384" s="111"/>
      <c r="AC384" s="363"/>
      <c r="AD384" s="226">
        <f t="shared" si="65"/>
        <v>5366</v>
      </c>
    </row>
    <row r="385" spans="1:30" ht="141" outlineLevel="3" thickBot="1" x14ac:dyDescent="0.25">
      <c r="A385" s="245" t="s">
        <v>1116</v>
      </c>
      <c r="B385" s="492" t="s">
        <v>617</v>
      </c>
      <c r="C385" s="494" t="s">
        <v>618</v>
      </c>
      <c r="D385" s="492" t="s">
        <v>1117</v>
      </c>
      <c r="E385" s="409" t="s">
        <v>300</v>
      </c>
      <c r="F385" s="328" t="s">
        <v>620</v>
      </c>
      <c r="G385" s="417" t="s">
        <v>993</v>
      </c>
      <c r="H385" s="295" t="s">
        <v>238</v>
      </c>
      <c r="I385" s="296">
        <v>1</v>
      </c>
      <c r="J385" s="297" t="s">
        <v>302</v>
      </c>
      <c r="K385" s="130" t="s">
        <v>682</v>
      </c>
      <c r="L385" s="234">
        <v>1</v>
      </c>
      <c r="M385" s="231">
        <f t="shared" si="72"/>
        <v>1</v>
      </c>
      <c r="N385" s="232" t="s">
        <v>291</v>
      </c>
      <c r="O385" s="233" t="s">
        <v>242</v>
      </c>
      <c r="P385" s="234">
        <v>5</v>
      </c>
      <c r="Q385" s="235">
        <f t="shared" si="73"/>
        <v>5</v>
      </c>
      <c r="R385" s="428"/>
      <c r="S385" s="428"/>
      <c r="T385" s="133"/>
      <c r="U385" s="405"/>
      <c r="V385" s="135"/>
      <c r="W385" s="133"/>
      <c r="X385" s="405"/>
      <c r="Y385" s="405"/>
      <c r="Z385" s="135"/>
      <c r="AA385" s="136"/>
      <c r="AB385" s="111"/>
      <c r="AC385" s="363"/>
      <c r="AD385" s="226">
        <f t="shared" si="65"/>
        <v>10977</v>
      </c>
    </row>
    <row r="386" spans="1:30" ht="153.75" customHeight="1" outlineLevel="3" thickBot="1" x14ac:dyDescent="0.25">
      <c r="A386" s="245" t="s">
        <v>1118</v>
      </c>
      <c r="B386" s="493"/>
      <c r="C386" s="495"/>
      <c r="D386" s="493"/>
      <c r="E386" s="409" t="s">
        <v>393</v>
      </c>
      <c r="F386" s="328" t="s">
        <v>622</v>
      </c>
      <c r="G386" s="417" t="s">
        <v>993</v>
      </c>
      <c r="H386" s="295" t="s">
        <v>238</v>
      </c>
      <c r="I386" s="296">
        <v>1</v>
      </c>
      <c r="J386" s="297" t="s">
        <v>307</v>
      </c>
      <c r="K386" s="130" t="s">
        <v>682</v>
      </c>
      <c r="L386" s="234">
        <v>1</v>
      </c>
      <c r="M386" s="231">
        <f t="shared" si="72"/>
        <v>1</v>
      </c>
      <c r="N386" s="232" t="s">
        <v>291</v>
      </c>
      <c r="O386" s="233" t="s">
        <v>242</v>
      </c>
      <c r="P386" s="234">
        <v>5</v>
      </c>
      <c r="Q386" s="235">
        <f t="shared" si="73"/>
        <v>5</v>
      </c>
      <c r="R386" s="428"/>
      <c r="S386" s="428"/>
      <c r="T386" s="133"/>
      <c r="U386" s="405"/>
      <c r="V386" s="135"/>
      <c r="W386" s="133"/>
      <c r="X386" s="405"/>
      <c r="Y386" s="405"/>
      <c r="Z386" s="135"/>
      <c r="AA386" s="136">
        <f t="shared" ref="AA386" si="77">X386*Y386*Z386</f>
        <v>0</v>
      </c>
      <c r="AB386" s="111"/>
      <c r="AC386" s="226"/>
      <c r="AD386" s="226">
        <f t="shared" si="65"/>
        <v>10978</v>
      </c>
    </row>
    <row r="387" spans="1:30" ht="243" customHeight="1" outlineLevel="3" thickBot="1" x14ac:dyDescent="0.25">
      <c r="A387" s="304" t="s">
        <v>1119</v>
      </c>
      <c r="B387" s="518" t="s">
        <v>349</v>
      </c>
      <c r="C387" s="507" t="s">
        <v>624</v>
      </c>
      <c r="D387" s="518" t="s">
        <v>915</v>
      </c>
      <c r="E387" s="410" t="s">
        <v>352</v>
      </c>
      <c r="F387" s="328" t="s">
        <v>626</v>
      </c>
      <c r="G387" s="409" t="s">
        <v>999</v>
      </c>
      <c r="H387" s="295" t="s">
        <v>238</v>
      </c>
      <c r="I387" s="296">
        <v>2</v>
      </c>
      <c r="J387" s="410" t="s">
        <v>302</v>
      </c>
      <c r="K387" s="130" t="s">
        <v>682</v>
      </c>
      <c r="L387" s="410">
        <v>1</v>
      </c>
      <c r="M387" s="231">
        <f t="shared" si="72"/>
        <v>2</v>
      </c>
      <c r="N387" s="232" t="s">
        <v>303</v>
      </c>
      <c r="O387" s="420" t="s">
        <v>1000</v>
      </c>
      <c r="P387" s="138">
        <v>1</v>
      </c>
      <c r="Q387" s="235">
        <f>P387*L387*I387</f>
        <v>2</v>
      </c>
      <c r="R387" s="428"/>
      <c r="S387" s="428"/>
      <c r="T387" s="133"/>
      <c r="U387" s="405"/>
      <c r="V387" s="135"/>
      <c r="W387" s="133"/>
      <c r="X387" s="405"/>
      <c r="Y387" s="405"/>
      <c r="Z387" s="135"/>
      <c r="AA387" s="136"/>
      <c r="AB387" s="111"/>
      <c r="AC387" s="226"/>
      <c r="AD387" s="226">
        <f t="shared" si="65"/>
        <v>10979</v>
      </c>
    </row>
    <row r="388" spans="1:30" ht="153.75" customHeight="1" outlineLevel="3" thickBot="1" x14ac:dyDescent="0.25">
      <c r="A388" s="306" t="s">
        <v>1120</v>
      </c>
      <c r="B388" s="518"/>
      <c r="C388" s="507"/>
      <c r="D388" s="518"/>
      <c r="E388" s="410" t="s">
        <v>355</v>
      </c>
      <c r="F388" s="410" t="s">
        <v>628</v>
      </c>
      <c r="G388" s="409" t="s">
        <v>999</v>
      </c>
      <c r="H388" s="295" t="s">
        <v>238</v>
      </c>
      <c r="I388" s="296">
        <v>2</v>
      </c>
      <c r="J388" s="410" t="s">
        <v>307</v>
      </c>
      <c r="K388" s="130" t="s">
        <v>682</v>
      </c>
      <c r="L388" s="410">
        <v>1</v>
      </c>
      <c r="M388" s="231">
        <f t="shared" si="72"/>
        <v>2</v>
      </c>
      <c r="N388" s="232" t="s">
        <v>303</v>
      </c>
      <c r="O388" s="69" t="s">
        <v>1000</v>
      </c>
      <c r="P388" s="131">
        <v>1</v>
      </c>
      <c r="Q388" s="235">
        <f>P388*L388*I388</f>
        <v>2</v>
      </c>
      <c r="R388" s="428"/>
      <c r="S388" s="428"/>
      <c r="T388" s="133"/>
      <c r="U388" s="405"/>
      <c r="V388" s="135"/>
      <c r="W388" s="133"/>
      <c r="X388" s="405"/>
      <c r="Y388" s="405"/>
      <c r="Z388" s="135"/>
      <c r="AA388" s="136"/>
      <c r="AB388" s="111"/>
      <c r="AC388" s="226"/>
      <c r="AD388" s="226">
        <f t="shared" si="65"/>
        <v>10980</v>
      </c>
    </row>
    <row r="389" spans="1:30" ht="115.5" outlineLevel="3" thickBot="1" x14ac:dyDescent="0.25">
      <c r="A389" s="199" t="s">
        <v>1121</v>
      </c>
      <c r="B389" s="477" t="s">
        <v>630</v>
      </c>
      <c r="C389" s="479" t="s">
        <v>631</v>
      </c>
      <c r="D389" s="477" t="s">
        <v>632</v>
      </c>
      <c r="E389" s="405" t="s">
        <v>633</v>
      </c>
      <c r="F389" s="405" t="s">
        <v>634</v>
      </c>
      <c r="G389" s="405" t="s">
        <v>993</v>
      </c>
      <c r="H389" s="420" t="s">
        <v>238</v>
      </c>
      <c r="I389" s="164">
        <v>1</v>
      </c>
      <c r="J389" s="163" t="s">
        <v>277</v>
      </c>
      <c r="K389" s="165" t="s">
        <v>682</v>
      </c>
      <c r="L389" s="138">
        <v>1</v>
      </c>
      <c r="M389" s="231">
        <f t="shared" si="72"/>
        <v>1</v>
      </c>
      <c r="N389" s="232" t="s">
        <v>291</v>
      </c>
      <c r="O389" s="233" t="s">
        <v>242</v>
      </c>
      <c r="P389" s="234">
        <v>5</v>
      </c>
      <c r="Q389" s="235">
        <f t="shared" ref="Q389:Q391" si="78">I389*L389*P389</f>
        <v>5</v>
      </c>
      <c r="R389" s="428"/>
      <c r="S389" s="428"/>
      <c r="T389" s="133"/>
      <c r="U389" s="405"/>
      <c r="V389" s="135"/>
      <c r="W389" s="133"/>
      <c r="X389" s="405"/>
      <c r="Y389" s="405"/>
      <c r="Z389" s="135"/>
      <c r="AA389" s="136">
        <f t="shared" si="69"/>
        <v>0</v>
      </c>
      <c r="AB389" s="111"/>
      <c r="AC389" s="363"/>
      <c r="AD389" s="226">
        <f t="shared" si="65"/>
        <v>10981</v>
      </c>
    </row>
    <row r="390" spans="1:30" ht="243" outlineLevel="3" thickBot="1" x14ac:dyDescent="0.25">
      <c r="A390" s="245" t="s">
        <v>1122</v>
      </c>
      <c r="B390" s="481"/>
      <c r="C390" s="484"/>
      <c r="D390" s="481"/>
      <c r="E390" s="409" t="s">
        <v>636</v>
      </c>
      <c r="F390" s="409" t="s">
        <v>637</v>
      </c>
      <c r="G390" s="409" t="s">
        <v>999</v>
      </c>
      <c r="H390" s="295" t="s">
        <v>238</v>
      </c>
      <c r="I390" s="296">
        <v>2</v>
      </c>
      <c r="J390" s="297" t="s">
        <v>277</v>
      </c>
      <c r="K390" s="130" t="s">
        <v>682</v>
      </c>
      <c r="L390" s="234">
        <v>1</v>
      </c>
      <c r="M390" s="231">
        <f t="shared" si="72"/>
        <v>2</v>
      </c>
      <c r="N390" s="232" t="s">
        <v>291</v>
      </c>
      <c r="O390" s="420" t="s">
        <v>1000</v>
      </c>
      <c r="P390" s="138">
        <v>1</v>
      </c>
      <c r="Q390" s="235">
        <f t="shared" si="78"/>
        <v>2</v>
      </c>
      <c r="R390" s="428"/>
      <c r="S390" s="428"/>
      <c r="T390" s="133"/>
      <c r="U390" s="405"/>
      <c r="V390" s="135"/>
      <c r="W390" s="133"/>
      <c r="X390" s="405"/>
      <c r="Y390" s="405"/>
      <c r="Z390" s="135"/>
      <c r="AA390" s="136"/>
      <c r="AB390" s="111"/>
      <c r="AC390" s="363"/>
      <c r="AD390" s="226">
        <f t="shared" ref="AD390:AD453" si="79">VALUE(RIGHT((IF(A390="",0,A390)),5))</f>
        <v>10982</v>
      </c>
    </row>
    <row r="391" spans="1:30" ht="243" outlineLevel="3" thickBot="1" x14ac:dyDescent="0.25">
      <c r="A391" s="199" t="s">
        <v>1123</v>
      </c>
      <c r="B391" s="482"/>
      <c r="C391" s="480"/>
      <c r="D391" s="482"/>
      <c r="E391" s="405" t="s">
        <v>279</v>
      </c>
      <c r="F391" s="405" t="s">
        <v>639</v>
      </c>
      <c r="G391" s="405" t="s">
        <v>999</v>
      </c>
      <c r="H391" s="420" t="s">
        <v>238</v>
      </c>
      <c r="I391" s="164">
        <v>2</v>
      </c>
      <c r="J391" s="163" t="s">
        <v>412</v>
      </c>
      <c r="K391" s="130" t="s">
        <v>682</v>
      </c>
      <c r="L391" s="138">
        <v>1</v>
      </c>
      <c r="M391" s="166">
        <f t="shared" si="72"/>
        <v>2</v>
      </c>
      <c r="N391" s="133" t="s">
        <v>291</v>
      </c>
      <c r="O391" s="420" t="s">
        <v>1000</v>
      </c>
      <c r="P391" s="138">
        <v>1</v>
      </c>
      <c r="Q391" s="225">
        <f t="shared" si="78"/>
        <v>2</v>
      </c>
      <c r="R391" s="428"/>
      <c r="S391" s="428"/>
      <c r="T391" s="133"/>
      <c r="U391" s="405"/>
      <c r="V391" s="135"/>
      <c r="W391" s="133"/>
      <c r="X391" s="405"/>
      <c r="Y391" s="405"/>
      <c r="Z391" s="135"/>
      <c r="AA391" s="136">
        <f t="shared" si="69"/>
        <v>0</v>
      </c>
      <c r="AB391" s="111"/>
      <c r="AC391" s="363"/>
      <c r="AD391" s="226">
        <f t="shared" si="79"/>
        <v>10983</v>
      </c>
    </row>
    <row r="392" spans="1:30" ht="115.5" outlineLevel="3" thickBot="1" x14ac:dyDescent="0.25">
      <c r="A392" s="199" t="s">
        <v>1124</v>
      </c>
      <c r="B392" s="477" t="s">
        <v>641</v>
      </c>
      <c r="C392" s="479" t="s">
        <v>642</v>
      </c>
      <c r="D392" s="477" t="s">
        <v>643</v>
      </c>
      <c r="E392" s="417" t="s">
        <v>326</v>
      </c>
      <c r="F392" s="417" t="s">
        <v>644</v>
      </c>
      <c r="G392" s="417" t="s">
        <v>993</v>
      </c>
      <c r="H392" s="127" t="s">
        <v>238</v>
      </c>
      <c r="I392" s="128">
        <v>1</v>
      </c>
      <c r="J392" s="163" t="s">
        <v>328</v>
      </c>
      <c r="K392" s="130" t="s">
        <v>682</v>
      </c>
      <c r="L392" s="131">
        <v>1</v>
      </c>
      <c r="M392" s="132">
        <f t="shared" si="72"/>
        <v>1</v>
      </c>
      <c r="N392" s="133" t="s">
        <v>291</v>
      </c>
      <c r="O392" s="69" t="s">
        <v>242</v>
      </c>
      <c r="P392" s="131">
        <v>5</v>
      </c>
      <c r="Q392" s="134">
        <f t="shared" si="73"/>
        <v>5</v>
      </c>
      <c r="R392" s="428"/>
      <c r="S392" s="428"/>
      <c r="T392" s="133"/>
      <c r="U392" s="405"/>
      <c r="V392" s="135"/>
      <c r="W392" s="133"/>
      <c r="X392" s="405"/>
      <c r="Y392" s="405"/>
      <c r="Z392" s="135"/>
      <c r="AA392" s="136"/>
      <c r="AB392" s="111"/>
      <c r="AC392" s="363"/>
      <c r="AD392" s="226">
        <f t="shared" si="79"/>
        <v>5367</v>
      </c>
    </row>
    <row r="393" spans="1:30" ht="243" outlineLevel="3" thickBot="1" x14ac:dyDescent="0.25">
      <c r="A393" s="199" t="s">
        <v>1125</v>
      </c>
      <c r="B393" s="478"/>
      <c r="C393" s="480"/>
      <c r="D393" s="478"/>
      <c r="E393" s="417" t="s">
        <v>330</v>
      </c>
      <c r="F393" s="417" t="s">
        <v>1126</v>
      </c>
      <c r="G393" s="417" t="s">
        <v>999</v>
      </c>
      <c r="H393" s="127" t="s">
        <v>238</v>
      </c>
      <c r="I393" s="128">
        <v>2</v>
      </c>
      <c r="J393" s="163" t="s">
        <v>332</v>
      </c>
      <c r="K393" s="130" t="s">
        <v>682</v>
      </c>
      <c r="L393" s="131">
        <v>1</v>
      </c>
      <c r="M393" s="132">
        <f t="shared" si="72"/>
        <v>2</v>
      </c>
      <c r="N393" s="133" t="s">
        <v>291</v>
      </c>
      <c r="O393" s="69" t="s">
        <v>1000</v>
      </c>
      <c r="P393" s="131">
        <v>1</v>
      </c>
      <c r="Q393" s="134">
        <f t="shared" si="73"/>
        <v>2</v>
      </c>
      <c r="R393" s="428"/>
      <c r="S393" s="428"/>
      <c r="T393" s="133"/>
      <c r="U393" s="405"/>
      <c r="V393" s="135"/>
      <c r="W393" s="133"/>
      <c r="X393" s="405"/>
      <c r="Y393" s="405"/>
      <c r="Z393" s="135"/>
      <c r="AA393" s="136"/>
      <c r="AB393" s="111"/>
      <c r="AC393" s="428"/>
      <c r="AD393" s="226">
        <f t="shared" si="79"/>
        <v>5368</v>
      </c>
    </row>
    <row r="394" spans="1:30" ht="141" outlineLevel="3" thickBot="1" x14ac:dyDescent="0.25">
      <c r="A394" s="199" t="s">
        <v>1127</v>
      </c>
      <c r="B394" s="477" t="s">
        <v>924</v>
      </c>
      <c r="C394" s="479" t="s">
        <v>649</v>
      </c>
      <c r="D394" s="477" t="s">
        <v>650</v>
      </c>
      <c r="E394" s="405" t="s">
        <v>651</v>
      </c>
      <c r="F394" s="405" t="s">
        <v>925</v>
      </c>
      <c r="G394" s="417" t="s">
        <v>993</v>
      </c>
      <c r="H394" s="420" t="s">
        <v>238</v>
      </c>
      <c r="I394" s="164">
        <v>1</v>
      </c>
      <c r="J394" s="163" t="s">
        <v>302</v>
      </c>
      <c r="K394" s="130" t="s">
        <v>682</v>
      </c>
      <c r="L394" s="138">
        <v>1</v>
      </c>
      <c r="M394" s="166">
        <f t="shared" si="72"/>
        <v>1</v>
      </c>
      <c r="N394" s="133" t="s">
        <v>291</v>
      </c>
      <c r="O394" s="420" t="s">
        <v>242</v>
      </c>
      <c r="P394" s="138">
        <v>5</v>
      </c>
      <c r="Q394" s="225">
        <f t="shared" si="73"/>
        <v>5</v>
      </c>
      <c r="R394" s="428"/>
      <c r="S394" s="428"/>
      <c r="T394" s="133"/>
      <c r="U394" s="405"/>
      <c r="V394" s="135"/>
      <c r="W394" s="133"/>
      <c r="X394" s="405"/>
      <c r="Y394" s="405"/>
      <c r="Z394" s="135"/>
      <c r="AA394" s="136"/>
      <c r="AB394" s="111"/>
      <c r="AC394" s="227"/>
      <c r="AD394" s="226">
        <f t="shared" si="79"/>
        <v>10984</v>
      </c>
    </row>
    <row r="395" spans="1:30" ht="243" outlineLevel="3" thickBot="1" x14ac:dyDescent="0.25">
      <c r="A395" s="199" t="s">
        <v>1128</v>
      </c>
      <c r="B395" s="483"/>
      <c r="C395" s="484"/>
      <c r="D395" s="483"/>
      <c r="E395" s="405" t="s">
        <v>927</v>
      </c>
      <c r="F395" s="405" t="s">
        <v>655</v>
      </c>
      <c r="G395" s="405" t="s">
        <v>999</v>
      </c>
      <c r="H395" s="420" t="s">
        <v>238</v>
      </c>
      <c r="I395" s="164">
        <v>2</v>
      </c>
      <c r="J395" s="163" t="s">
        <v>302</v>
      </c>
      <c r="K395" s="130" t="s">
        <v>682</v>
      </c>
      <c r="L395" s="138">
        <v>1</v>
      </c>
      <c r="M395" s="166">
        <f t="shared" si="72"/>
        <v>2</v>
      </c>
      <c r="N395" s="133" t="s">
        <v>291</v>
      </c>
      <c r="O395" s="420" t="s">
        <v>1000</v>
      </c>
      <c r="P395" s="138">
        <v>1</v>
      </c>
      <c r="Q395" s="225">
        <f t="shared" si="73"/>
        <v>2</v>
      </c>
      <c r="R395" s="428"/>
      <c r="S395" s="428"/>
      <c r="T395" s="133"/>
      <c r="U395" s="405"/>
      <c r="V395" s="135"/>
      <c r="W395" s="133"/>
      <c r="X395" s="405"/>
      <c r="Y395" s="405"/>
      <c r="Z395" s="135"/>
      <c r="AA395" s="136">
        <f>X395*Y395*Z395</f>
        <v>0</v>
      </c>
      <c r="AB395" s="111"/>
      <c r="AC395" s="363"/>
      <c r="AD395" s="226">
        <f t="shared" si="79"/>
        <v>10985</v>
      </c>
    </row>
    <row r="396" spans="1:30" ht="115.5" outlineLevel="3" thickBot="1" x14ac:dyDescent="0.25">
      <c r="A396" s="199" t="s">
        <v>1129</v>
      </c>
      <c r="B396" s="478"/>
      <c r="C396" s="480"/>
      <c r="D396" s="478"/>
      <c r="E396" s="405" t="s">
        <v>393</v>
      </c>
      <c r="F396" s="405" t="s">
        <v>657</v>
      </c>
      <c r="G396" s="417" t="s">
        <v>993</v>
      </c>
      <c r="H396" s="420" t="s">
        <v>238</v>
      </c>
      <c r="I396" s="164">
        <v>1</v>
      </c>
      <c r="J396" s="163" t="s">
        <v>307</v>
      </c>
      <c r="K396" s="130" t="s">
        <v>682</v>
      </c>
      <c r="L396" s="138">
        <v>1</v>
      </c>
      <c r="M396" s="166">
        <f t="shared" si="72"/>
        <v>1</v>
      </c>
      <c r="N396" s="133" t="s">
        <v>291</v>
      </c>
      <c r="O396" s="420" t="s">
        <v>242</v>
      </c>
      <c r="P396" s="138">
        <v>5</v>
      </c>
      <c r="Q396" s="225">
        <f t="shared" si="73"/>
        <v>5</v>
      </c>
      <c r="R396" s="428"/>
      <c r="S396" s="428"/>
      <c r="T396" s="133"/>
      <c r="U396" s="405"/>
      <c r="V396" s="135"/>
      <c r="W396" s="133"/>
      <c r="X396" s="405"/>
      <c r="Y396" s="405"/>
      <c r="Z396" s="135"/>
      <c r="AA396" s="136"/>
      <c r="AB396" s="111"/>
      <c r="AC396" s="363"/>
      <c r="AD396" s="226">
        <f t="shared" si="79"/>
        <v>10986</v>
      </c>
    </row>
    <row r="397" spans="1:30" ht="243" outlineLevel="3" thickBot="1" x14ac:dyDescent="0.25">
      <c r="A397" s="199" t="s">
        <v>1130</v>
      </c>
      <c r="B397" s="477" t="s">
        <v>659</v>
      </c>
      <c r="C397" s="486" t="s">
        <v>660</v>
      </c>
      <c r="D397" s="477" t="s">
        <v>661</v>
      </c>
      <c r="E397" s="417" t="s">
        <v>662</v>
      </c>
      <c r="F397" s="417" t="s">
        <v>1131</v>
      </c>
      <c r="G397" s="417" t="s">
        <v>999</v>
      </c>
      <c r="H397" s="127" t="s">
        <v>238</v>
      </c>
      <c r="I397" s="128">
        <v>2</v>
      </c>
      <c r="J397" s="163" t="s">
        <v>931</v>
      </c>
      <c r="K397" s="130" t="s">
        <v>682</v>
      </c>
      <c r="L397" s="131">
        <v>1</v>
      </c>
      <c r="M397" s="132">
        <f t="shared" si="72"/>
        <v>2</v>
      </c>
      <c r="N397" s="133" t="s">
        <v>291</v>
      </c>
      <c r="O397" s="69" t="s">
        <v>1000</v>
      </c>
      <c r="P397" s="131">
        <v>1</v>
      </c>
      <c r="Q397" s="134">
        <f t="shared" si="73"/>
        <v>2</v>
      </c>
      <c r="R397" s="428"/>
      <c r="S397" s="428"/>
      <c r="T397" s="133"/>
      <c r="U397" s="405"/>
      <c r="V397" s="135"/>
      <c r="W397" s="133"/>
      <c r="X397" s="405"/>
      <c r="Y397" s="405"/>
      <c r="Z397" s="135"/>
      <c r="AA397" s="136"/>
      <c r="AB397" s="111"/>
      <c r="AC397" s="363"/>
      <c r="AD397" s="226">
        <f t="shared" si="79"/>
        <v>5369</v>
      </c>
    </row>
    <row r="398" spans="1:30" ht="243" outlineLevel="3" thickBot="1" x14ac:dyDescent="0.25">
      <c r="A398" s="199" t="s">
        <v>1132</v>
      </c>
      <c r="B398" s="483"/>
      <c r="C398" s="501"/>
      <c r="D398" s="483"/>
      <c r="E398" s="417" t="s">
        <v>666</v>
      </c>
      <c r="F398" s="417" t="s">
        <v>1133</v>
      </c>
      <c r="G398" s="417" t="s">
        <v>999</v>
      </c>
      <c r="H398" s="127" t="s">
        <v>238</v>
      </c>
      <c r="I398" s="128">
        <v>2</v>
      </c>
      <c r="J398" s="163" t="s">
        <v>931</v>
      </c>
      <c r="K398" s="130" t="s">
        <v>682</v>
      </c>
      <c r="L398" s="131">
        <v>1</v>
      </c>
      <c r="M398" s="132">
        <f t="shared" si="72"/>
        <v>2</v>
      </c>
      <c r="N398" s="133" t="s">
        <v>291</v>
      </c>
      <c r="O398" s="69" t="s">
        <v>1000</v>
      </c>
      <c r="P398" s="131">
        <v>1</v>
      </c>
      <c r="Q398" s="134">
        <f t="shared" si="73"/>
        <v>2</v>
      </c>
      <c r="R398" s="428"/>
      <c r="S398" s="428"/>
      <c r="T398" s="133"/>
      <c r="U398" s="405"/>
      <c r="V398" s="135"/>
      <c r="W398" s="133"/>
      <c r="X398" s="405"/>
      <c r="Y398" s="405"/>
      <c r="Z398" s="135"/>
      <c r="AA398" s="136"/>
      <c r="AB398" s="111"/>
      <c r="AC398" s="363"/>
      <c r="AD398" s="226">
        <f t="shared" si="79"/>
        <v>5370</v>
      </c>
    </row>
    <row r="399" spans="1:30" ht="115.5" outlineLevel="3" thickBot="1" x14ac:dyDescent="0.25">
      <c r="A399" s="199" t="s">
        <v>1134</v>
      </c>
      <c r="B399" s="483"/>
      <c r="C399" s="501"/>
      <c r="D399" s="483"/>
      <c r="E399" s="417" t="s">
        <v>669</v>
      </c>
      <c r="F399" s="417" t="s">
        <v>670</v>
      </c>
      <c r="G399" s="417" t="s">
        <v>993</v>
      </c>
      <c r="H399" s="127" t="s">
        <v>238</v>
      </c>
      <c r="I399" s="128">
        <v>1</v>
      </c>
      <c r="J399" s="129" t="s">
        <v>675</v>
      </c>
      <c r="K399" s="130" t="s">
        <v>682</v>
      </c>
      <c r="L399" s="131">
        <v>1</v>
      </c>
      <c r="M399" s="132">
        <f t="shared" si="72"/>
        <v>1</v>
      </c>
      <c r="N399" s="133" t="s">
        <v>291</v>
      </c>
      <c r="O399" s="69" t="s">
        <v>242</v>
      </c>
      <c r="P399" s="131">
        <v>5</v>
      </c>
      <c r="Q399" s="134">
        <f t="shared" si="73"/>
        <v>5</v>
      </c>
      <c r="R399" s="428"/>
      <c r="S399" s="428"/>
      <c r="T399" s="133"/>
      <c r="U399" s="405"/>
      <c r="V399" s="135"/>
      <c r="W399" s="133"/>
      <c r="X399" s="405"/>
      <c r="Y399" s="405"/>
      <c r="Z399" s="135"/>
      <c r="AA399" s="136"/>
      <c r="AB399" s="111"/>
      <c r="AC399" s="227"/>
      <c r="AD399" s="226">
        <f t="shared" si="79"/>
        <v>5371</v>
      </c>
    </row>
    <row r="400" spans="1:30" ht="115.5" outlineLevel="3" thickBot="1" x14ac:dyDescent="0.25">
      <c r="A400" s="199" t="s">
        <v>1135</v>
      </c>
      <c r="B400" s="483"/>
      <c r="C400" s="501"/>
      <c r="D400" s="483"/>
      <c r="E400" s="417" t="s">
        <v>673</v>
      </c>
      <c r="F400" s="417" t="s">
        <v>674</v>
      </c>
      <c r="G400" s="417" t="s">
        <v>993</v>
      </c>
      <c r="H400" s="127" t="s">
        <v>238</v>
      </c>
      <c r="I400" s="128">
        <v>1</v>
      </c>
      <c r="J400" s="129" t="s">
        <v>675</v>
      </c>
      <c r="K400" s="130" t="s">
        <v>682</v>
      </c>
      <c r="L400" s="131">
        <v>1</v>
      </c>
      <c r="M400" s="132">
        <f t="shared" si="72"/>
        <v>1</v>
      </c>
      <c r="N400" s="133" t="s">
        <v>291</v>
      </c>
      <c r="O400" s="69" t="s">
        <v>242</v>
      </c>
      <c r="P400" s="131">
        <v>5</v>
      </c>
      <c r="Q400" s="134">
        <f t="shared" si="73"/>
        <v>5</v>
      </c>
      <c r="R400" s="428"/>
      <c r="S400" s="428"/>
      <c r="T400" s="133"/>
      <c r="U400" s="405"/>
      <c r="V400" s="135"/>
      <c r="W400" s="133"/>
      <c r="X400" s="405"/>
      <c r="Y400" s="405"/>
      <c r="Z400" s="135"/>
      <c r="AA400" s="136">
        <f>X400*Y400*Z400</f>
        <v>0</v>
      </c>
      <c r="AB400" s="111"/>
      <c r="AC400" s="226"/>
      <c r="AD400" s="226">
        <f t="shared" si="79"/>
        <v>5372</v>
      </c>
    </row>
    <row r="401" spans="1:32" ht="153.75" outlineLevel="3" thickBot="1" x14ac:dyDescent="0.25">
      <c r="A401" s="199" t="s">
        <v>1136</v>
      </c>
      <c r="B401" s="483"/>
      <c r="C401" s="501"/>
      <c r="D401" s="483"/>
      <c r="E401" s="405" t="s">
        <v>677</v>
      </c>
      <c r="F401" s="405" t="s">
        <v>1137</v>
      </c>
      <c r="G401" s="405" t="s">
        <v>1138</v>
      </c>
      <c r="H401" s="420" t="s">
        <v>680</v>
      </c>
      <c r="I401" s="164">
        <v>5</v>
      </c>
      <c r="J401" s="163" t="s">
        <v>681</v>
      </c>
      <c r="K401" s="130" t="s">
        <v>682</v>
      </c>
      <c r="L401" s="138">
        <v>1</v>
      </c>
      <c r="M401" s="166">
        <f t="shared" si="72"/>
        <v>5</v>
      </c>
      <c r="N401" s="133" t="s">
        <v>291</v>
      </c>
      <c r="O401" s="69" t="s">
        <v>242</v>
      </c>
      <c r="P401" s="131">
        <v>5</v>
      </c>
      <c r="Q401" s="134">
        <f>P401*L401*I401</f>
        <v>25</v>
      </c>
      <c r="R401" s="428"/>
      <c r="S401" s="428"/>
      <c r="T401" s="133"/>
      <c r="U401" s="405"/>
      <c r="V401" s="135"/>
      <c r="W401" s="133"/>
      <c r="X401" s="405"/>
      <c r="Y401" s="405"/>
      <c r="Z401" s="135"/>
      <c r="AA401" s="136">
        <f>X401*Y401*Z401</f>
        <v>0</v>
      </c>
      <c r="AB401" s="111"/>
      <c r="AC401" s="363"/>
      <c r="AD401" s="226">
        <f t="shared" si="79"/>
        <v>6794</v>
      </c>
    </row>
    <row r="402" spans="1:32" ht="243" outlineLevel="3" thickBot="1" x14ac:dyDescent="0.25">
      <c r="A402" s="199" t="s">
        <v>1139</v>
      </c>
      <c r="B402" s="483"/>
      <c r="C402" s="501"/>
      <c r="D402" s="483"/>
      <c r="E402" s="405" t="s">
        <v>684</v>
      </c>
      <c r="F402" s="405" t="s">
        <v>685</v>
      </c>
      <c r="G402" s="417" t="s">
        <v>999</v>
      </c>
      <c r="H402" s="420" t="s">
        <v>238</v>
      </c>
      <c r="I402" s="128">
        <v>2</v>
      </c>
      <c r="J402" s="163" t="s">
        <v>675</v>
      </c>
      <c r="K402" s="130" t="s">
        <v>682</v>
      </c>
      <c r="L402" s="138">
        <v>1</v>
      </c>
      <c r="M402" s="166">
        <f t="shared" si="72"/>
        <v>2</v>
      </c>
      <c r="N402" s="133" t="s">
        <v>291</v>
      </c>
      <c r="O402" s="69" t="s">
        <v>1000</v>
      </c>
      <c r="P402" s="131">
        <v>1</v>
      </c>
      <c r="Q402" s="134">
        <f t="shared" ref="Q402:Q404" si="80">I402*L402*P402</f>
        <v>2</v>
      </c>
      <c r="R402" s="428"/>
      <c r="S402" s="428"/>
      <c r="T402" s="133"/>
      <c r="U402" s="405"/>
      <c r="V402" s="135"/>
      <c r="W402" s="133"/>
      <c r="X402" s="405"/>
      <c r="Y402" s="405"/>
      <c r="Z402" s="135"/>
      <c r="AA402" s="136">
        <f t="shared" ref="AA402:AA459" si="81">X402*Y402*Z402</f>
        <v>0</v>
      </c>
      <c r="AB402" s="111"/>
      <c r="AC402" s="363"/>
      <c r="AD402" s="226">
        <f t="shared" si="79"/>
        <v>6795</v>
      </c>
    </row>
    <row r="403" spans="1:32" ht="281.25" outlineLevel="3" thickBot="1" x14ac:dyDescent="0.25">
      <c r="A403" s="199" t="s">
        <v>1140</v>
      </c>
      <c r="B403" s="483"/>
      <c r="C403" s="501"/>
      <c r="D403" s="483"/>
      <c r="E403" s="405" t="s">
        <v>687</v>
      </c>
      <c r="F403" s="405" t="s">
        <v>1141</v>
      </c>
      <c r="G403" s="405" t="s">
        <v>1142</v>
      </c>
      <c r="H403" s="420" t="s">
        <v>680</v>
      </c>
      <c r="I403" s="164">
        <v>5</v>
      </c>
      <c r="J403" s="163" t="s">
        <v>689</v>
      </c>
      <c r="K403" s="130" t="s">
        <v>682</v>
      </c>
      <c r="L403" s="138">
        <v>1</v>
      </c>
      <c r="M403" s="166">
        <f t="shared" si="72"/>
        <v>5</v>
      </c>
      <c r="N403" s="133" t="s">
        <v>291</v>
      </c>
      <c r="O403" s="69" t="s">
        <v>242</v>
      </c>
      <c r="P403" s="131">
        <v>5</v>
      </c>
      <c r="Q403" s="134">
        <f t="shared" si="80"/>
        <v>25</v>
      </c>
      <c r="R403" s="428"/>
      <c r="S403" s="428"/>
      <c r="T403" s="133"/>
      <c r="U403" s="405"/>
      <c r="V403" s="135"/>
      <c r="W403" s="133"/>
      <c r="X403" s="405"/>
      <c r="Y403" s="405"/>
      <c r="Z403" s="135"/>
      <c r="AA403" s="136"/>
      <c r="AB403" s="111"/>
      <c r="AC403" s="363"/>
      <c r="AD403" s="226">
        <f t="shared" si="79"/>
        <v>6796</v>
      </c>
    </row>
    <row r="404" spans="1:32" ht="128.25" outlineLevel="3" thickBot="1" x14ac:dyDescent="0.25">
      <c r="A404" s="199" t="s">
        <v>1143</v>
      </c>
      <c r="B404" s="478"/>
      <c r="C404" s="487"/>
      <c r="D404" s="478"/>
      <c r="E404" s="405" t="s">
        <v>691</v>
      </c>
      <c r="F404" s="417" t="s">
        <v>944</v>
      </c>
      <c r="G404" s="417" t="s">
        <v>993</v>
      </c>
      <c r="H404" s="127" t="s">
        <v>238</v>
      </c>
      <c r="I404" s="164">
        <v>2</v>
      </c>
      <c r="J404" s="129" t="s">
        <v>1144</v>
      </c>
      <c r="K404" s="130" t="s">
        <v>682</v>
      </c>
      <c r="L404" s="138">
        <v>1</v>
      </c>
      <c r="M404" s="166">
        <f t="shared" si="72"/>
        <v>2</v>
      </c>
      <c r="N404" s="133" t="s">
        <v>291</v>
      </c>
      <c r="O404" s="69" t="s">
        <v>242</v>
      </c>
      <c r="P404" s="131">
        <v>5</v>
      </c>
      <c r="Q404" s="134">
        <f t="shared" si="80"/>
        <v>10</v>
      </c>
      <c r="R404" s="428"/>
      <c r="S404" s="428"/>
      <c r="T404" s="133"/>
      <c r="U404" s="405"/>
      <c r="V404" s="135"/>
      <c r="W404" s="133"/>
      <c r="X404" s="405"/>
      <c r="Y404" s="405"/>
      <c r="Z404" s="135"/>
      <c r="AA404" s="136">
        <f t="shared" si="81"/>
        <v>0</v>
      </c>
      <c r="AB404" s="111"/>
      <c r="AC404" s="363"/>
      <c r="AD404" s="226">
        <f t="shared" si="79"/>
        <v>6797</v>
      </c>
    </row>
    <row r="405" spans="1:32" ht="243" outlineLevel="3" thickBot="1" x14ac:dyDescent="0.25">
      <c r="A405" s="199" t="s">
        <v>1145</v>
      </c>
      <c r="B405" s="477" t="s">
        <v>695</v>
      </c>
      <c r="C405" s="479" t="s">
        <v>696</v>
      </c>
      <c r="D405" s="477" t="s">
        <v>697</v>
      </c>
      <c r="E405" s="417" t="s">
        <v>698</v>
      </c>
      <c r="F405" s="417" t="s">
        <v>1146</v>
      </c>
      <c r="G405" s="417" t="s">
        <v>999</v>
      </c>
      <c r="H405" s="127" t="s">
        <v>238</v>
      </c>
      <c r="I405" s="128">
        <v>2</v>
      </c>
      <c r="J405" s="163" t="s">
        <v>438</v>
      </c>
      <c r="K405" s="130" t="s">
        <v>682</v>
      </c>
      <c r="L405" s="131">
        <v>1</v>
      </c>
      <c r="M405" s="132">
        <f t="shared" si="72"/>
        <v>2</v>
      </c>
      <c r="N405" s="133" t="s">
        <v>291</v>
      </c>
      <c r="O405" s="69" t="s">
        <v>1000</v>
      </c>
      <c r="P405" s="131">
        <v>1</v>
      </c>
      <c r="Q405" s="134">
        <f t="shared" si="73"/>
        <v>2</v>
      </c>
      <c r="R405" s="428"/>
      <c r="S405" s="428"/>
      <c r="T405" s="133"/>
      <c r="U405" s="405"/>
      <c r="V405" s="135"/>
      <c r="W405" s="133"/>
      <c r="X405" s="405"/>
      <c r="Y405" s="405"/>
      <c r="Z405" s="135"/>
      <c r="AA405" s="136"/>
      <c r="AB405" s="111"/>
      <c r="AC405" s="226"/>
      <c r="AD405" s="226">
        <f t="shared" si="79"/>
        <v>5373</v>
      </c>
    </row>
    <row r="406" spans="1:32" ht="243" outlineLevel="3" thickBot="1" x14ac:dyDescent="0.25">
      <c r="A406" s="199" t="s">
        <v>1147</v>
      </c>
      <c r="B406" s="478"/>
      <c r="C406" s="480"/>
      <c r="D406" s="478"/>
      <c r="E406" s="417" t="s">
        <v>701</v>
      </c>
      <c r="F406" s="417" t="s">
        <v>1148</v>
      </c>
      <c r="G406" s="417" t="s">
        <v>999</v>
      </c>
      <c r="H406" s="127" t="s">
        <v>238</v>
      </c>
      <c r="I406" s="128">
        <v>2</v>
      </c>
      <c r="J406" s="163" t="s">
        <v>402</v>
      </c>
      <c r="K406" s="130" t="s">
        <v>682</v>
      </c>
      <c r="L406" s="131">
        <v>1</v>
      </c>
      <c r="M406" s="132">
        <f t="shared" si="72"/>
        <v>2</v>
      </c>
      <c r="N406" s="133" t="s">
        <v>291</v>
      </c>
      <c r="O406" s="69" t="s">
        <v>1000</v>
      </c>
      <c r="P406" s="131">
        <v>1</v>
      </c>
      <c r="Q406" s="134">
        <f t="shared" si="73"/>
        <v>2</v>
      </c>
      <c r="R406" s="428"/>
      <c r="S406" s="428"/>
      <c r="T406" s="133"/>
      <c r="U406" s="405"/>
      <c r="V406" s="135"/>
      <c r="W406" s="133"/>
      <c r="X406" s="405"/>
      <c r="Y406" s="405"/>
      <c r="Z406" s="135"/>
      <c r="AA406" s="136"/>
      <c r="AB406" s="111"/>
      <c r="AC406" s="226"/>
      <c r="AD406" s="226">
        <f t="shared" si="79"/>
        <v>5374</v>
      </c>
    </row>
    <row r="407" spans="1:32" ht="115.5" outlineLevel="3" thickBot="1" x14ac:dyDescent="0.25">
      <c r="A407" s="199" t="s">
        <v>703</v>
      </c>
      <c r="B407" s="477" t="s">
        <v>704</v>
      </c>
      <c r="C407" s="479" t="s">
        <v>705</v>
      </c>
      <c r="D407" s="477" t="s">
        <v>706</v>
      </c>
      <c r="E407" s="405" t="s">
        <v>275</v>
      </c>
      <c r="F407" s="405" t="s">
        <v>707</v>
      </c>
      <c r="G407" s="405" t="s">
        <v>993</v>
      </c>
      <c r="H407" s="420" t="s">
        <v>238</v>
      </c>
      <c r="I407" s="164">
        <v>1</v>
      </c>
      <c r="J407" s="163" t="s">
        <v>277</v>
      </c>
      <c r="K407" s="130" t="s">
        <v>682</v>
      </c>
      <c r="L407" s="138">
        <v>1</v>
      </c>
      <c r="M407" s="166">
        <f t="shared" si="72"/>
        <v>1</v>
      </c>
      <c r="N407" s="133" t="s">
        <v>291</v>
      </c>
      <c r="O407" s="420" t="s">
        <v>242</v>
      </c>
      <c r="P407" s="138">
        <v>5</v>
      </c>
      <c r="Q407" s="338">
        <f t="shared" si="73"/>
        <v>5</v>
      </c>
      <c r="R407" s="428"/>
      <c r="S407" s="428"/>
      <c r="T407" s="133"/>
      <c r="U407" s="405"/>
      <c r="V407" s="135"/>
      <c r="W407" s="133"/>
      <c r="X407" s="405"/>
      <c r="Y407" s="405"/>
      <c r="Z407" s="135"/>
      <c r="AA407" s="136"/>
      <c r="AB407" s="111"/>
      <c r="AC407" s="226"/>
      <c r="AD407" s="226">
        <f t="shared" si="79"/>
        <v>5229</v>
      </c>
    </row>
    <row r="408" spans="1:32" ht="243" outlineLevel="3" thickBot="1" x14ac:dyDescent="0.25">
      <c r="A408" s="199" t="s">
        <v>708</v>
      </c>
      <c r="B408" s="478"/>
      <c r="C408" s="480"/>
      <c r="D408" s="478"/>
      <c r="E408" s="405" t="s">
        <v>279</v>
      </c>
      <c r="F408" s="405" t="s">
        <v>1149</v>
      </c>
      <c r="G408" s="405" t="s">
        <v>999</v>
      </c>
      <c r="H408" s="420" t="s">
        <v>238</v>
      </c>
      <c r="I408" s="164">
        <v>2</v>
      </c>
      <c r="J408" s="163" t="s">
        <v>412</v>
      </c>
      <c r="K408" s="130" t="s">
        <v>682</v>
      </c>
      <c r="L408" s="138">
        <v>1</v>
      </c>
      <c r="M408" s="166">
        <f t="shared" si="72"/>
        <v>2</v>
      </c>
      <c r="N408" s="133" t="s">
        <v>291</v>
      </c>
      <c r="O408" s="420" t="s">
        <v>1000</v>
      </c>
      <c r="P408" s="138">
        <v>1</v>
      </c>
      <c r="Q408" s="225">
        <f t="shared" si="73"/>
        <v>2</v>
      </c>
      <c r="R408" s="428"/>
      <c r="S408" s="428"/>
      <c r="T408" s="133"/>
      <c r="U408" s="405"/>
      <c r="V408" s="135"/>
      <c r="W408" s="133"/>
      <c r="X408" s="405"/>
      <c r="Y408" s="405"/>
      <c r="Z408" s="135"/>
      <c r="AA408" s="136">
        <f>X408*Y408*Z408</f>
        <v>0</v>
      </c>
      <c r="AB408" s="111"/>
      <c r="AC408" s="226"/>
      <c r="AD408" s="226">
        <f t="shared" si="79"/>
        <v>5230</v>
      </c>
    </row>
    <row r="409" spans="1:32" ht="243" outlineLevel="3" thickBot="1" x14ac:dyDescent="0.25">
      <c r="A409" s="199" t="s">
        <v>1150</v>
      </c>
      <c r="B409" s="477" t="s">
        <v>711</v>
      </c>
      <c r="C409" s="479" t="s">
        <v>712</v>
      </c>
      <c r="D409" s="477" t="s">
        <v>713</v>
      </c>
      <c r="E409" s="417" t="s">
        <v>698</v>
      </c>
      <c r="F409" s="417" t="s">
        <v>1151</v>
      </c>
      <c r="G409" s="417" t="s">
        <v>999</v>
      </c>
      <c r="H409" s="127" t="s">
        <v>238</v>
      </c>
      <c r="I409" s="128">
        <v>2</v>
      </c>
      <c r="J409" s="163" t="s">
        <v>438</v>
      </c>
      <c r="K409" s="130" t="s">
        <v>682</v>
      </c>
      <c r="L409" s="131">
        <v>1</v>
      </c>
      <c r="M409" s="132">
        <f t="shared" si="72"/>
        <v>2</v>
      </c>
      <c r="N409" s="133" t="s">
        <v>291</v>
      </c>
      <c r="O409" s="69" t="s">
        <v>1000</v>
      </c>
      <c r="P409" s="131">
        <v>1</v>
      </c>
      <c r="Q409" s="134">
        <f t="shared" si="73"/>
        <v>2</v>
      </c>
      <c r="R409" s="428"/>
      <c r="S409" s="428"/>
      <c r="T409" s="133"/>
      <c r="U409" s="405"/>
      <c r="V409" s="135"/>
      <c r="W409" s="133"/>
      <c r="X409" s="405"/>
      <c r="Y409" s="405"/>
      <c r="Z409" s="135"/>
      <c r="AA409" s="136">
        <f t="shared" ref="AA409" si="82">X409*Y409*Z409</f>
        <v>0</v>
      </c>
      <c r="AB409" s="111"/>
      <c r="AC409" s="226"/>
      <c r="AD409" s="226">
        <f t="shared" si="79"/>
        <v>5375</v>
      </c>
    </row>
    <row r="410" spans="1:32" ht="243" outlineLevel="3" thickBot="1" x14ac:dyDescent="0.25">
      <c r="A410" s="199" t="s">
        <v>1152</v>
      </c>
      <c r="B410" s="478"/>
      <c r="C410" s="480"/>
      <c r="D410" s="478"/>
      <c r="E410" s="417" t="s">
        <v>701</v>
      </c>
      <c r="F410" s="417" t="s">
        <v>1148</v>
      </c>
      <c r="G410" s="417" t="s">
        <v>999</v>
      </c>
      <c r="H410" s="127" t="s">
        <v>238</v>
      </c>
      <c r="I410" s="128">
        <v>2</v>
      </c>
      <c r="J410" s="163" t="s">
        <v>402</v>
      </c>
      <c r="K410" s="130" t="s">
        <v>682</v>
      </c>
      <c r="L410" s="131">
        <v>1</v>
      </c>
      <c r="M410" s="132">
        <f t="shared" si="72"/>
        <v>2</v>
      </c>
      <c r="N410" s="133" t="s">
        <v>291</v>
      </c>
      <c r="O410" s="69" t="s">
        <v>1000</v>
      </c>
      <c r="P410" s="131">
        <v>1</v>
      </c>
      <c r="Q410" s="134">
        <f t="shared" si="73"/>
        <v>2</v>
      </c>
      <c r="R410" s="428"/>
      <c r="S410" s="428"/>
      <c r="T410" s="133"/>
      <c r="U410" s="405"/>
      <c r="V410" s="135"/>
      <c r="W410" s="133"/>
      <c r="X410" s="405"/>
      <c r="Y410" s="405"/>
      <c r="Z410" s="135"/>
      <c r="AA410" s="136"/>
      <c r="AB410" s="111"/>
      <c r="AC410" s="226"/>
      <c r="AD410" s="226">
        <f t="shared" si="79"/>
        <v>5376</v>
      </c>
    </row>
    <row r="411" spans="1:32" ht="115.5" outlineLevel="3" thickBot="1" x14ac:dyDescent="0.25">
      <c r="A411" s="199" t="s">
        <v>1153</v>
      </c>
      <c r="B411" s="477" t="s">
        <v>704</v>
      </c>
      <c r="C411" s="479" t="s">
        <v>716</v>
      </c>
      <c r="D411" s="477" t="s">
        <v>706</v>
      </c>
      <c r="E411" s="417" t="s">
        <v>275</v>
      </c>
      <c r="F411" s="417" t="s">
        <v>707</v>
      </c>
      <c r="G411" s="417" t="s">
        <v>993</v>
      </c>
      <c r="H411" s="127" t="s">
        <v>238</v>
      </c>
      <c r="I411" s="128">
        <v>1</v>
      </c>
      <c r="J411" s="163" t="s">
        <v>277</v>
      </c>
      <c r="K411" s="130" t="s">
        <v>682</v>
      </c>
      <c r="L411" s="131">
        <v>1</v>
      </c>
      <c r="M411" s="132">
        <f t="shared" si="72"/>
        <v>1</v>
      </c>
      <c r="N411" s="133" t="s">
        <v>291</v>
      </c>
      <c r="O411" s="69" t="s">
        <v>242</v>
      </c>
      <c r="P411" s="131">
        <v>5</v>
      </c>
      <c r="Q411" s="134">
        <f t="shared" si="73"/>
        <v>5</v>
      </c>
      <c r="R411" s="428"/>
      <c r="S411" s="428"/>
      <c r="T411" s="133"/>
      <c r="U411" s="405"/>
      <c r="V411" s="135"/>
      <c r="W411" s="133"/>
      <c r="X411" s="405"/>
      <c r="Y411" s="405"/>
      <c r="Z411" s="135"/>
      <c r="AA411" s="136"/>
      <c r="AB411" s="111"/>
      <c r="AC411" s="363"/>
      <c r="AD411" s="226">
        <f t="shared" si="79"/>
        <v>5377</v>
      </c>
    </row>
    <row r="412" spans="1:32" s="242" customFormat="1" ht="243" outlineLevel="3" thickBot="1" x14ac:dyDescent="0.25">
      <c r="A412" s="199" t="s">
        <v>1154</v>
      </c>
      <c r="B412" s="478"/>
      <c r="C412" s="480"/>
      <c r="D412" s="478"/>
      <c r="E412" s="417" t="s">
        <v>279</v>
      </c>
      <c r="F412" s="417" t="s">
        <v>1149</v>
      </c>
      <c r="G412" s="417" t="s">
        <v>999</v>
      </c>
      <c r="H412" s="127" t="s">
        <v>238</v>
      </c>
      <c r="I412" s="128">
        <v>2</v>
      </c>
      <c r="J412" s="163" t="s">
        <v>412</v>
      </c>
      <c r="K412" s="130" t="s">
        <v>682</v>
      </c>
      <c r="L412" s="131">
        <v>1</v>
      </c>
      <c r="M412" s="132">
        <f t="shared" si="72"/>
        <v>2</v>
      </c>
      <c r="N412" s="133" t="s">
        <v>291</v>
      </c>
      <c r="O412" s="69" t="s">
        <v>1000</v>
      </c>
      <c r="P412" s="131">
        <v>1</v>
      </c>
      <c r="Q412" s="134">
        <f t="shared" si="73"/>
        <v>2</v>
      </c>
      <c r="R412" s="428"/>
      <c r="S412" s="428"/>
      <c r="T412" s="133"/>
      <c r="U412" s="405"/>
      <c r="V412" s="135"/>
      <c r="W412" s="133"/>
      <c r="X412" s="405"/>
      <c r="Y412" s="405"/>
      <c r="Z412" s="135"/>
      <c r="AA412" s="136"/>
      <c r="AB412" s="111"/>
      <c r="AC412" s="239"/>
      <c r="AD412" s="226">
        <f t="shared" si="79"/>
        <v>5378</v>
      </c>
      <c r="AE412" s="239"/>
      <c r="AF412" s="346"/>
    </row>
    <row r="413" spans="1:32" s="239" customFormat="1" ht="115.5" outlineLevel="3" thickBot="1" x14ac:dyDescent="0.25">
      <c r="A413" s="201" t="s">
        <v>1155</v>
      </c>
      <c r="B413" s="506" t="s">
        <v>718</v>
      </c>
      <c r="C413" s="507" t="s">
        <v>719</v>
      </c>
      <c r="D413" s="506" t="s">
        <v>720</v>
      </c>
      <c r="E413" s="411" t="s">
        <v>352</v>
      </c>
      <c r="F413" s="405" t="s">
        <v>721</v>
      </c>
      <c r="G413" s="417" t="s">
        <v>993</v>
      </c>
      <c r="H413" s="420" t="s">
        <v>238</v>
      </c>
      <c r="I413" s="164">
        <v>1</v>
      </c>
      <c r="J413" s="411" t="s">
        <v>302</v>
      </c>
      <c r="K413" s="130" t="s">
        <v>682</v>
      </c>
      <c r="L413" s="411">
        <v>1</v>
      </c>
      <c r="M413" s="166">
        <f t="shared" si="72"/>
        <v>1</v>
      </c>
      <c r="N413" s="133" t="s">
        <v>303</v>
      </c>
      <c r="O413" s="420" t="s">
        <v>242</v>
      </c>
      <c r="P413" s="138">
        <v>5</v>
      </c>
      <c r="Q413" s="225">
        <f t="shared" ref="Q413:Q418" si="83">P413*L413*I413</f>
        <v>5</v>
      </c>
      <c r="R413" s="428"/>
      <c r="S413" s="428"/>
      <c r="T413" s="133"/>
      <c r="U413" s="405"/>
      <c r="V413" s="135"/>
      <c r="W413" s="133"/>
      <c r="X413" s="405"/>
      <c r="Y413" s="405"/>
      <c r="Z413" s="135"/>
      <c r="AA413" s="136"/>
      <c r="AB413" s="111"/>
      <c r="AD413" s="226">
        <f t="shared" si="79"/>
        <v>10987</v>
      </c>
    </row>
    <row r="414" spans="1:32" s="242" customFormat="1" ht="115.5" outlineLevel="3" thickBot="1" x14ac:dyDescent="0.25">
      <c r="A414" s="198" t="s">
        <v>1156</v>
      </c>
      <c r="B414" s="506"/>
      <c r="C414" s="507"/>
      <c r="D414" s="506"/>
      <c r="E414" s="411" t="s">
        <v>355</v>
      </c>
      <c r="F414" s="405" t="s">
        <v>721</v>
      </c>
      <c r="G414" s="417" t="s">
        <v>993</v>
      </c>
      <c r="H414" s="420" t="s">
        <v>238</v>
      </c>
      <c r="I414" s="164">
        <v>1</v>
      </c>
      <c r="J414" s="411" t="s">
        <v>307</v>
      </c>
      <c r="K414" s="130" t="s">
        <v>682</v>
      </c>
      <c r="L414" s="411">
        <v>1</v>
      </c>
      <c r="M414" s="166">
        <f t="shared" si="72"/>
        <v>1</v>
      </c>
      <c r="N414" s="133" t="s">
        <v>303</v>
      </c>
      <c r="O414" s="420" t="s">
        <v>242</v>
      </c>
      <c r="P414" s="138">
        <v>5</v>
      </c>
      <c r="Q414" s="225">
        <f t="shared" si="83"/>
        <v>5</v>
      </c>
      <c r="R414" s="428"/>
      <c r="S414" s="428"/>
      <c r="T414" s="133"/>
      <c r="U414" s="405"/>
      <c r="V414" s="135"/>
      <c r="W414" s="133"/>
      <c r="X414" s="405"/>
      <c r="Y414" s="405"/>
      <c r="Z414" s="135"/>
      <c r="AA414" s="136"/>
      <c r="AB414" s="111"/>
      <c r="AC414" s="239"/>
      <c r="AD414" s="226">
        <f t="shared" si="79"/>
        <v>10988</v>
      </c>
      <c r="AE414" s="239"/>
      <c r="AF414" s="346"/>
    </row>
    <row r="415" spans="1:32" s="239" customFormat="1" ht="115.5" outlineLevel="3" thickBot="1" x14ac:dyDescent="0.25">
      <c r="A415" s="201" t="s">
        <v>1157</v>
      </c>
      <c r="B415" s="506" t="s">
        <v>724</v>
      </c>
      <c r="C415" s="507" t="s">
        <v>725</v>
      </c>
      <c r="D415" s="506" t="s">
        <v>726</v>
      </c>
      <c r="E415" s="411" t="s">
        <v>437</v>
      </c>
      <c r="F415" s="405" t="s">
        <v>721</v>
      </c>
      <c r="G415" s="417" t="s">
        <v>993</v>
      </c>
      <c r="H415" s="420" t="s">
        <v>238</v>
      </c>
      <c r="I415" s="164">
        <v>1</v>
      </c>
      <c r="J415" s="411" t="s">
        <v>302</v>
      </c>
      <c r="K415" s="130" t="s">
        <v>682</v>
      </c>
      <c r="L415" s="411">
        <v>1</v>
      </c>
      <c r="M415" s="166">
        <f t="shared" si="72"/>
        <v>1</v>
      </c>
      <c r="N415" s="133" t="s">
        <v>303</v>
      </c>
      <c r="O415" s="420" t="s">
        <v>242</v>
      </c>
      <c r="P415" s="138">
        <v>5</v>
      </c>
      <c r="Q415" s="225">
        <f t="shared" si="83"/>
        <v>5</v>
      </c>
      <c r="R415" s="428"/>
      <c r="S415" s="428"/>
      <c r="T415" s="133"/>
      <c r="U415" s="405"/>
      <c r="V415" s="135"/>
      <c r="W415" s="133"/>
      <c r="X415" s="405"/>
      <c r="Y415" s="405"/>
      <c r="Z415" s="135"/>
      <c r="AA415" s="136"/>
      <c r="AB415" s="111"/>
      <c r="AD415" s="226">
        <f t="shared" si="79"/>
        <v>10989</v>
      </c>
    </row>
    <row r="416" spans="1:32" s="242" customFormat="1" ht="115.5" outlineLevel="3" thickBot="1" x14ac:dyDescent="0.25">
      <c r="A416" s="198" t="s">
        <v>1158</v>
      </c>
      <c r="B416" s="506"/>
      <c r="C416" s="507"/>
      <c r="D416" s="506"/>
      <c r="E416" s="411" t="s">
        <v>440</v>
      </c>
      <c r="F416" s="405" t="s">
        <v>721</v>
      </c>
      <c r="G416" s="417" t="s">
        <v>993</v>
      </c>
      <c r="H416" s="420" t="s">
        <v>238</v>
      </c>
      <c r="I416" s="164">
        <v>1</v>
      </c>
      <c r="J416" s="411" t="s">
        <v>307</v>
      </c>
      <c r="K416" s="130" t="s">
        <v>682</v>
      </c>
      <c r="L416" s="411">
        <v>1</v>
      </c>
      <c r="M416" s="166">
        <f t="shared" si="72"/>
        <v>1</v>
      </c>
      <c r="N416" s="133" t="s">
        <v>303</v>
      </c>
      <c r="O416" s="420" t="s">
        <v>242</v>
      </c>
      <c r="P416" s="138">
        <v>5</v>
      </c>
      <c r="Q416" s="225">
        <f t="shared" si="83"/>
        <v>5</v>
      </c>
      <c r="R416" s="428"/>
      <c r="S416" s="428"/>
      <c r="T416" s="133"/>
      <c r="U416" s="405"/>
      <c r="V416" s="135"/>
      <c r="W416" s="133"/>
      <c r="X416" s="405"/>
      <c r="Y416" s="405"/>
      <c r="Z416" s="135"/>
      <c r="AA416" s="136"/>
      <c r="AB416" s="111"/>
      <c r="AC416" s="239"/>
      <c r="AD416" s="226">
        <f t="shared" si="79"/>
        <v>10990</v>
      </c>
      <c r="AE416" s="239"/>
      <c r="AF416" s="346"/>
    </row>
    <row r="417" spans="1:32" s="239" customFormat="1" ht="115.5" outlineLevel="3" thickBot="1" x14ac:dyDescent="0.25">
      <c r="A417" s="201" t="s">
        <v>1159</v>
      </c>
      <c r="B417" s="506" t="s">
        <v>729</v>
      </c>
      <c r="C417" s="507" t="s">
        <v>730</v>
      </c>
      <c r="D417" s="506" t="s">
        <v>731</v>
      </c>
      <c r="E417" s="411" t="s">
        <v>352</v>
      </c>
      <c r="F417" s="411" t="s">
        <v>441</v>
      </c>
      <c r="G417" s="417" t="s">
        <v>993</v>
      </c>
      <c r="H417" s="420" t="s">
        <v>238</v>
      </c>
      <c r="I417" s="164">
        <v>1</v>
      </c>
      <c r="J417" s="411" t="s">
        <v>302</v>
      </c>
      <c r="K417" s="130" t="s">
        <v>682</v>
      </c>
      <c r="L417" s="411">
        <v>1</v>
      </c>
      <c r="M417" s="166">
        <f t="shared" si="72"/>
        <v>1</v>
      </c>
      <c r="N417" s="133" t="s">
        <v>303</v>
      </c>
      <c r="O417" s="420" t="s">
        <v>242</v>
      </c>
      <c r="P417" s="138">
        <v>5</v>
      </c>
      <c r="Q417" s="225">
        <f t="shared" si="83"/>
        <v>5</v>
      </c>
      <c r="R417" s="428"/>
      <c r="S417" s="428"/>
      <c r="T417" s="133"/>
      <c r="U417" s="405"/>
      <c r="V417" s="135"/>
      <c r="W417" s="133"/>
      <c r="X417" s="405"/>
      <c r="Y417" s="405"/>
      <c r="Z417" s="135"/>
      <c r="AA417" s="136"/>
      <c r="AB417" s="111"/>
      <c r="AD417" s="226">
        <f t="shared" si="79"/>
        <v>10991</v>
      </c>
    </row>
    <row r="418" spans="1:32" s="242" customFormat="1" ht="243" outlineLevel="3" thickBot="1" x14ac:dyDescent="0.25">
      <c r="A418" s="198" t="s">
        <v>1160</v>
      </c>
      <c r="B418" s="506"/>
      <c r="C418" s="507"/>
      <c r="D418" s="506"/>
      <c r="E418" s="411" t="s">
        <v>355</v>
      </c>
      <c r="F418" s="411" t="s">
        <v>733</v>
      </c>
      <c r="G418" s="405" t="s">
        <v>999</v>
      </c>
      <c r="H418" s="420" t="s">
        <v>238</v>
      </c>
      <c r="I418" s="164">
        <v>2</v>
      </c>
      <c r="J418" s="411" t="s">
        <v>307</v>
      </c>
      <c r="K418" s="130" t="s">
        <v>682</v>
      </c>
      <c r="L418" s="411">
        <v>1</v>
      </c>
      <c r="M418" s="166">
        <f t="shared" si="72"/>
        <v>2</v>
      </c>
      <c r="N418" s="133" t="s">
        <v>303</v>
      </c>
      <c r="O418" s="420" t="s">
        <v>1000</v>
      </c>
      <c r="P418" s="138">
        <v>1</v>
      </c>
      <c r="Q418" s="225">
        <f t="shared" si="83"/>
        <v>2</v>
      </c>
      <c r="R418" s="428"/>
      <c r="S418" s="428"/>
      <c r="T418" s="133"/>
      <c r="U418" s="405"/>
      <c r="V418" s="135"/>
      <c r="W418" s="133"/>
      <c r="X418" s="405"/>
      <c r="Y418" s="405"/>
      <c r="Z418" s="135"/>
      <c r="AA418" s="136"/>
      <c r="AB418" s="111"/>
      <c r="AC418" s="239"/>
      <c r="AD418" s="226">
        <f t="shared" si="79"/>
        <v>10992</v>
      </c>
      <c r="AE418" s="239"/>
      <c r="AF418" s="346"/>
    </row>
    <row r="419" spans="1:32" s="239" customFormat="1" ht="243" outlineLevel="3" thickBot="1" x14ac:dyDescent="0.25">
      <c r="A419" s="199" t="s">
        <v>1161</v>
      </c>
      <c r="B419" s="423" t="s">
        <v>765</v>
      </c>
      <c r="C419" s="423" t="s">
        <v>766</v>
      </c>
      <c r="D419" s="423" t="s">
        <v>767</v>
      </c>
      <c r="E419" s="417" t="s">
        <v>768</v>
      </c>
      <c r="F419" s="417" t="s">
        <v>1162</v>
      </c>
      <c r="G419" s="417" t="s">
        <v>999</v>
      </c>
      <c r="H419" s="127" t="s">
        <v>238</v>
      </c>
      <c r="I419" s="128">
        <v>2</v>
      </c>
      <c r="J419" s="163" t="s">
        <v>770</v>
      </c>
      <c r="K419" s="130" t="s">
        <v>682</v>
      </c>
      <c r="L419" s="131">
        <v>2</v>
      </c>
      <c r="M419" s="132">
        <f t="shared" si="72"/>
        <v>4</v>
      </c>
      <c r="N419" s="133" t="s">
        <v>291</v>
      </c>
      <c r="O419" s="69" t="s">
        <v>1000</v>
      </c>
      <c r="P419" s="131">
        <v>1</v>
      </c>
      <c r="Q419" s="134">
        <f t="shared" si="73"/>
        <v>4</v>
      </c>
      <c r="R419" s="428"/>
      <c r="S419" s="428"/>
      <c r="T419" s="133"/>
      <c r="U419" s="405"/>
      <c r="V419" s="135"/>
      <c r="W419" s="133"/>
      <c r="X419" s="405"/>
      <c r="Y419" s="405"/>
      <c r="Z419" s="135"/>
      <c r="AA419" s="136"/>
      <c r="AB419" s="111"/>
      <c r="AD419" s="226">
        <f t="shared" si="79"/>
        <v>5379</v>
      </c>
    </row>
    <row r="420" spans="1:32" ht="243" outlineLevel="3" thickBot="1" x14ac:dyDescent="0.25">
      <c r="A420" s="240" t="s">
        <v>1163</v>
      </c>
      <c r="B420" s="518" t="s">
        <v>735</v>
      </c>
      <c r="C420" s="519" t="s">
        <v>736</v>
      </c>
      <c r="D420" s="518" t="s">
        <v>737</v>
      </c>
      <c r="E420" s="409" t="s">
        <v>235</v>
      </c>
      <c r="F420" s="409" t="s">
        <v>738</v>
      </c>
      <c r="G420" s="405" t="s">
        <v>999</v>
      </c>
      <c r="H420" s="295" t="s">
        <v>238</v>
      </c>
      <c r="I420" s="409">
        <v>2</v>
      </c>
      <c r="J420" s="409" t="s">
        <v>239</v>
      </c>
      <c r="K420" s="130" t="s">
        <v>682</v>
      </c>
      <c r="L420" s="409">
        <v>1</v>
      </c>
      <c r="M420" s="231">
        <f t="shared" si="72"/>
        <v>2</v>
      </c>
      <c r="N420" s="232" t="s">
        <v>241</v>
      </c>
      <c r="O420" s="69" t="s">
        <v>1000</v>
      </c>
      <c r="P420" s="131">
        <v>1</v>
      </c>
      <c r="Q420" s="235">
        <f t="shared" si="73"/>
        <v>2</v>
      </c>
      <c r="R420" s="428"/>
      <c r="S420" s="428"/>
      <c r="T420" s="133"/>
      <c r="U420" s="405"/>
      <c r="V420" s="135"/>
      <c r="W420" s="133"/>
      <c r="X420" s="405"/>
      <c r="Y420" s="405"/>
      <c r="Z420" s="135"/>
      <c r="AA420" s="136">
        <f t="shared" si="81"/>
        <v>0</v>
      </c>
      <c r="AB420" s="111"/>
      <c r="AC420" s="363"/>
      <c r="AD420" s="226">
        <f t="shared" si="79"/>
        <v>11419</v>
      </c>
    </row>
    <row r="421" spans="1:32" ht="243" outlineLevel="3" thickBot="1" x14ac:dyDescent="0.25">
      <c r="A421" s="230" t="s">
        <v>1164</v>
      </c>
      <c r="B421" s="518"/>
      <c r="C421" s="519"/>
      <c r="D421" s="518"/>
      <c r="E421" s="410" t="s">
        <v>740</v>
      </c>
      <c r="F421" s="410" t="s">
        <v>741</v>
      </c>
      <c r="G421" s="405" t="s">
        <v>999</v>
      </c>
      <c r="H421" s="295" t="s">
        <v>238</v>
      </c>
      <c r="I421" s="410">
        <v>2</v>
      </c>
      <c r="J421" s="410" t="s">
        <v>742</v>
      </c>
      <c r="K421" s="130" t="s">
        <v>682</v>
      </c>
      <c r="L421" s="410">
        <v>1</v>
      </c>
      <c r="M421" s="231">
        <f t="shared" si="72"/>
        <v>2</v>
      </c>
      <c r="N421" s="232" t="s">
        <v>241</v>
      </c>
      <c r="O421" s="69" t="s">
        <v>1000</v>
      </c>
      <c r="P421" s="131">
        <v>1</v>
      </c>
      <c r="Q421" s="235">
        <f t="shared" si="73"/>
        <v>2</v>
      </c>
      <c r="R421" s="428"/>
      <c r="S421" s="428"/>
      <c r="T421" s="133"/>
      <c r="U421" s="405"/>
      <c r="V421" s="135"/>
      <c r="W421" s="133"/>
      <c r="X421" s="405"/>
      <c r="Y421" s="405"/>
      <c r="Z421" s="135"/>
      <c r="AA421" s="136"/>
      <c r="AB421" s="111"/>
      <c r="AC421" s="363"/>
      <c r="AD421" s="226">
        <f t="shared" si="79"/>
        <v>11420</v>
      </c>
    </row>
    <row r="422" spans="1:32" ht="243" outlineLevel="3" thickBot="1" x14ac:dyDescent="0.25">
      <c r="A422" s="240" t="s">
        <v>1165</v>
      </c>
      <c r="B422" s="493" t="s">
        <v>744</v>
      </c>
      <c r="C422" s="495" t="s">
        <v>745</v>
      </c>
      <c r="D422" s="493" t="s">
        <v>746</v>
      </c>
      <c r="E422" s="409" t="s">
        <v>235</v>
      </c>
      <c r="F422" s="409" t="s">
        <v>747</v>
      </c>
      <c r="G422" s="405" t="s">
        <v>999</v>
      </c>
      <c r="H422" s="295" t="s">
        <v>238</v>
      </c>
      <c r="I422" s="409">
        <v>2</v>
      </c>
      <c r="J422" s="409" t="s">
        <v>239</v>
      </c>
      <c r="K422" s="130" t="s">
        <v>682</v>
      </c>
      <c r="L422" s="409">
        <v>1</v>
      </c>
      <c r="M422" s="231">
        <f t="shared" si="72"/>
        <v>2</v>
      </c>
      <c r="N422" s="232" t="s">
        <v>241</v>
      </c>
      <c r="O422" s="69" t="s">
        <v>1000</v>
      </c>
      <c r="P422" s="131">
        <v>1</v>
      </c>
      <c r="Q422" s="235">
        <f t="shared" si="73"/>
        <v>2</v>
      </c>
      <c r="R422" s="428"/>
      <c r="S422" s="428"/>
      <c r="T422" s="133"/>
      <c r="U422" s="405"/>
      <c r="V422" s="135"/>
      <c r="W422" s="133"/>
      <c r="X422" s="405"/>
      <c r="Y422" s="405"/>
      <c r="Z422" s="135"/>
      <c r="AA422" s="136"/>
      <c r="AB422" s="111"/>
      <c r="AC422" s="363"/>
      <c r="AD422" s="226">
        <f t="shared" si="79"/>
        <v>11421</v>
      </c>
    </row>
    <row r="423" spans="1:32" ht="243" outlineLevel="3" thickBot="1" x14ac:dyDescent="0.25">
      <c r="A423" s="230" t="s">
        <v>1166</v>
      </c>
      <c r="B423" s="518"/>
      <c r="C423" s="519"/>
      <c r="D423" s="518"/>
      <c r="E423" s="410" t="s">
        <v>740</v>
      </c>
      <c r="F423" s="410" t="s">
        <v>749</v>
      </c>
      <c r="G423" s="405" t="s">
        <v>999</v>
      </c>
      <c r="H423" s="295" t="s">
        <v>238</v>
      </c>
      <c r="I423" s="410">
        <v>2</v>
      </c>
      <c r="J423" s="410" t="s">
        <v>742</v>
      </c>
      <c r="K423" s="130" t="s">
        <v>682</v>
      </c>
      <c r="L423" s="410">
        <v>1</v>
      </c>
      <c r="M423" s="231">
        <f t="shared" si="72"/>
        <v>2</v>
      </c>
      <c r="N423" s="232" t="s">
        <v>241</v>
      </c>
      <c r="O423" s="69" t="s">
        <v>1000</v>
      </c>
      <c r="P423" s="131">
        <v>1</v>
      </c>
      <c r="Q423" s="235">
        <f t="shared" si="73"/>
        <v>2</v>
      </c>
      <c r="R423" s="428"/>
      <c r="S423" s="428"/>
      <c r="T423" s="133"/>
      <c r="U423" s="405"/>
      <c r="V423" s="135"/>
      <c r="W423" s="133"/>
      <c r="X423" s="405"/>
      <c r="Y423" s="405"/>
      <c r="Z423" s="135"/>
      <c r="AA423" s="136"/>
      <c r="AB423" s="111"/>
      <c r="AC423" s="363"/>
      <c r="AD423" s="226">
        <f t="shared" si="79"/>
        <v>11422</v>
      </c>
    </row>
    <row r="424" spans="1:32" ht="243" outlineLevel="3" thickBot="1" x14ac:dyDescent="0.25">
      <c r="A424" s="240" t="s">
        <v>1167</v>
      </c>
      <c r="B424" s="493" t="s">
        <v>751</v>
      </c>
      <c r="C424" s="495" t="s">
        <v>752</v>
      </c>
      <c r="D424" s="493" t="s">
        <v>753</v>
      </c>
      <c r="E424" s="409" t="s">
        <v>235</v>
      </c>
      <c r="F424" s="409" t="s">
        <v>754</v>
      </c>
      <c r="G424" s="405" t="s">
        <v>999</v>
      </c>
      <c r="H424" s="295" t="s">
        <v>238</v>
      </c>
      <c r="I424" s="409">
        <v>2</v>
      </c>
      <c r="J424" s="409" t="s">
        <v>239</v>
      </c>
      <c r="K424" s="130" t="s">
        <v>682</v>
      </c>
      <c r="L424" s="409">
        <v>1</v>
      </c>
      <c r="M424" s="231">
        <f t="shared" si="72"/>
        <v>2</v>
      </c>
      <c r="N424" s="232" t="s">
        <v>241</v>
      </c>
      <c r="O424" s="69" t="s">
        <v>1000</v>
      </c>
      <c r="P424" s="131">
        <v>1</v>
      </c>
      <c r="Q424" s="235">
        <f t="shared" si="73"/>
        <v>2</v>
      </c>
      <c r="R424" s="428"/>
      <c r="S424" s="428"/>
      <c r="T424" s="133"/>
      <c r="U424" s="405"/>
      <c r="V424" s="135"/>
      <c r="W424" s="133"/>
      <c r="X424" s="405"/>
      <c r="Y424" s="405"/>
      <c r="Z424" s="135"/>
      <c r="AA424" s="136">
        <f t="shared" si="81"/>
        <v>0</v>
      </c>
      <c r="AB424" s="111"/>
      <c r="AC424" s="363"/>
      <c r="AD424" s="226">
        <f t="shared" si="79"/>
        <v>11423</v>
      </c>
    </row>
    <row r="425" spans="1:32" ht="243" outlineLevel="3" thickBot="1" x14ac:dyDescent="0.25">
      <c r="A425" s="230" t="s">
        <v>1168</v>
      </c>
      <c r="B425" s="518"/>
      <c r="C425" s="519"/>
      <c r="D425" s="518"/>
      <c r="E425" s="410" t="s">
        <v>740</v>
      </c>
      <c r="F425" s="410" t="s">
        <v>756</v>
      </c>
      <c r="G425" s="405" t="s">
        <v>999</v>
      </c>
      <c r="H425" s="295" t="s">
        <v>238</v>
      </c>
      <c r="I425" s="410">
        <v>2</v>
      </c>
      <c r="J425" s="410" t="s">
        <v>742</v>
      </c>
      <c r="K425" s="130" t="s">
        <v>682</v>
      </c>
      <c r="L425" s="410">
        <v>1</v>
      </c>
      <c r="M425" s="231">
        <f t="shared" si="72"/>
        <v>2</v>
      </c>
      <c r="N425" s="232" t="s">
        <v>241</v>
      </c>
      <c r="O425" s="69" t="s">
        <v>1000</v>
      </c>
      <c r="P425" s="131">
        <v>1</v>
      </c>
      <c r="Q425" s="235">
        <f t="shared" si="73"/>
        <v>2</v>
      </c>
      <c r="R425" s="428"/>
      <c r="S425" s="428"/>
      <c r="T425" s="133"/>
      <c r="U425" s="405"/>
      <c r="V425" s="135"/>
      <c r="W425" s="133"/>
      <c r="X425" s="405"/>
      <c r="Y425" s="405"/>
      <c r="Z425" s="135"/>
      <c r="AA425" s="136"/>
      <c r="AB425" s="111"/>
      <c r="AC425" s="363"/>
      <c r="AD425" s="226">
        <f t="shared" si="79"/>
        <v>11424</v>
      </c>
    </row>
    <row r="426" spans="1:32" ht="243" outlineLevel="3" thickBot="1" x14ac:dyDescent="0.25">
      <c r="A426" s="240" t="s">
        <v>1169</v>
      </c>
      <c r="B426" s="493" t="s">
        <v>758</v>
      </c>
      <c r="C426" s="495" t="s">
        <v>759</v>
      </c>
      <c r="D426" s="493" t="s">
        <v>760</v>
      </c>
      <c r="E426" s="409" t="s">
        <v>235</v>
      </c>
      <c r="F426" s="409" t="s">
        <v>761</v>
      </c>
      <c r="G426" s="405" t="s">
        <v>999</v>
      </c>
      <c r="H426" s="295" t="s">
        <v>238</v>
      </c>
      <c r="I426" s="409">
        <v>2</v>
      </c>
      <c r="J426" s="409" t="s">
        <v>239</v>
      </c>
      <c r="K426" s="130" t="s">
        <v>682</v>
      </c>
      <c r="L426" s="409">
        <v>1</v>
      </c>
      <c r="M426" s="231">
        <f t="shared" si="72"/>
        <v>2</v>
      </c>
      <c r="N426" s="232" t="s">
        <v>241</v>
      </c>
      <c r="O426" s="69" t="s">
        <v>1000</v>
      </c>
      <c r="P426" s="131">
        <v>1</v>
      </c>
      <c r="Q426" s="235">
        <f t="shared" si="73"/>
        <v>2</v>
      </c>
      <c r="R426" s="428"/>
      <c r="S426" s="428"/>
      <c r="T426" s="133"/>
      <c r="U426" s="405"/>
      <c r="V426" s="135"/>
      <c r="W426" s="133"/>
      <c r="X426" s="405"/>
      <c r="Y426" s="405"/>
      <c r="Z426" s="135"/>
      <c r="AA426" s="136"/>
      <c r="AB426" s="111"/>
      <c r="AC426" s="363"/>
      <c r="AD426" s="226">
        <f t="shared" si="79"/>
        <v>11425</v>
      </c>
    </row>
    <row r="427" spans="1:32" ht="243" outlineLevel="3" thickBot="1" x14ac:dyDescent="0.25">
      <c r="A427" s="230" t="s">
        <v>1170</v>
      </c>
      <c r="B427" s="518"/>
      <c r="C427" s="519"/>
      <c r="D427" s="518"/>
      <c r="E427" s="410" t="s">
        <v>740</v>
      </c>
      <c r="F427" s="410" t="s">
        <v>763</v>
      </c>
      <c r="G427" s="405" t="s">
        <v>999</v>
      </c>
      <c r="H427" s="295" t="s">
        <v>238</v>
      </c>
      <c r="I427" s="410">
        <v>2</v>
      </c>
      <c r="J427" s="410" t="s">
        <v>742</v>
      </c>
      <c r="K427" s="130" t="s">
        <v>682</v>
      </c>
      <c r="L427" s="410">
        <v>1</v>
      </c>
      <c r="M427" s="231">
        <f t="shared" si="72"/>
        <v>2</v>
      </c>
      <c r="N427" s="232" t="s">
        <v>241</v>
      </c>
      <c r="O427" s="69" t="s">
        <v>1000</v>
      </c>
      <c r="P427" s="131">
        <v>1</v>
      </c>
      <c r="Q427" s="235">
        <f t="shared" si="73"/>
        <v>2</v>
      </c>
      <c r="R427" s="428"/>
      <c r="S427" s="428"/>
      <c r="T427" s="133"/>
      <c r="U427" s="405"/>
      <c r="V427" s="135"/>
      <c r="W427" s="133"/>
      <c r="X427" s="405"/>
      <c r="Y427" s="405"/>
      <c r="Z427" s="135"/>
      <c r="AA427" s="136"/>
      <c r="AB427" s="111"/>
      <c r="AC427" s="363"/>
      <c r="AD427" s="226">
        <f t="shared" si="79"/>
        <v>11426</v>
      </c>
    </row>
    <row r="428" spans="1:32" ht="153.75" outlineLevel="3" thickBot="1" x14ac:dyDescent="0.25">
      <c r="A428" s="199" t="s">
        <v>1171</v>
      </c>
      <c r="B428" s="334" t="s">
        <v>983</v>
      </c>
      <c r="C428" s="334" t="s">
        <v>233</v>
      </c>
      <c r="D428" s="334" t="s">
        <v>984</v>
      </c>
      <c r="E428" s="405" t="s">
        <v>985</v>
      </c>
      <c r="F428" s="405" t="s">
        <v>1172</v>
      </c>
      <c r="G428" s="405" t="s">
        <v>1142</v>
      </c>
      <c r="H428" s="420" t="s">
        <v>680</v>
      </c>
      <c r="I428" s="164">
        <v>5</v>
      </c>
      <c r="J428" s="163" t="s">
        <v>988</v>
      </c>
      <c r="K428" s="130" t="s">
        <v>682</v>
      </c>
      <c r="L428" s="138">
        <v>1</v>
      </c>
      <c r="M428" s="166">
        <f t="shared" si="72"/>
        <v>5</v>
      </c>
      <c r="N428" s="133" t="s">
        <v>291</v>
      </c>
      <c r="O428" s="69" t="s">
        <v>1000</v>
      </c>
      <c r="P428" s="131">
        <v>1</v>
      </c>
      <c r="Q428" s="134">
        <f t="shared" si="73"/>
        <v>5</v>
      </c>
      <c r="R428" s="428"/>
      <c r="S428" s="428"/>
      <c r="T428" s="133"/>
      <c r="U428" s="405"/>
      <c r="V428" s="135"/>
      <c r="W428" s="133"/>
      <c r="X428" s="405"/>
      <c r="Y428" s="405"/>
      <c r="Z428" s="135"/>
      <c r="AA428" s="136"/>
      <c r="AB428" s="111"/>
      <c r="AC428" s="363"/>
      <c r="AD428" s="226">
        <f t="shared" si="79"/>
        <v>6798</v>
      </c>
    </row>
    <row r="429" spans="1:32" ht="21" outlineLevel="1" thickBot="1" x14ac:dyDescent="0.25">
      <c r="A429" s="199"/>
      <c r="B429" s="77" t="s">
        <v>1173</v>
      </c>
      <c r="C429" s="189"/>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9"/>
      <c r="AC429" s="363"/>
      <c r="AD429" s="226">
        <f t="shared" si="79"/>
        <v>0</v>
      </c>
    </row>
    <row r="430" spans="1:32" s="215" customFormat="1" ht="21" outlineLevel="2" thickBot="1" x14ac:dyDescent="0.25">
      <c r="A430" s="199"/>
      <c r="B430" s="117" t="s">
        <v>230</v>
      </c>
      <c r="C430" s="190"/>
      <c r="D430" s="118"/>
      <c r="E430" s="118"/>
      <c r="F430" s="118"/>
      <c r="G430" s="118"/>
      <c r="H430" s="118"/>
      <c r="I430" s="118"/>
      <c r="J430" s="118"/>
      <c r="K430" s="118"/>
      <c r="L430" s="118"/>
      <c r="M430" s="118"/>
      <c r="N430" s="118"/>
      <c r="O430" s="118"/>
      <c r="P430" s="118"/>
      <c r="Q430" s="118"/>
      <c r="R430" s="118"/>
      <c r="S430" s="118"/>
      <c r="T430" s="118"/>
      <c r="U430" s="118"/>
      <c r="V430" s="118"/>
      <c r="W430" s="118"/>
      <c r="X430" s="118"/>
      <c r="Y430" s="118"/>
      <c r="Z430" s="118"/>
      <c r="AA430" s="118"/>
      <c r="AB430" s="119"/>
      <c r="AC430" s="372"/>
      <c r="AD430" s="226">
        <f t="shared" si="79"/>
        <v>0</v>
      </c>
      <c r="AE430" s="355"/>
      <c r="AF430" s="437"/>
    </row>
    <row r="431" spans="1:32" s="216" customFormat="1" ht="153.75" outlineLevel="3" thickBot="1" x14ac:dyDescent="0.25">
      <c r="A431" s="199" t="s">
        <v>1174</v>
      </c>
      <c r="B431" s="503" t="s">
        <v>247</v>
      </c>
      <c r="C431" s="505" t="s">
        <v>248</v>
      </c>
      <c r="D431" s="503" t="s">
        <v>249</v>
      </c>
      <c r="E431" s="417" t="s">
        <v>250</v>
      </c>
      <c r="F431" s="417" t="s">
        <v>992</v>
      </c>
      <c r="G431" s="405" t="s">
        <v>1175</v>
      </c>
      <c r="H431" s="127" t="s">
        <v>238</v>
      </c>
      <c r="I431" s="128">
        <v>1</v>
      </c>
      <c r="J431" s="163" t="s">
        <v>775</v>
      </c>
      <c r="K431" s="165" t="s">
        <v>1176</v>
      </c>
      <c r="L431" s="131">
        <v>1</v>
      </c>
      <c r="M431" s="132">
        <f t="shared" ref="M431:M482" si="84">I431*L431</f>
        <v>1</v>
      </c>
      <c r="N431" s="133" t="s">
        <v>291</v>
      </c>
      <c r="O431" s="69" t="s">
        <v>242</v>
      </c>
      <c r="P431" s="131">
        <v>5</v>
      </c>
      <c r="Q431" s="134">
        <f t="shared" ref="Q431:Q482" si="85">I431*L431*P431</f>
        <v>5</v>
      </c>
      <c r="R431" s="428"/>
      <c r="S431" s="428"/>
      <c r="T431" s="133"/>
      <c r="U431" s="405"/>
      <c r="V431" s="135"/>
      <c r="W431" s="133"/>
      <c r="X431" s="405"/>
      <c r="Y431" s="405"/>
      <c r="Z431" s="135"/>
      <c r="AA431" s="136"/>
      <c r="AB431" s="111"/>
      <c r="AC431" s="373"/>
      <c r="AD431" s="226">
        <f t="shared" si="79"/>
        <v>6799</v>
      </c>
      <c r="AE431" s="356"/>
      <c r="AF431" s="438"/>
    </row>
    <row r="432" spans="1:32" ht="153.75" outlineLevel="3" thickBot="1" x14ac:dyDescent="0.25">
      <c r="A432" s="199" t="s">
        <v>1177</v>
      </c>
      <c r="B432" s="483"/>
      <c r="C432" s="484"/>
      <c r="D432" s="483"/>
      <c r="E432" s="417" t="s">
        <v>255</v>
      </c>
      <c r="F432" s="417" t="s">
        <v>1178</v>
      </c>
      <c r="G432" s="405" t="s">
        <v>1175</v>
      </c>
      <c r="H432" s="127" t="s">
        <v>238</v>
      </c>
      <c r="I432" s="128">
        <v>1</v>
      </c>
      <c r="J432" s="163" t="s">
        <v>257</v>
      </c>
      <c r="K432" s="165" t="s">
        <v>1176</v>
      </c>
      <c r="L432" s="131">
        <v>1</v>
      </c>
      <c r="M432" s="132">
        <f t="shared" si="84"/>
        <v>1</v>
      </c>
      <c r="N432" s="133" t="s">
        <v>291</v>
      </c>
      <c r="O432" s="69" t="s">
        <v>242</v>
      </c>
      <c r="P432" s="131">
        <v>5</v>
      </c>
      <c r="Q432" s="134">
        <f t="shared" si="85"/>
        <v>5</v>
      </c>
      <c r="R432" s="428"/>
      <c r="S432" s="428"/>
      <c r="T432" s="133"/>
      <c r="U432" s="405"/>
      <c r="V432" s="135"/>
      <c r="W432" s="133"/>
      <c r="X432" s="405"/>
      <c r="Y432" s="405"/>
      <c r="Z432" s="135"/>
      <c r="AA432" s="136"/>
      <c r="AB432" s="111"/>
      <c r="AC432" s="226"/>
      <c r="AD432" s="226">
        <f t="shared" si="79"/>
        <v>6800</v>
      </c>
    </row>
    <row r="433" spans="1:31" ht="153.75" outlineLevel="3" thickBot="1" x14ac:dyDescent="0.25">
      <c r="A433" s="199" t="s">
        <v>1179</v>
      </c>
      <c r="B433" s="483"/>
      <c r="C433" s="484"/>
      <c r="D433" s="483"/>
      <c r="E433" s="405" t="s">
        <v>1180</v>
      </c>
      <c r="F433" s="167" t="s">
        <v>778</v>
      </c>
      <c r="G433" s="405" t="s">
        <v>1175</v>
      </c>
      <c r="H433" s="420" t="s">
        <v>238</v>
      </c>
      <c r="I433" s="164">
        <v>1</v>
      </c>
      <c r="J433" s="163" t="s">
        <v>257</v>
      </c>
      <c r="K433" s="165" t="s">
        <v>1176</v>
      </c>
      <c r="L433" s="138">
        <v>1</v>
      </c>
      <c r="M433" s="166">
        <f t="shared" si="84"/>
        <v>1</v>
      </c>
      <c r="N433" s="133" t="s">
        <v>291</v>
      </c>
      <c r="O433" s="69" t="s">
        <v>242</v>
      </c>
      <c r="P433" s="131">
        <v>5</v>
      </c>
      <c r="Q433" s="134">
        <f t="shared" si="85"/>
        <v>5</v>
      </c>
      <c r="R433" s="428"/>
      <c r="S433" s="428"/>
      <c r="T433" s="133"/>
      <c r="U433" s="405"/>
      <c r="V433" s="135"/>
      <c r="W433" s="133"/>
      <c r="X433" s="405"/>
      <c r="Y433" s="405"/>
      <c r="Z433" s="135"/>
      <c r="AA433" s="136"/>
      <c r="AB433" s="111"/>
      <c r="AC433" s="226"/>
      <c r="AD433" s="226">
        <f t="shared" si="79"/>
        <v>6801</v>
      </c>
    </row>
    <row r="434" spans="1:31" ht="204.75" outlineLevel="3" thickBot="1" x14ac:dyDescent="0.25">
      <c r="A434" s="199" t="s">
        <v>1181</v>
      </c>
      <c r="B434" s="478"/>
      <c r="C434" s="480"/>
      <c r="D434" s="478"/>
      <c r="E434" s="405" t="s">
        <v>1182</v>
      </c>
      <c r="F434" s="405" t="s">
        <v>781</v>
      </c>
      <c r="G434" s="417" t="s">
        <v>1183</v>
      </c>
      <c r="H434" s="420" t="s">
        <v>680</v>
      </c>
      <c r="I434" s="164">
        <v>3</v>
      </c>
      <c r="J434" s="163" t="s">
        <v>775</v>
      </c>
      <c r="K434" s="165" t="s">
        <v>1176</v>
      </c>
      <c r="L434" s="138">
        <v>1</v>
      </c>
      <c r="M434" s="166">
        <f t="shared" si="84"/>
        <v>3</v>
      </c>
      <c r="N434" s="133" t="s">
        <v>291</v>
      </c>
      <c r="O434" s="69" t="s">
        <v>242</v>
      </c>
      <c r="P434" s="131">
        <v>5</v>
      </c>
      <c r="Q434" s="134">
        <f>P434*L434*I434</f>
        <v>15</v>
      </c>
      <c r="R434" s="428"/>
      <c r="S434" s="428"/>
      <c r="T434" s="133"/>
      <c r="U434" s="405"/>
      <c r="V434" s="135"/>
      <c r="W434" s="133"/>
      <c r="X434" s="405"/>
      <c r="Y434" s="405"/>
      <c r="Z434" s="135"/>
      <c r="AA434" s="136">
        <f t="shared" si="81"/>
        <v>0</v>
      </c>
      <c r="AB434" s="111"/>
      <c r="AC434" s="363"/>
      <c r="AD434" s="226">
        <f t="shared" si="79"/>
        <v>6802</v>
      </c>
    </row>
    <row r="435" spans="1:31" ht="204.75" outlineLevel="3" thickBot="1" x14ac:dyDescent="0.25">
      <c r="A435" s="199" t="s">
        <v>1184</v>
      </c>
      <c r="B435" s="411" t="s">
        <v>266</v>
      </c>
      <c r="C435" s="412" t="s">
        <v>267</v>
      </c>
      <c r="D435" s="405" t="s">
        <v>268</v>
      </c>
      <c r="E435" s="417" t="s">
        <v>269</v>
      </c>
      <c r="F435" s="417" t="s">
        <v>1002</v>
      </c>
      <c r="G435" s="417" t="s">
        <v>1183</v>
      </c>
      <c r="H435" s="127" t="s">
        <v>680</v>
      </c>
      <c r="I435" s="128">
        <v>3</v>
      </c>
      <c r="J435" s="129" t="s">
        <v>784</v>
      </c>
      <c r="K435" s="165" t="s">
        <v>1176</v>
      </c>
      <c r="L435" s="131">
        <v>1</v>
      </c>
      <c r="M435" s="132">
        <f t="shared" si="84"/>
        <v>3</v>
      </c>
      <c r="N435" s="133" t="s">
        <v>291</v>
      </c>
      <c r="O435" s="69" t="s">
        <v>242</v>
      </c>
      <c r="P435" s="131">
        <v>5</v>
      </c>
      <c r="Q435" s="134">
        <f t="shared" si="85"/>
        <v>15</v>
      </c>
      <c r="R435" s="428"/>
      <c r="S435" s="428"/>
      <c r="T435" s="133"/>
      <c r="U435" s="405"/>
      <c r="V435" s="135"/>
      <c r="W435" s="133"/>
      <c r="X435" s="405"/>
      <c r="Y435" s="405"/>
      <c r="Z435" s="135"/>
      <c r="AA435" s="136"/>
      <c r="AB435" s="111"/>
      <c r="AC435" s="363"/>
      <c r="AD435" s="226">
        <f t="shared" si="79"/>
        <v>6803</v>
      </c>
    </row>
    <row r="436" spans="1:31" ht="204.75" outlineLevel="3" thickBot="1" x14ac:dyDescent="0.25">
      <c r="A436" s="199" t="s">
        <v>1185</v>
      </c>
      <c r="B436" s="477" t="s">
        <v>272</v>
      </c>
      <c r="C436" s="479" t="s">
        <v>273</v>
      </c>
      <c r="D436" s="477" t="s">
        <v>1004</v>
      </c>
      <c r="E436" s="417" t="s">
        <v>275</v>
      </c>
      <c r="F436" s="417" t="s">
        <v>276</v>
      </c>
      <c r="G436" s="405" t="s">
        <v>1183</v>
      </c>
      <c r="H436" s="127" t="s">
        <v>238</v>
      </c>
      <c r="I436" s="128">
        <v>1</v>
      </c>
      <c r="J436" s="163" t="s">
        <v>277</v>
      </c>
      <c r="K436" s="165" t="s">
        <v>1176</v>
      </c>
      <c r="L436" s="131">
        <v>1</v>
      </c>
      <c r="M436" s="132">
        <f t="shared" si="84"/>
        <v>1</v>
      </c>
      <c r="N436" s="133" t="s">
        <v>291</v>
      </c>
      <c r="O436" s="69" t="s">
        <v>242</v>
      </c>
      <c r="P436" s="131">
        <v>5</v>
      </c>
      <c r="Q436" s="134">
        <f t="shared" si="85"/>
        <v>5</v>
      </c>
      <c r="R436" s="428"/>
      <c r="S436" s="428"/>
      <c r="T436" s="133"/>
      <c r="U436" s="405"/>
      <c r="V436" s="135"/>
      <c r="W436" s="133"/>
      <c r="X436" s="405"/>
      <c r="Y436" s="405"/>
      <c r="Z436" s="135"/>
      <c r="AA436" s="136">
        <f t="shared" si="81"/>
        <v>0</v>
      </c>
      <c r="AB436" s="111"/>
      <c r="AC436" s="363"/>
      <c r="AD436" s="226">
        <f t="shared" si="79"/>
        <v>6804</v>
      </c>
    </row>
    <row r="437" spans="1:31" ht="204.75" outlineLevel="3" thickBot="1" x14ac:dyDescent="0.25">
      <c r="A437" s="199" t="s">
        <v>1186</v>
      </c>
      <c r="B437" s="478"/>
      <c r="C437" s="480"/>
      <c r="D437" s="478"/>
      <c r="E437" s="417" t="s">
        <v>279</v>
      </c>
      <c r="F437" s="415" t="s">
        <v>280</v>
      </c>
      <c r="G437" s="417" t="s">
        <v>1183</v>
      </c>
      <c r="H437" s="127" t="s">
        <v>680</v>
      </c>
      <c r="I437" s="128">
        <v>3</v>
      </c>
      <c r="J437" s="163" t="s">
        <v>281</v>
      </c>
      <c r="K437" s="165" t="s">
        <v>1187</v>
      </c>
      <c r="L437" s="138">
        <v>1</v>
      </c>
      <c r="M437" s="166">
        <f t="shared" si="84"/>
        <v>3</v>
      </c>
      <c r="N437" s="133" t="s">
        <v>283</v>
      </c>
      <c r="O437" s="69" t="s">
        <v>242</v>
      </c>
      <c r="P437" s="131">
        <v>5</v>
      </c>
      <c r="Q437" s="134">
        <f t="shared" si="85"/>
        <v>15</v>
      </c>
      <c r="R437" s="428"/>
      <c r="S437" s="428"/>
      <c r="T437" s="133"/>
      <c r="U437" s="405"/>
      <c r="V437" s="135"/>
      <c r="W437" s="133"/>
      <c r="X437" s="405"/>
      <c r="Y437" s="405"/>
      <c r="Z437" s="135"/>
      <c r="AA437" s="136"/>
      <c r="AB437" s="111"/>
      <c r="AC437" s="363"/>
      <c r="AD437" s="226">
        <f t="shared" si="79"/>
        <v>6805</v>
      </c>
    </row>
    <row r="438" spans="1:31" s="144" customFormat="1" ht="204.75" outlineLevel="3" thickBot="1" x14ac:dyDescent="0.25">
      <c r="A438" s="199" t="s">
        <v>1188</v>
      </c>
      <c r="B438" s="477" t="s">
        <v>285</v>
      </c>
      <c r="C438" s="479" t="s">
        <v>286</v>
      </c>
      <c r="D438" s="477" t="s">
        <v>287</v>
      </c>
      <c r="E438" s="405" t="s">
        <v>288</v>
      </c>
      <c r="F438" s="405" t="s">
        <v>1189</v>
      </c>
      <c r="G438" s="405" t="s">
        <v>1183</v>
      </c>
      <c r="H438" s="420" t="s">
        <v>680</v>
      </c>
      <c r="I438" s="164">
        <v>3</v>
      </c>
      <c r="J438" s="163" t="s">
        <v>775</v>
      </c>
      <c r="K438" s="165" t="s">
        <v>1176</v>
      </c>
      <c r="L438" s="138">
        <v>2</v>
      </c>
      <c r="M438" s="132">
        <f t="shared" si="84"/>
        <v>6</v>
      </c>
      <c r="N438" s="133" t="s">
        <v>291</v>
      </c>
      <c r="O438" s="69" t="s">
        <v>242</v>
      </c>
      <c r="P438" s="131">
        <v>5</v>
      </c>
      <c r="Q438" s="134">
        <f t="shared" si="85"/>
        <v>30</v>
      </c>
      <c r="R438" s="428"/>
      <c r="S438" s="428"/>
      <c r="T438" s="133"/>
      <c r="U438" s="405"/>
      <c r="V438" s="135"/>
      <c r="W438" s="133"/>
      <c r="X438" s="405"/>
      <c r="Y438" s="405"/>
      <c r="Z438" s="135"/>
      <c r="AA438" s="136">
        <f t="shared" si="81"/>
        <v>0</v>
      </c>
      <c r="AB438" s="111"/>
      <c r="AC438" s="366"/>
      <c r="AD438" s="226">
        <f t="shared" si="79"/>
        <v>6806</v>
      </c>
      <c r="AE438" s="350"/>
    </row>
    <row r="439" spans="1:31" s="144" customFormat="1" ht="204.75" outlineLevel="3" thickBot="1" x14ac:dyDescent="0.25">
      <c r="A439" s="199" t="s">
        <v>1190</v>
      </c>
      <c r="B439" s="478"/>
      <c r="C439" s="480"/>
      <c r="D439" s="478"/>
      <c r="E439" s="417" t="s">
        <v>293</v>
      </c>
      <c r="F439" s="415" t="s">
        <v>1191</v>
      </c>
      <c r="G439" s="405" t="s">
        <v>1183</v>
      </c>
      <c r="H439" s="127" t="s">
        <v>238</v>
      </c>
      <c r="I439" s="128">
        <v>1</v>
      </c>
      <c r="J439" s="163" t="s">
        <v>257</v>
      </c>
      <c r="K439" s="165" t="s">
        <v>1176</v>
      </c>
      <c r="L439" s="138">
        <v>2</v>
      </c>
      <c r="M439" s="132">
        <f t="shared" si="84"/>
        <v>2</v>
      </c>
      <c r="N439" s="133" t="s">
        <v>291</v>
      </c>
      <c r="O439" s="69" t="s">
        <v>242</v>
      </c>
      <c r="P439" s="131">
        <v>5</v>
      </c>
      <c r="Q439" s="134">
        <f t="shared" si="85"/>
        <v>10</v>
      </c>
      <c r="R439" s="428"/>
      <c r="S439" s="428"/>
      <c r="T439" s="133"/>
      <c r="U439" s="405"/>
      <c r="V439" s="135"/>
      <c r="W439" s="133"/>
      <c r="X439" s="405"/>
      <c r="Y439" s="405"/>
      <c r="Z439" s="135"/>
      <c r="AA439" s="136"/>
      <c r="AB439" s="111"/>
      <c r="AC439" s="366"/>
      <c r="AD439" s="226">
        <f t="shared" si="79"/>
        <v>6807</v>
      </c>
      <c r="AE439" s="350"/>
    </row>
    <row r="440" spans="1:31" ht="175.5" customHeight="1" outlineLevel="3" thickBot="1" x14ac:dyDescent="0.25">
      <c r="A440" s="199" t="s">
        <v>1192</v>
      </c>
      <c r="B440" s="477" t="s">
        <v>297</v>
      </c>
      <c r="C440" s="479" t="s">
        <v>298</v>
      </c>
      <c r="D440" s="477" t="s">
        <v>299</v>
      </c>
      <c r="E440" s="405" t="s">
        <v>300</v>
      </c>
      <c r="F440" s="405" t="s">
        <v>301</v>
      </c>
      <c r="G440" s="417" t="s">
        <v>1183</v>
      </c>
      <c r="H440" s="127" t="s">
        <v>680</v>
      </c>
      <c r="I440" s="164">
        <v>3</v>
      </c>
      <c r="J440" s="163" t="s">
        <v>302</v>
      </c>
      <c r="K440" s="165" t="s">
        <v>1176</v>
      </c>
      <c r="L440" s="138">
        <v>1</v>
      </c>
      <c r="M440" s="166">
        <f t="shared" si="84"/>
        <v>3</v>
      </c>
      <c r="N440" s="133" t="s">
        <v>303</v>
      </c>
      <c r="O440" s="420" t="s">
        <v>242</v>
      </c>
      <c r="P440" s="138">
        <v>5</v>
      </c>
      <c r="Q440" s="225">
        <f>P440*L440*I440</f>
        <v>15</v>
      </c>
      <c r="R440" s="428"/>
      <c r="S440" s="428"/>
      <c r="T440" s="133"/>
      <c r="U440" s="405"/>
      <c r="V440" s="135"/>
      <c r="W440" s="133"/>
      <c r="X440" s="405"/>
      <c r="Y440" s="405"/>
      <c r="Z440" s="135"/>
      <c r="AA440" s="136">
        <f t="shared" ref="AA440" si="86">X440*Y440*Z440</f>
        <v>0</v>
      </c>
      <c r="AB440" s="111"/>
      <c r="AC440" s="226"/>
      <c r="AD440" s="226">
        <f t="shared" si="79"/>
        <v>10993</v>
      </c>
    </row>
    <row r="441" spans="1:31" ht="176.25" customHeight="1" outlineLevel="3" thickBot="1" x14ac:dyDescent="0.25">
      <c r="A441" s="199" t="s">
        <v>1193</v>
      </c>
      <c r="B441" s="478"/>
      <c r="C441" s="480"/>
      <c r="D441" s="478"/>
      <c r="E441" s="405" t="s">
        <v>305</v>
      </c>
      <c r="F441" s="405" t="s">
        <v>1194</v>
      </c>
      <c r="G441" s="420" t="s">
        <v>1183</v>
      </c>
      <c r="H441" s="420" t="s">
        <v>238</v>
      </c>
      <c r="I441" s="164">
        <v>1</v>
      </c>
      <c r="J441" s="163" t="s">
        <v>307</v>
      </c>
      <c r="K441" s="165" t="s">
        <v>1176</v>
      </c>
      <c r="L441" s="138">
        <v>1</v>
      </c>
      <c r="M441" s="166">
        <f t="shared" si="84"/>
        <v>1</v>
      </c>
      <c r="N441" s="133" t="s">
        <v>303</v>
      </c>
      <c r="O441" s="420" t="s">
        <v>242</v>
      </c>
      <c r="P441" s="138">
        <v>5</v>
      </c>
      <c r="Q441" s="225">
        <f>P441*L441*I441</f>
        <v>5</v>
      </c>
      <c r="R441" s="428"/>
      <c r="S441" s="428"/>
      <c r="T441" s="133"/>
      <c r="U441" s="405"/>
      <c r="V441" s="135"/>
      <c r="W441" s="133"/>
      <c r="X441" s="405"/>
      <c r="Y441" s="405"/>
      <c r="Z441" s="135"/>
      <c r="AA441" s="136"/>
      <c r="AB441" s="111"/>
      <c r="AC441" s="226"/>
      <c r="AD441" s="226">
        <f t="shared" si="79"/>
        <v>10994</v>
      </c>
    </row>
    <row r="442" spans="1:31" ht="204.75" outlineLevel="3" thickBot="1" x14ac:dyDescent="0.25">
      <c r="A442" s="199" t="s">
        <v>1195</v>
      </c>
      <c r="B442" s="477" t="s">
        <v>309</v>
      </c>
      <c r="C442" s="479" t="s">
        <v>310</v>
      </c>
      <c r="D442" s="477" t="s">
        <v>311</v>
      </c>
      <c r="E442" s="417" t="s">
        <v>300</v>
      </c>
      <c r="F442" s="417" t="s">
        <v>289</v>
      </c>
      <c r="G442" s="417" t="s">
        <v>1183</v>
      </c>
      <c r="H442" s="127" t="s">
        <v>680</v>
      </c>
      <c r="I442" s="164">
        <v>3</v>
      </c>
      <c r="J442" s="163" t="s">
        <v>1014</v>
      </c>
      <c r="K442" s="165" t="s">
        <v>1176</v>
      </c>
      <c r="L442" s="138">
        <v>1</v>
      </c>
      <c r="M442" s="166">
        <f t="shared" si="84"/>
        <v>3</v>
      </c>
      <c r="N442" s="133" t="s">
        <v>303</v>
      </c>
      <c r="O442" s="69" t="s">
        <v>242</v>
      </c>
      <c r="P442" s="131">
        <v>5</v>
      </c>
      <c r="Q442" s="134">
        <f t="shared" si="85"/>
        <v>15</v>
      </c>
      <c r="R442" s="428"/>
      <c r="S442" s="428"/>
      <c r="T442" s="133"/>
      <c r="U442" s="405"/>
      <c r="V442" s="135"/>
      <c r="W442" s="133"/>
      <c r="X442" s="405"/>
      <c r="Y442" s="405"/>
      <c r="Z442" s="135"/>
      <c r="AA442" s="136">
        <f t="shared" si="81"/>
        <v>0</v>
      </c>
      <c r="AB442" s="111"/>
      <c r="AC442" s="363"/>
      <c r="AD442" s="226">
        <f t="shared" si="79"/>
        <v>6808</v>
      </c>
    </row>
    <row r="443" spans="1:31" ht="204.75" outlineLevel="3" thickBot="1" x14ac:dyDescent="0.25">
      <c r="A443" s="199" t="s">
        <v>1196</v>
      </c>
      <c r="B443" s="483"/>
      <c r="C443" s="484"/>
      <c r="D443" s="483"/>
      <c r="E443" s="405" t="s">
        <v>1197</v>
      </c>
      <c r="F443" s="430" t="s">
        <v>315</v>
      </c>
      <c r="G443" s="417" t="s">
        <v>1183</v>
      </c>
      <c r="H443" s="420" t="s">
        <v>238</v>
      </c>
      <c r="I443" s="164">
        <v>1</v>
      </c>
      <c r="J443" s="163" t="s">
        <v>316</v>
      </c>
      <c r="K443" s="165" t="s">
        <v>1198</v>
      </c>
      <c r="L443" s="138">
        <v>1</v>
      </c>
      <c r="M443" s="166">
        <f t="shared" si="84"/>
        <v>1</v>
      </c>
      <c r="N443" s="133" t="s">
        <v>303</v>
      </c>
      <c r="O443" s="69" t="s">
        <v>242</v>
      </c>
      <c r="P443" s="131">
        <v>5</v>
      </c>
      <c r="Q443" s="134">
        <f t="shared" si="85"/>
        <v>5</v>
      </c>
      <c r="R443" s="428"/>
      <c r="S443" s="428"/>
      <c r="T443" s="133"/>
      <c r="U443" s="405"/>
      <c r="V443" s="135"/>
      <c r="W443" s="133"/>
      <c r="X443" s="405"/>
      <c r="Y443" s="405"/>
      <c r="Z443" s="135"/>
      <c r="AA443" s="136"/>
      <c r="AB443" s="111"/>
      <c r="AC443" s="363"/>
      <c r="AD443" s="226">
        <f t="shared" si="79"/>
        <v>6809</v>
      </c>
    </row>
    <row r="444" spans="1:31" ht="204.75" outlineLevel="3" thickBot="1" x14ac:dyDescent="0.25">
      <c r="A444" s="199" t="s">
        <v>1199</v>
      </c>
      <c r="B444" s="478"/>
      <c r="C444" s="480"/>
      <c r="D444" s="478"/>
      <c r="E444" s="405" t="s">
        <v>319</v>
      </c>
      <c r="F444" s="405" t="s">
        <v>320</v>
      </c>
      <c r="G444" s="405" t="s">
        <v>1183</v>
      </c>
      <c r="H444" s="420" t="s">
        <v>680</v>
      </c>
      <c r="I444" s="164">
        <v>3</v>
      </c>
      <c r="J444" s="163" t="s">
        <v>316</v>
      </c>
      <c r="K444" s="165" t="s">
        <v>1198</v>
      </c>
      <c r="L444" s="138">
        <v>1</v>
      </c>
      <c r="M444" s="166">
        <f t="shared" ref="M444" si="87">I444*L444</f>
        <v>3</v>
      </c>
      <c r="N444" s="133" t="s">
        <v>303</v>
      </c>
      <c r="O444" s="420" t="s">
        <v>242</v>
      </c>
      <c r="P444" s="138">
        <v>5</v>
      </c>
      <c r="Q444" s="225">
        <f t="shared" ref="Q444" si="88">I444*L444*P444</f>
        <v>15</v>
      </c>
      <c r="R444" s="428"/>
      <c r="S444" s="428"/>
      <c r="T444" s="133"/>
      <c r="U444" s="405"/>
      <c r="V444" s="135"/>
      <c r="W444" s="133"/>
      <c r="X444" s="405"/>
      <c r="Y444" s="405"/>
      <c r="Z444" s="135"/>
      <c r="AA444" s="136"/>
      <c r="AB444" s="111"/>
      <c r="AC444" s="226"/>
      <c r="AD444" s="226">
        <f t="shared" si="79"/>
        <v>12392</v>
      </c>
    </row>
    <row r="445" spans="1:31" ht="204.75" outlineLevel="3" thickBot="1" x14ac:dyDescent="0.25">
      <c r="A445" s="252" t="s">
        <v>1200</v>
      </c>
      <c r="B445" s="489" t="s">
        <v>323</v>
      </c>
      <c r="C445" s="486" t="s">
        <v>324</v>
      </c>
      <c r="D445" s="489" t="s">
        <v>325</v>
      </c>
      <c r="E445" s="415" t="s">
        <v>326</v>
      </c>
      <c r="F445" s="415" t="s">
        <v>327</v>
      </c>
      <c r="G445" s="417" t="s">
        <v>1183</v>
      </c>
      <c r="H445" s="127" t="s">
        <v>680</v>
      </c>
      <c r="I445" s="164">
        <v>3</v>
      </c>
      <c r="J445" s="163" t="s">
        <v>328</v>
      </c>
      <c r="K445" s="165" t="s">
        <v>1176</v>
      </c>
      <c r="L445" s="131">
        <v>1</v>
      </c>
      <c r="M445" s="132">
        <f t="shared" si="84"/>
        <v>3</v>
      </c>
      <c r="N445" s="133" t="s">
        <v>291</v>
      </c>
      <c r="O445" s="69" t="s">
        <v>242</v>
      </c>
      <c r="P445" s="131">
        <v>5</v>
      </c>
      <c r="Q445" s="134">
        <f t="shared" si="85"/>
        <v>15</v>
      </c>
      <c r="R445" s="428"/>
      <c r="S445" s="428"/>
      <c r="T445" s="133"/>
      <c r="U445" s="405"/>
      <c r="V445" s="135"/>
      <c r="W445" s="133"/>
      <c r="X445" s="405"/>
      <c r="Y445" s="405"/>
      <c r="Z445" s="135"/>
      <c r="AA445" s="136">
        <f t="shared" ref="AA445" si="89">X445*Y445*Z445</f>
        <v>0</v>
      </c>
      <c r="AB445" s="111"/>
      <c r="AC445" s="363"/>
      <c r="AD445" s="226">
        <f t="shared" si="79"/>
        <v>6810</v>
      </c>
    </row>
    <row r="446" spans="1:31" ht="204.75" outlineLevel="3" thickBot="1" x14ac:dyDescent="0.25">
      <c r="A446" s="243" t="s">
        <v>1201</v>
      </c>
      <c r="B446" s="491"/>
      <c r="C446" s="487"/>
      <c r="D446" s="491"/>
      <c r="E446" s="415" t="s">
        <v>330</v>
      </c>
      <c r="F446" s="430" t="s">
        <v>1019</v>
      </c>
      <c r="G446" s="417" t="s">
        <v>1183</v>
      </c>
      <c r="H446" s="127" t="s">
        <v>680</v>
      </c>
      <c r="I446" s="164">
        <v>3</v>
      </c>
      <c r="J446" s="163" t="s">
        <v>332</v>
      </c>
      <c r="K446" s="165" t="s">
        <v>1176</v>
      </c>
      <c r="L446" s="131">
        <v>1</v>
      </c>
      <c r="M446" s="132">
        <f t="shared" si="84"/>
        <v>3</v>
      </c>
      <c r="N446" s="133" t="s">
        <v>291</v>
      </c>
      <c r="O446" s="69" t="s">
        <v>242</v>
      </c>
      <c r="P446" s="131">
        <v>5</v>
      </c>
      <c r="Q446" s="134">
        <f t="shared" si="85"/>
        <v>15</v>
      </c>
      <c r="R446" s="428"/>
      <c r="S446" s="428"/>
      <c r="T446" s="133"/>
      <c r="U446" s="405"/>
      <c r="V446" s="135"/>
      <c r="W446" s="133"/>
      <c r="X446" s="405"/>
      <c r="Y446" s="405"/>
      <c r="Z446" s="135"/>
      <c r="AA446" s="136"/>
      <c r="AB446" s="111"/>
      <c r="AC446" s="363"/>
      <c r="AD446" s="226">
        <f t="shared" si="79"/>
        <v>6811</v>
      </c>
    </row>
    <row r="447" spans="1:31" ht="204.75" outlineLevel="3" thickBot="1" x14ac:dyDescent="0.25">
      <c r="A447" s="199" t="s">
        <v>1202</v>
      </c>
      <c r="B447" s="477" t="s">
        <v>334</v>
      </c>
      <c r="C447" s="479" t="s">
        <v>335</v>
      </c>
      <c r="D447" s="477" t="s">
        <v>336</v>
      </c>
      <c r="E447" s="405" t="s">
        <v>288</v>
      </c>
      <c r="F447" s="405" t="s">
        <v>337</v>
      </c>
      <c r="G447" s="405" t="s">
        <v>1183</v>
      </c>
      <c r="H447" s="420" t="s">
        <v>238</v>
      </c>
      <c r="I447" s="164">
        <v>1</v>
      </c>
      <c r="J447" s="163" t="s">
        <v>775</v>
      </c>
      <c r="K447" s="165" t="s">
        <v>1176</v>
      </c>
      <c r="L447" s="138">
        <v>2</v>
      </c>
      <c r="M447" s="132">
        <f t="shared" si="84"/>
        <v>2</v>
      </c>
      <c r="N447" s="133" t="s">
        <v>291</v>
      </c>
      <c r="O447" s="69" t="s">
        <v>242</v>
      </c>
      <c r="P447" s="131">
        <v>5</v>
      </c>
      <c r="Q447" s="134">
        <f t="shared" si="85"/>
        <v>10</v>
      </c>
      <c r="R447" s="428"/>
      <c r="S447" s="428"/>
      <c r="T447" s="133"/>
      <c r="U447" s="405"/>
      <c r="V447" s="135"/>
      <c r="W447" s="133"/>
      <c r="X447" s="405"/>
      <c r="Y447" s="405"/>
      <c r="Z447" s="135"/>
      <c r="AA447" s="136">
        <f t="shared" si="81"/>
        <v>0</v>
      </c>
      <c r="AB447" s="111"/>
      <c r="AC447" s="363"/>
      <c r="AD447" s="226">
        <f t="shared" si="79"/>
        <v>6812</v>
      </c>
    </row>
    <row r="448" spans="1:31" ht="204.75" outlineLevel="3" thickBot="1" x14ac:dyDescent="0.25">
      <c r="A448" s="199" t="s">
        <v>1203</v>
      </c>
      <c r="B448" s="580"/>
      <c r="C448" s="480"/>
      <c r="D448" s="478"/>
      <c r="E448" s="405" t="s">
        <v>340</v>
      </c>
      <c r="F448" s="405" t="s">
        <v>1204</v>
      </c>
      <c r="G448" s="417" t="s">
        <v>1183</v>
      </c>
      <c r="H448" s="127" t="s">
        <v>680</v>
      </c>
      <c r="I448" s="164">
        <v>3</v>
      </c>
      <c r="J448" s="163" t="s">
        <v>257</v>
      </c>
      <c r="K448" s="165" t="s">
        <v>1176</v>
      </c>
      <c r="L448" s="138">
        <v>2</v>
      </c>
      <c r="M448" s="132">
        <f t="shared" si="84"/>
        <v>6</v>
      </c>
      <c r="N448" s="133" t="s">
        <v>291</v>
      </c>
      <c r="O448" s="69" t="s">
        <v>242</v>
      </c>
      <c r="P448" s="131">
        <v>5</v>
      </c>
      <c r="Q448" s="134">
        <f t="shared" si="85"/>
        <v>30</v>
      </c>
      <c r="R448" s="428"/>
      <c r="S448" s="428"/>
      <c r="T448" s="133"/>
      <c r="U448" s="405"/>
      <c r="V448" s="135"/>
      <c r="W448" s="133"/>
      <c r="X448" s="405"/>
      <c r="Y448" s="405"/>
      <c r="Z448" s="135"/>
      <c r="AA448" s="136"/>
      <c r="AB448" s="111"/>
      <c r="AC448" s="363"/>
      <c r="AD448" s="226">
        <f t="shared" si="79"/>
        <v>6813</v>
      </c>
    </row>
    <row r="449" spans="1:31" ht="204.75" outlineLevel="3" thickBot="1" x14ac:dyDescent="0.25">
      <c r="A449" s="199" t="s">
        <v>1205</v>
      </c>
      <c r="B449" s="477" t="s">
        <v>343</v>
      </c>
      <c r="C449" s="479" t="s">
        <v>344</v>
      </c>
      <c r="D449" s="477" t="s">
        <v>345</v>
      </c>
      <c r="E449" s="405" t="s">
        <v>275</v>
      </c>
      <c r="F449" s="405" t="s">
        <v>315</v>
      </c>
      <c r="G449" s="405" t="s">
        <v>1183</v>
      </c>
      <c r="H449" s="420" t="s">
        <v>238</v>
      </c>
      <c r="I449" s="164">
        <v>1</v>
      </c>
      <c r="J449" s="163" t="s">
        <v>277</v>
      </c>
      <c r="K449" s="165" t="s">
        <v>1176</v>
      </c>
      <c r="L449" s="138">
        <v>1</v>
      </c>
      <c r="M449" s="166">
        <f t="shared" si="84"/>
        <v>1</v>
      </c>
      <c r="N449" s="133" t="s">
        <v>241</v>
      </c>
      <c r="O449" s="420" t="s">
        <v>242</v>
      </c>
      <c r="P449" s="138">
        <v>5</v>
      </c>
      <c r="Q449" s="225">
        <f t="shared" si="85"/>
        <v>5</v>
      </c>
      <c r="R449" s="428"/>
      <c r="S449" s="428"/>
      <c r="T449" s="133"/>
      <c r="U449" s="405"/>
      <c r="V449" s="135"/>
      <c r="W449" s="133"/>
      <c r="X449" s="405"/>
      <c r="Y449" s="405"/>
      <c r="Z449" s="135"/>
      <c r="AA449" s="136"/>
      <c r="AB449" s="111"/>
      <c r="AC449" s="226"/>
      <c r="AD449" s="226">
        <f t="shared" si="79"/>
        <v>12393</v>
      </c>
    </row>
    <row r="450" spans="1:31" ht="204.75" outlineLevel="3" thickBot="1" x14ac:dyDescent="0.25">
      <c r="A450" s="199" t="s">
        <v>1206</v>
      </c>
      <c r="B450" s="478"/>
      <c r="C450" s="480"/>
      <c r="D450" s="478"/>
      <c r="E450" s="405" t="s">
        <v>279</v>
      </c>
      <c r="F450" s="405" t="s">
        <v>347</v>
      </c>
      <c r="G450" s="405" t="s">
        <v>1183</v>
      </c>
      <c r="H450" s="420" t="s">
        <v>680</v>
      </c>
      <c r="I450" s="164">
        <v>3</v>
      </c>
      <c r="J450" s="163" t="s">
        <v>281</v>
      </c>
      <c r="K450" s="165" t="s">
        <v>1176</v>
      </c>
      <c r="L450" s="138">
        <v>1</v>
      </c>
      <c r="M450" s="166">
        <f t="shared" si="84"/>
        <v>3</v>
      </c>
      <c r="N450" s="133" t="s">
        <v>283</v>
      </c>
      <c r="O450" s="420" t="s">
        <v>242</v>
      </c>
      <c r="P450" s="138">
        <v>5</v>
      </c>
      <c r="Q450" s="225">
        <f t="shared" si="85"/>
        <v>15</v>
      </c>
      <c r="R450" s="428"/>
      <c r="S450" s="428"/>
      <c r="T450" s="133"/>
      <c r="U450" s="405"/>
      <c r="V450" s="135"/>
      <c r="W450" s="133"/>
      <c r="X450" s="405"/>
      <c r="Y450" s="405"/>
      <c r="Z450" s="135"/>
      <c r="AA450" s="136"/>
      <c r="AB450" s="111"/>
      <c r="AC450" s="226"/>
      <c r="AD450" s="226">
        <f t="shared" si="79"/>
        <v>12394</v>
      </c>
    </row>
    <row r="451" spans="1:31" ht="204.75" outlineLevel="3" thickBot="1" x14ac:dyDescent="0.25">
      <c r="A451" s="201" t="s">
        <v>1207</v>
      </c>
      <c r="B451" s="506" t="s">
        <v>349</v>
      </c>
      <c r="C451" s="507" t="s">
        <v>350</v>
      </c>
      <c r="D451" s="506" t="s">
        <v>351</v>
      </c>
      <c r="E451" s="411" t="s">
        <v>352</v>
      </c>
      <c r="F451" s="411" t="s">
        <v>809</v>
      </c>
      <c r="G451" s="417" t="s">
        <v>1183</v>
      </c>
      <c r="H451" s="127" t="s">
        <v>680</v>
      </c>
      <c r="I451" s="164">
        <v>3</v>
      </c>
      <c r="J451" s="411" t="s">
        <v>302</v>
      </c>
      <c r="K451" s="165" t="s">
        <v>1208</v>
      </c>
      <c r="L451" s="411">
        <v>1</v>
      </c>
      <c r="M451" s="166">
        <f t="shared" si="84"/>
        <v>3</v>
      </c>
      <c r="N451" s="133" t="s">
        <v>303</v>
      </c>
      <c r="O451" s="420" t="s">
        <v>242</v>
      </c>
      <c r="P451" s="138">
        <v>5</v>
      </c>
      <c r="Q451" s="225">
        <f>P451*L451*I451</f>
        <v>15</v>
      </c>
      <c r="R451" s="428"/>
      <c r="S451" s="428"/>
      <c r="T451" s="133"/>
      <c r="U451" s="405"/>
      <c r="V451" s="135"/>
      <c r="W451" s="133"/>
      <c r="X451" s="405"/>
      <c r="Y451" s="405"/>
      <c r="Z451" s="135"/>
      <c r="AA451" s="136"/>
      <c r="AB451" s="111"/>
      <c r="AC451" s="363"/>
      <c r="AD451" s="226">
        <f t="shared" si="79"/>
        <v>10995</v>
      </c>
    </row>
    <row r="452" spans="1:31" ht="204.75" outlineLevel="3" thickBot="1" x14ac:dyDescent="0.25">
      <c r="A452" s="198" t="s">
        <v>1209</v>
      </c>
      <c r="B452" s="506"/>
      <c r="C452" s="507"/>
      <c r="D452" s="506"/>
      <c r="E452" s="411" t="s">
        <v>355</v>
      </c>
      <c r="F452" s="411" t="s">
        <v>356</v>
      </c>
      <c r="G452" s="417" t="s">
        <v>1183</v>
      </c>
      <c r="H452" s="127" t="s">
        <v>680</v>
      </c>
      <c r="I452" s="164">
        <v>3</v>
      </c>
      <c r="J452" s="411" t="s">
        <v>307</v>
      </c>
      <c r="K452" s="165" t="s">
        <v>1176</v>
      </c>
      <c r="L452" s="411">
        <v>1</v>
      </c>
      <c r="M452" s="166">
        <f t="shared" si="84"/>
        <v>3</v>
      </c>
      <c r="N452" s="133" t="s">
        <v>303</v>
      </c>
      <c r="O452" s="420" t="s">
        <v>242</v>
      </c>
      <c r="P452" s="138">
        <v>5</v>
      </c>
      <c r="Q452" s="225">
        <f>P452*L452*I452</f>
        <v>15</v>
      </c>
      <c r="R452" s="428"/>
      <c r="S452" s="428"/>
      <c r="T452" s="133"/>
      <c r="U452" s="405"/>
      <c r="V452" s="135"/>
      <c r="W452" s="133"/>
      <c r="X452" s="405"/>
      <c r="Y452" s="405"/>
      <c r="Z452" s="135"/>
      <c r="AA452" s="136"/>
      <c r="AB452" s="111"/>
      <c r="AC452" s="363"/>
      <c r="AD452" s="226">
        <f t="shared" si="79"/>
        <v>10996</v>
      </c>
    </row>
    <row r="453" spans="1:31" ht="204.75" outlineLevel="3" thickBot="1" x14ac:dyDescent="0.25">
      <c r="A453" s="199" t="s">
        <v>1210</v>
      </c>
      <c r="B453" s="477" t="s">
        <v>358</v>
      </c>
      <c r="C453" s="479" t="s">
        <v>359</v>
      </c>
      <c r="D453" s="477" t="s">
        <v>360</v>
      </c>
      <c r="E453" s="405" t="s">
        <v>288</v>
      </c>
      <c r="F453" s="405" t="s">
        <v>361</v>
      </c>
      <c r="G453" s="417" t="s">
        <v>1183</v>
      </c>
      <c r="H453" s="127" t="s">
        <v>680</v>
      </c>
      <c r="I453" s="164">
        <v>3</v>
      </c>
      <c r="J453" s="163" t="s">
        <v>775</v>
      </c>
      <c r="K453" s="165" t="s">
        <v>1176</v>
      </c>
      <c r="L453" s="138">
        <v>1</v>
      </c>
      <c r="M453" s="166">
        <f t="shared" si="84"/>
        <v>3</v>
      </c>
      <c r="N453" s="133" t="s">
        <v>291</v>
      </c>
      <c r="O453" s="69" t="s">
        <v>242</v>
      </c>
      <c r="P453" s="131">
        <v>5</v>
      </c>
      <c r="Q453" s="134">
        <f t="shared" si="85"/>
        <v>15</v>
      </c>
      <c r="R453" s="428"/>
      <c r="S453" s="428"/>
      <c r="T453" s="133"/>
      <c r="U453" s="405"/>
      <c r="V453" s="135"/>
      <c r="W453" s="133"/>
      <c r="X453" s="405"/>
      <c r="Y453" s="405"/>
      <c r="Z453" s="135"/>
      <c r="AA453" s="136"/>
      <c r="AB453" s="111"/>
      <c r="AC453" s="363"/>
      <c r="AD453" s="226">
        <f t="shared" si="79"/>
        <v>6814</v>
      </c>
    </row>
    <row r="454" spans="1:31" ht="204.75" outlineLevel="3" thickBot="1" x14ac:dyDescent="0.25">
      <c r="A454" s="199" t="s">
        <v>1211</v>
      </c>
      <c r="B454" s="478"/>
      <c r="C454" s="480"/>
      <c r="D454" s="478"/>
      <c r="E454" s="405" t="s">
        <v>340</v>
      </c>
      <c r="F454" s="405" t="s">
        <v>363</v>
      </c>
      <c r="G454" s="417" t="s">
        <v>1183</v>
      </c>
      <c r="H454" s="127" t="s">
        <v>680</v>
      </c>
      <c r="I454" s="164">
        <v>3</v>
      </c>
      <c r="J454" s="163" t="s">
        <v>257</v>
      </c>
      <c r="K454" s="165" t="s">
        <v>1176</v>
      </c>
      <c r="L454" s="138">
        <v>1</v>
      </c>
      <c r="M454" s="166">
        <f t="shared" si="84"/>
        <v>3</v>
      </c>
      <c r="N454" s="133" t="s">
        <v>291</v>
      </c>
      <c r="O454" s="69" t="s">
        <v>242</v>
      </c>
      <c r="P454" s="131">
        <v>5</v>
      </c>
      <c r="Q454" s="134">
        <f t="shared" si="85"/>
        <v>15</v>
      </c>
      <c r="R454" s="428"/>
      <c r="S454" s="428"/>
      <c r="T454" s="133"/>
      <c r="U454" s="405"/>
      <c r="V454" s="135"/>
      <c r="W454" s="133"/>
      <c r="X454" s="405"/>
      <c r="Y454" s="405"/>
      <c r="Z454" s="135"/>
      <c r="AA454" s="136"/>
      <c r="AB454" s="111"/>
      <c r="AC454" s="363"/>
      <c r="AD454" s="226">
        <f t="shared" ref="AD454:AD517" si="90">VALUE(RIGHT((IF(A454="",0,A454)),5))</f>
        <v>6815</v>
      </c>
    </row>
    <row r="455" spans="1:31" ht="204.75" outlineLevel="3" thickBot="1" x14ac:dyDescent="0.25">
      <c r="A455" s="199" t="s">
        <v>1212</v>
      </c>
      <c r="B455" s="477" t="s">
        <v>365</v>
      </c>
      <c r="C455" s="479" t="s">
        <v>366</v>
      </c>
      <c r="D455" s="477" t="s">
        <v>367</v>
      </c>
      <c r="E455" s="405" t="s">
        <v>288</v>
      </c>
      <c r="F455" s="405" t="s">
        <v>327</v>
      </c>
      <c r="G455" s="417" t="s">
        <v>1183</v>
      </c>
      <c r="H455" s="127" t="s">
        <v>680</v>
      </c>
      <c r="I455" s="164">
        <v>3</v>
      </c>
      <c r="J455" s="163" t="s">
        <v>775</v>
      </c>
      <c r="K455" s="165" t="s">
        <v>1176</v>
      </c>
      <c r="L455" s="138">
        <v>1</v>
      </c>
      <c r="M455" s="166">
        <f t="shared" si="84"/>
        <v>3</v>
      </c>
      <c r="N455" s="133" t="s">
        <v>291</v>
      </c>
      <c r="O455" s="69" t="s">
        <v>242</v>
      </c>
      <c r="P455" s="131">
        <v>5</v>
      </c>
      <c r="Q455" s="134">
        <f t="shared" si="85"/>
        <v>15</v>
      </c>
      <c r="R455" s="428"/>
      <c r="S455" s="428"/>
      <c r="T455" s="133"/>
      <c r="U455" s="405"/>
      <c r="V455" s="135"/>
      <c r="W455" s="133"/>
      <c r="X455" s="405"/>
      <c r="Y455" s="405"/>
      <c r="Z455" s="135"/>
      <c r="AA455" s="136"/>
      <c r="AB455" s="111"/>
      <c r="AC455" s="363"/>
      <c r="AD455" s="226">
        <f t="shared" si="90"/>
        <v>6816</v>
      </c>
    </row>
    <row r="456" spans="1:31" ht="204.75" outlineLevel="3" thickBot="1" x14ac:dyDescent="0.25">
      <c r="A456" s="199" t="s">
        <v>1213</v>
      </c>
      <c r="B456" s="478"/>
      <c r="C456" s="480"/>
      <c r="D456" s="478"/>
      <c r="E456" s="405" t="s">
        <v>340</v>
      </c>
      <c r="F456" s="405" t="s">
        <v>369</v>
      </c>
      <c r="G456" s="405" t="s">
        <v>1183</v>
      </c>
      <c r="H456" s="420" t="s">
        <v>680</v>
      </c>
      <c r="I456" s="164">
        <v>3</v>
      </c>
      <c r="J456" s="163" t="s">
        <v>257</v>
      </c>
      <c r="K456" s="165" t="s">
        <v>1176</v>
      </c>
      <c r="L456" s="138">
        <v>1</v>
      </c>
      <c r="M456" s="166">
        <f t="shared" si="84"/>
        <v>3</v>
      </c>
      <c r="N456" s="133" t="s">
        <v>291</v>
      </c>
      <c r="O456" s="69" t="s">
        <v>242</v>
      </c>
      <c r="P456" s="131">
        <v>5</v>
      </c>
      <c r="Q456" s="134">
        <f t="shared" si="85"/>
        <v>15</v>
      </c>
      <c r="R456" s="428"/>
      <c r="S456" s="428"/>
      <c r="T456" s="133"/>
      <c r="U456" s="405"/>
      <c r="V456" s="135"/>
      <c r="W456" s="133"/>
      <c r="X456" s="405"/>
      <c r="Y456" s="405"/>
      <c r="Z456" s="135"/>
      <c r="AA456" s="136"/>
      <c r="AB456" s="111"/>
      <c r="AC456" s="363"/>
      <c r="AD456" s="226">
        <f t="shared" si="90"/>
        <v>6817</v>
      </c>
    </row>
    <row r="457" spans="1:31" ht="204.75" outlineLevel="3" thickBot="1" x14ac:dyDescent="0.25">
      <c r="A457" s="199" t="s">
        <v>1214</v>
      </c>
      <c r="B457" s="477" t="s">
        <v>371</v>
      </c>
      <c r="C457" s="479" t="s">
        <v>372</v>
      </c>
      <c r="D457" s="477" t="s">
        <v>373</v>
      </c>
      <c r="E457" s="405" t="s">
        <v>288</v>
      </c>
      <c r="F457" s="405" t="s">
        <v>374</v>
      </c>
      <c r="G457" s="417" t="s">
        <v>1183</v>
      </c>
      <c r="H457" s="127" t="s">
        <v>680</v>
      </c>
      <c r="I457" s="164">
        <v>3</v>
      </c>
      <c r="J457" s="163" t="s">
        <v>1031</v>
      </c>
      <c r="K457" s="165" t="s">
        <v>1176</v>
      </c>
      <c r="L457" s="138">
        <v>2</v>
      </c>
      <c r="M457" s="166">
        <f t="shared" si="84"/>
        <v>6</v>
      </c>
      <c r="N457" s="133" t="s">
        <v>291</v>
      </c>
      <c r="O457" s="69" t="s">
        <v>242</v>
      </c>
      <c r="P457" s="131">
        <v>5</v>
      </c>
      <c r="Q457" s="134">
        <f t="shared" si="85"/>
        <v>30</v>
      </c>
      <c r="R457" s="428"/>
      <c r="S457" s="428"/>
      <c r="T457" s="133"/>
      <c r="U457" s="405"/>
      <c r="V457" s="135"/>
      <c r="W457" s="133"/>
      <c r="X457" s="405"/>
      <c r="Y457" s="405"/>
      <c r="Z457" s="135"/>
      <c r="AA457" s="136"/>
      <c r="AB457" s="111"/>
      <c r="AC457" s="363"/>
      <c r="AD457" s="226">
        <f t="shared" si="90"/>
        <v>6818</v>
      </c>
    </row>
    <row r="458" spans="1:31" ht="204.75" outlineLevel="3" thickBot="1" x14ac:dyDescent="0.25">
      <c r="A458" s="199" t="s">
        <v>1215</v>
      </c>
      <c r="B458" s="478"/>
      <c r="C458" s="480"/>
      <c r="D458" s="478"/>
      <c r="E458" s="405" t="s">
        <v>340</v>
      </c>
      <c r="F458" s="436" t="s">
        <v>376</v>
      </c>
      <c r="G458" s="417" t="s">
        <v>1183</v>
      </c>
      <c r="H458" s="127" t="s">
        <v>680</v>
      </c>
      <c r="I458" s="164">
        <v>3</v>
      </c>
      <c r="J458" s="163" t="s">
        <v>833</v>
      </c>
      <c r="K458" s="165" t="s">
        <v>1176</v>
      </c>
      <c r="L458" s="138">
        <v>2</v>
      </c>
      <c r="M458" s="166">
        <f t="shared" si="84"/>
        <v>6</v>
      </c>
      <c r="N458" s="133" t="s">
        <v>291</v>
      </c>
      <c r="O458" s="69" t="s">
        <v>242</v>
      </c>
      <c r="P458" s="131">
        <v>5</v>
      </c>
      <c r="Q458" s="134">
        <f t="shared" si="85"/>
        <v>30</v>
      </c>
      <c r="R458" s="428"/>
      <c r="S458" s="428"/>
      <c r="T458" s="133"/>
      <c r="U458" s="405"/>
      <c r="V458" s="135"/>
      <c r="W458" s="133"/>
      <c r="X458" s="405"/>
      <c r="Y458" s="405"/>
      <c r="Z458" s="135"/>
      <c r="AA458" s="136"/>
      <c r="AB458" s="111"/>
      <c r="AC458" s="363"/>
      <c r="AD458" s="226">
        <f t="shared" si="90"/>
        <v>6819</v>
      </c>
    </row>
    <row r="459" spans="1:31" ht="204.75" outlineLevel="3" thickBot="1" x14ac:dyDescent="0.25">
      <c r="A459" s="243" t="s">
        <v>1216</v>
      </c>
      <c r="B459" s="489" t="s">
        <v>378</v>
      </c>
      <c r="C459" s="486" t="s">
        <v>379</v>
      </c>
      <c r="D459" s="516" t="s">
        <v>380</v>
      </c>
      <c r="E459" s="417" t="s">
        <v>381</v>
      </c>
      <c r="F459" s="417" t="s">
        <v>327</v>
      </c>
      <c r="G459" s="417" t="s">
        <v>1183</v>
      </c>
      <c r="H459" s="127" t="s">
        <v>680</v>
      </c>
      <c r="I459" s="164">
        <v>3</v>
      </c>
      <c r="J459" s="163" t="s">
        <v>382</v>
      </c>
      <c r="K459" s="165" t="s">
        <v>1176</v>
      </c>
      <c r="L459" s="131">
        <v>1</v>
      </c>
      <c r="M459" s="132">
        <f t="shared" si="84"/>
        <v>3</v>
      </c>
      <c r="N459" s="133" t="s">
        <v>291</v>
      </c>
      <c r="O459" s="69" t="s">
        <v>242</v>
      </c>
      <c r="P459" s="131">
        <v>5</v>
      </c>
      <c r="Q459" s="134">
        <f t="shared" si="85"/>
        <v>15</v>
      </c>
      <c r="R459" s="428"/>
      <c r="S459" s="428"/>
      <c r="T459" s="133"/>
      <c r="U459" s="405"/>
      <c r="V459" s="135"/>
      <c r="W459" s="133"/>
      <c r="X459" s="405"/>
      <c r="Y459" s="405"/>
      <c r="Z459" s="135"/>
      <c r="AA459" s="136">
        <f t="shared" si="81"/>
        <v>0</v>
      </c>
      <c r="AB459" s="111"/>
      <c r="AC459" s="363"/>
      <c r="AD459" s="226">
        <f t="shared" si="90"/>
        <v>6820</v>
      </c>
    </row>
    <row r="460" spans="1:31" ht="204.75" outlineLevel="3" thickBot="1" x14ac:dyDescent="0.25">
      <c r="A460" s="199" t="s">
        <v>1217</v>
      </c>
      <c r="B460" s="478"/>
      <c r="C460" s="480"/>
      <c r="D460" s="478"/>
      <c r="E460" s="417" t="s">
        <v>384</v>
      </c>
      <c r="F460" s="405" t="s">
        <v>385</v>
      </c>
      <c r="G460" s="417" t="s">
        <v>1183</v>
      </c>
      <c r="H460" s="127" t="s">
        <v>680</v>
      </c>
      <c r="I460" s="164">
        <v>3</v>
      </c>
      <c r="J460" s="163" t="s">
        <v>386</v>
      </c>
      <c r="K460" s="165" t="s">
        <v>1176</v>
      </c>
      <c r="L460" s="131">
        <v>1</v>
      </c>
      <c r="M460" s="132">
        <f t="shared" si="84"/>
        <v>3</v>
      </c>
      <c r="N460" s="133" t="s">
        <v>291</v>
      </c>
      <c r="O460" s="69" t="s">
        <v>242</v>
      </c>
      <c r="P460" s="131">
        <v>5</v>
      </c>
      <c r="Q460" s="134">
        <f t="shared" si="85"/>
        <v>15</v>
      </c>
      <c r="R460" s="428"/>
      <c r="S460" s="428"/>
      <c r="T460" s="133"/>
      <c r="U460" s="405"/>
      <c r="V460" s="135"/>
      <c r="W460" s="133"/>
      <c r="X460" s="405"/>
      <c r="Y460" s="405"/>
      <c r="Z460" s="135"/>
      <c r="AA460" s="136"/>
      <c r="AB460" s="111"/>
      <c r="AC460" s="363"/>
      <c r="AD460" s="226">
        <f t="shared" si="90"/>
        <v>6821</v>
      </c>
    </row>
    <row r="461" spans="1:31" ht="204.75" outlineLevel="3" thickBot="1" x14ac:dyDescent="0.25">
      <c r="A461" s="252" t="s">
        <v>1218</v>
      </c>
      <c r="B461" s="489" t="s">
        <v>388</v>
      </c>
      <c r="C461" s="486" t="s">
        <v>389</v>
      </c>
      <c r="D461" s="489" t="s">
        <v>390</v>
      </c>
      <c r="E461" s="415" t="s">
        <v>300</v>
      </c>
      <c r="F461" s="415" t="s">
        <v>391</v>
      </c>
      <c r="G461" s="417" t="s">
        <v>1183</v>
      </c>
      <c r="H461" s="127" t="s">
        <v>680</v>
      </c>
      <c r="I461" s="164">
        <v>3</v>
      </c>
      <c r="J461" s="163" t="s">
        <v>302</v>
      </c>
      <c r="K461" s="165" t="s">
        <v>1176</v>
      </c>
      <c r="L461" s="131">
        <v>1</v>
      </c>
      <c r="M461" s="132">
        <f t="shared" si="84"/>
        <v>3</v>
      </c>
      <c r="N461" s="133" t="s">
        <v>291</v>
      </c>
      <c r="O461" s="69" t="s">
        <v>242</v>
      </c>
      <c r="P461" s="131">
        <v>5</v>
      </c>
      <c r="Q461" s="134">
        <f t="shared" si="85"/>
        <v>15</v>
      </c>
      <c r="R461" s="428"/>
      <c r="S461" s="428"/>
      <c r="T461" s="133"/>
      <c r="U461" s="405"/>
      <c r="V461" s="135"/>
      <c r="W461" s="133"/>
      <c r="X461" s="405"/>
      <c r="Y461" s="405"/>
      <c r="Z461" s="135"/>
      <c r="AA461" s="136"/>
      <c r="AB461" s="111"/>
      <c r="AC461" s="363"/>
      <c r="AD461" s="226">
        <f t="shared" si="90"/>
        <v>6822</v>
      </c>
    </row>
    <row r="462" spans="1:31" ht="217.5" outlineLevel="3" thickBot="1" x14ac:dyDescent="0.25">
      <c r="A462" s="243" t="s">
        <v>1219</v>
      </c>
      <c r="B462" s="491"/>
      <c r="C462" s="487"/>
      <c r="D462" s="491"/>
      <c r="E462" s="415" t="s">
        <v>393</v>
      </c>
      <c r="F462" s="430" t="s">
        <v>394</v>
      </c>
      <c r="G462" s="417" t="s">
        <v>1183</v>
      </c>
      <c r="H462" s="127" t="s">
        <v>680</v>
      </c>
      <c r="I462" s="164">
        <v>3</v>
      </c>
      <c r="J462" s="163" t="s">
        <v>307</v>
      </c>
      <c r="K462" s="165" t="s">
        <v>1176</v>
      </c>
      <c r="L462" s="131">
        <v>1</v>
      </c>
      <c r="M462" s="132">
        <f t="shared" si="84"/>
        <v>3</v>
      </c>
      <c r="N462" s="133" t="s">
        <v>291</v>
      </c>
      <c r="O462" s="69" t="s">
        <v>242</v>
      </c>
      <c r="P462" s="131">
        <v>5</v>
      </c>
      <c r="Q462" s="134">
        <f t="shared" si="85"/>
        <v>15</v>
      </c>
      <c r="R462" s="428"/>
      <c r="S462" s="428"/>
      <c r="T462" s="133"/>
      <c r="U462" s="405"/>
      <c r="V462" s="135"/>
      <c r="W462" s="133"/>
      <c r="X462" s="405"/>
      <c r="Y462" s="405"/>
      <c r="Z462" s="135"/>
      <c r="AA462" s="136"/>
      <c r="AB462" s="111"/>
      <c r="AC462" s="363"/>
      <c r="AD462" s="226">
        <f t="shared" si="90"/>
        <v>6823</v>
      </c>
    </row>
    <row r="463" spans="1:31" ht="204.75" outlineLevel="3" thickBot="1" x14ac:dyDescent="0.25">
      <c r="A463" s="200" t="s">
        <v>1220</v>
      </c>
      <c r="B463" s="485" t="s">
        <v>396</v>
      </c>
      <c r="C463" s="479"/>
      <c r="D463" s="485" t="s">
        <v>397</v>
      </c>
      <c r="E463" s="337" t="s">
        <v>398</v>
      </c>
      <c r="F463" s="337" t="s">
        <v>399</v>
      </c>
      <c r="G463" s="337" t="s">
        <v>1183</v>
      </c>
      <c r="H463" s="148" t="s">
        <v>238</v>
      </c>
      <c r="I463" s="149">
        <v>1</v>
      </c>
      <c r="J463" s="176" t="s">
        <v>438</v>
      </c>
      <c r="K463" s="178" t="s">
        <v>1176</v>
      </c>
      <c r="L463" s="152">
        <v>1</v>
      </c>
      <c r="M463" s="153">
        <f t="shared" si="84"/>
        <v>1</v>
      </c>
      <c r="N463" s="154" t="s">
        <v>291</v>
      </c>
      <c r="O463" s="155" t="s">
        <v>242</v>
      </c>
      <c r="P463" s="152">
        <v>5</v>
      </c>
      <c r="Q463" s="156">
        <f t="shared" si="85"/>
        <v>5</v>
      </c>
      <c r="R463" s="428"/>
      <c r="S463" s="428"/>
      <c r="T463" s="133"/>
      <c r="U463" s="405"/>
      <c r="V463" s="135"/>
      <c r="W463" s="133"/>
      <c r="X463" s="405"/>
      <c r="Y463" s="405"/>
      <c r="Z463" s="135"/>
      <c r="AA463" s="136"/>
      <c r="AB463" s="111"/>
      <c r="AD463" s="226">
        <f t="shared" si="90"/>
        <v>6824</v>
      </c>
      <c r="AE463" s="357"/>
    </row>
    <row r="464" spans="1:31" ht="204.75" outlineLevel="3" thickBot="1" x14ac:dyDescent="0.25">
      <c r="A464" s="200" t="s">
        <v>1221</v>
      </c>
      <c r="B464" s="515"/>
      <c r="C464" s="480"/>
      <c r="D464" s="515"/>
      <c r="E464" s="337" t="s">
        <v>340</v>
      </c>
      <c r="F464" s="337" t="s">
        <v>1040</v>
      </c>
      <c r="G464" s="337" t="s">
        <v>1183</v>
      </c>
      <c r="H464" s="148" t="s">
        <v>238</v>
      </c>
      <c r="I464" s="149">
        <v>1</v>
      </c>
      <c r="J464" s="176" t="s">
        <v>402</v>
      </c>
      <c r="K464" s="178" t="s">
        <v>1176</v>
      </c>
      <c r="L464" s="152">
        <v>1</v>
      </c>
      <c r="M464" s="153">
        <f t="shared" si="84"/>
        <v>1</v>
      </c>
      <c r="N464" s="154" t="s">
        <v>291</v>
      </c>
      <c r="O464" s="155" t="s">
        <v>242</v>
      </c>
      <c r="P464" s="152">
        <v>5</v>
      </c>
      <c r="Q464" s="156">
        <f t="shared" si="85"/>
        <v>5</v>
      </c>
      <c r="R464" s="428"/>
      <c r="S464" s="428"/>
      <c r="T464" s="133"/>
      <c r="U464" s="405"/>
      <c r="V464" s="135"/>
      <c r="W464" s="133"/>
      <c r="X464" s="405"/>
      <c r="Y464" s="405"/>
      <c r="Z464" s="135"/>
      <c r="AA464" s="136">
        <f>X464*Y464*Z464</f>
        <v>0</v>
      </c>
      <c r="AB464" s="111"/>
      <c r="AC464" s="363"/>
      <c r="AD464" s="226">
        <f t="shared" si="90"/>
        <v>6825</v>
      </c>
    </row>
    <row r="465" spans="1:31" s="144" customFormat="1" ht="204.75" outlineLevel="3" thickBot="1" x14ac:dyDescent="0.25">
      <c r="A465" s="199" t="s">
        <v>1222</v>
      </c>
      <c r="B465" s="477" t="s">
        <v>404</v>
      </c>
      <c r="C465" s="479" t="s">
        <v>405</v>
      </c>
      <c r="D465" s="477" t="s">
        <v>406</v>
      </c>
      <c r="E465" s="417" t="s">
        <v>407</v>
      </c>
      <c r="F465" s="417" t="s">
        <v>408</v>
      </c>
      <c r="G465" s="405" t="s">
        <v>1183</v>
      </c>
      <c r="H465" s="127" t="s">
        <v>238</v>
      </c>
      <c r="I465" s="128">
        <v>1</v>
      </c>
      <c r="J465" s="163" t="s">
        <v>277</v>
      </c>
      <c r="K465" s="165" t="s">
        <v>1176</v>
      </c>
      <c r="L465" s="131">
        <v>1</v>
      </c>
      <c r="M465" s="132">
        <f t="shared" si="84"/>
        <v>1</v>
      </c>
      <c r="N465" s="133" t="s">
        <v>291</v>
      </c>
      <c r="O465" s="69" t="s">
        <v>242</v>
      </c>
      <c r="P465" s="131">
        <v>5</v>
      </c>
      <c r="Q465" s="134">
        <f t="shared" si="85"/>
        <v>5</v>
      </c>
      <c r="R465" s="428"/>
      <c r="S465" s="428"/>
      <c r="T465" s="133"/>
      <c r="U465" s="405"/>
      <c r="V465" s="135"/>
      <c r="W465" s="133"/>
      <c r="X465" s="405"/>
      <c r="Y465" s="405"/>
      <c r="Z465" s="135"/>
      <c r="AA465" s="136">
        <f>X465*Y465*Z465</f>
        <v>0</v>
      </c>
      <c r="AB465" s="111"/>
      <c r="AC465" s="366"/>
      <c r="AD465" s="226">
        <f t="shared" si="90"/>
        <v>6826</v>
      </c>
      <c r="AE465" s="350"/>
    </row>
    <row r="466" spans="1:31" s="144" customFormat="1" ht="204.75" outlineLevel="3" thickBot="1" x14ac:dyDescent="0.25">
      <c r="A466" s="199" t="s">
        <v>1223</v>
      </c>
      <c r="B466" s="478"/>
      <c r="C466" s="480"/>
      <c r="D466" s="478"/>
      <c r="E466" s="417" t="s">
        <v>279</v>
      </c>
      <c r="F466" s="417" t="s">
        <v>411</v>
      </c>
      <c r="G466" s="417" t="s">
        <v>1183</v>
      </c>
      <c r="H466" s="127" t="s">
        <v>680</v>
      </c>
      <c r="I466" s="164">
        <v>3</v>
      </c>
      <c r="J466" s="163" t="s">
        <v>412</v>
      </c>
      <c r="K466" s="165" t="s">
        <v>1176</v>
      </c>
      <c r="L466" s="131">
        <v>1</v>
      </c>
      <c r="M466" s="132">
        <f t="shared" si="84"/>
        <v>3</v>
      </c>
      <c r="N466" s="133" t="s">
        <v>291</v>
      </c>
      <c r="O466" s="69" t="s">
        <v>242</v>
      </c>
      <c r="P466" s="131">
        <v>5</v>
      </c>
      <c r="Q466" s="134">
        <f t="shared" si="85"/>
        <v>15</v>
      </c>
      <c r="R466" s="428"/>
      <c r="S466" s="428"/>
      <c r="T466" s="133"/>
      <c r="U466" s="405"/>
      <c r="V466" s="135"/>
      <c r="W466" s="133"/>
      <c r="X466" s="405"/>
      <c r="Y466" s="405"/>
      <c r="Z466" s="135"/>
      <c r="AA466" s="136">
        <f>X466*Y466*Z466</f>
        <v>0</v>
      </c>
      <c r="AB466" s="111"/>
      <c r="AC466" s="366"/>
      <c r="AD466" s="226">
        <f t="shared" si="90"/>
        <v>6827</v>
      </c>
      <c r="AE466" s="350"/>
    </row>
    <row r="467" spans="1:31" ht="204.75" outlineLevel="3" thickBot="1" x14ac:dyDescent="0.25">
      <c r="A467" s="199" t="s">
        <v>1224</v>
      </c>
      <c r="B467" s="477" t="s">
        <v>414</v>
      </c>
      <c r="C467" s="479" t="s">
        <v>415</v>
      </c>
      <c r="D467" s="477" t="s">
        <v>416</v>
      </c>
      <c r="E467" s="417" t="s">
        <v>417</v>
      </c>
      <c r="F467" s="417" t="s">
        <v>418</v>
      </c>
      <c r="G467" s="417" t="s">
        <v>1183</v>
      </c>
      <c r="H467" s="127" t="s">
        <v>680</v>
      </c>
      <c r="I467" s="164">
        <v>3</v>
      </c>
      <c r="J467" s="163" t="s">
        <v>302</v>
      </c>
      <c r="K467" s="165" t="s">
        <v>1176</v>
      </c>
      <c r="L467" s="131">
        <v>1</v>
      </c>
      <c r="M467" s="132">
        <f t="shared" si="84"/>
        <v>3</v>
      </c>
      <c r="N467" s="133" t="s">
        <v>291</v>
      </c>
      <c r="O467" s="69" t="s">
        <v>242</v>
      </c>
      <c r="P467" s="131">
        <v>5</v>
      </c>
      <c r="Q467" s="134">
        <f t="shared" si="85"/>
        <v>15</v>
      </c>
      <c r="R467" s="428"/>
      <c r="S467" s="428"/>
      <c r="T467" s="133"/>
      <c r="U467" s="405"/>
      <c r="V467" s="135"/>
      <c r="W467" s="133"/>
      <c r="X467" s="405"/>
      <c r="Y467" s="405"/>
      <c r="Z467" s="135"/>
      <c r="AA467" s="136">
        <f t="shared" ref="AA467:AA485" si="91">X467*Y467*Z467</f>
        <v>0</v>
      </c>
      <c r="AB467" s="111"/>
      <c r="AC467" s="363"/>
      <c r="AD467" s="226">
        <f t="shared" si="90"/>
        <v>6828</v>
      </c>
    </row>
    <row r="468" spans="1:31" ht="230.25" outlineLevel="3" thickBot="1" x14ac:dyDescent="0.25">
      <c r="A468" s="199" t="s">
        <v>1225</v>
      </c>
      <c r="B468" s="478"/>
      <c r="C468" s="480"/>
      <c r="D468" s="478"/>
      <c r="E468" s="417" t="s">
        <v>393</v>
      </c>
      <c r="F468" s="417" t="s">
        <v>1226</v>
      </c>
      <c r="G468" s="417" t="s">
        <v>1183</v>
      </c>
      <c r="H468" s="127" t="s">
        <v>680</v>
      </c>
      <c r="I468" s="164">
        <v>3</v>
      </c>
      <c r="J468" s="163" t="s">
        <v>307</v>
      </c>
      <c r="K468" s="165" t="s">
        <v>1176</v>
      </c>
      <c r="L468" s="131">
        <v>1</v>
      </c>
      <c r="M468" s="132">
        <f t="shared" si="84"/>
        <v>3</v>
      </c>
      <c r="N468" s="133" t="s">
        <v>291</v>
      </c>
      <c r="O468" s="69" t="s">
        <v>242</v>
      </c>
      <c r="P468" s="131">
        <v>5</v>
      </c>
      <c r="Q468" s="134">
        <f t="shared" si="85"/>
        <v>15</v>
      </c>
      <c r="R468" s="428"/>
      <c r="S468" s="428"/>
      <c r="T468" s="133"/>
      <c r="U468" s="405"/>
      <c r="V468" s="135"/>
      <c r="W468" s="133"/>
      <c r="X468" s="405"/>
      <c r="Y468" s="405"/>
      <c r="Z468" s="135"/>
      <c r="AA468" s="136"/>
      <c r="AB468" s="111"/>
      <c r="AC468" s="363"/>
      <c r="AD468" s="226">
        <f t="shared" si="90"/>
        <v>6829</v>
      </c>
    </row>
    <row r="469" spans="1:31" ht="204.75" outlineLevel="3" thickBot="1" x14ac:dyDescent="0.25">
      <c r="A469" s="243" t="s">
        <v>1227</v>
      </c>
      <c r="B469" s="489" t="s">
        <v>422</v>
      </c>
      <c r="C469" s="523" t="s">
        <v>423</v>
      </c>
      <c r="D469" s="516" t="s">
        <v>424</v>
      </c>
      <c r="E469" s="415" t="s">
        <v>425</v>
      </c>
      <c r="F469" s="417" t="s">
        <v>418</v>
      </c>
      <c r="G469" s="417" t="s">
        <v>1183</v>
      </c>
      <c r="H469" s="127" t="s">
        <v>680</v>
      </c>
      <c r="I469" s="164">
        <v>3</v>
      </c>
      <c r="J469" s="163" t="s">
        <v>1031</v>
      </c>
      <c r="K469" s="165" t="s">
        <v>1176</v>
      </c>
      <c r="L469" s="138">
        <v>2</v>
      </c>
      <c r="M469" s="132">
        <f t="shared" si="84"/>
        <v>6</v>
      </c>
      <c r="N469" s="133" t="s">
        <v>291</v>
      </c>
      <c r="O469" s="69" t="s">
        <v>242</v>
      </c>
      <c r="P469" s="131">
        <v>5</v>
      </c>
      <c r="Q469" s="134">
        <f t="shared" si="85"/>
        <v>30</v>
      </c>
      <c r="R469" s="428"/>
      <c r="S469" s="428"/>
      <c r="T469" s="133"/>
      <c r="U469" s="405"/>
      <c r="V469" s="135"/>
      <c r="W469" s="133"/>
      <c r="X469" s="405"/>
      <c r="Y469" s="405"/>
      <c r="Z469" s="135"/>
      <c r="AA469" s="136">
        <f t="shared" si="91"/>
        <v>0</v>
      </c>
      <c r="AB469" s="111"/>
      <c r="AC469" s="363"/>
      <c r="AD469" s="226">
        <f t="shared" si="90"/>
        <v>6830</v>
      </c>
    </row>
    <row r="470" spans="1:31" ht="230.25" outlineLevel="3" thickBot="1" x14ac:dyDescent="0.25">
      <c r="A470" s="243" t="s">
        <v>1228</v>
      </c>
      <c r="B470" s="491"/>
      <c r="C470" s="524"/>
      <c r="D470" s="491"/>
      <c r="E470" s="415" t="s">
        <v>340</v>
      </c>
      <c r="F470" s="430" t="s">
        <v>427</v>
      </c>
      <c r="G470" s="417" t="s">
        <v>1183</v>
      </c>
      <c r="H470" s="127" t="s">
        <v>680</v>
      </c>
      <c r="I470" s="164">
        <v>3</v>
      </c>
      <c r="J470" s="163" t="s">
        <v>833</v>
      </c>
      <c r="K470" s="165" t="s">
        <v>1176</v>
      </c>
      <c r="L470" s="138">
        <v>2</v>
      </c>
      <c r="M470" s="132">
        <f t="shared" si="84"/>
        <v>6</v>
      </c>
      <c r="N470" s="133" t="s">
        <v>291</v>
      </c>
      <c r="O470" s="69" t="s">
        <v>242</v>
      </c>
      <c r="P470" s="131">
        <v>5</v>
      </c>
      <c r="Q470" s="134">
        <f t="shared" si="85"/>
        <v>30</v>
      </c>
      <c r="R470" s="428"/>
      <c r="S470" s="428"/>
      <c r="T470" s="133"/>
      <c r="U470" s="405"/>
      <c r="V470" s="135"/>
      <c r="W470" s="133"/>
      <c r="X470" s="405"/>
      <c r="Y470" s="405"/>
      <c r="Z470" s="135"/>
      <c r="AA470" s="136"/>
      <c r="AB470" s="111"/>
      <c r="AC470" s="363"/>
      <c r="AD470" s="226">
        <f t="shared" si="90"/>
        <v>6831</v>
      </c>
    </row>
    <row r="471" spans="1:31" ht="204.75" outlineLevel="3" thickBot="1" x14ac:dyDescent="0.25">
      <c r="A471" s="199" t="s">
        <v>1229</v>
      </c>
      <c r="B471" s="477" t="s">
        <v>430</v>
      </c>
      <c r="C471" s="479" t="s">
        <v>431</v>
      </c>
      <c r="D471" s="477" t="s">
        <v>432</v>
      </c>
      <c r="E471" s="405" t="s">
        <v>352</v>
      </c>
      <c r="F471" s="405" t="s">
        <v>418</v>
      </c>
      <c r="G471" s="417" t="s">
        <v>1183</v>
      </c>
      <c r="H471" s="127" t="s">
        <v>680</v>
      </c>
      <c r="I471" s="164">
        <v>3</v>
      </c>
      <c r="J471" s="163" t="s">
        <v>302</v>
      </c>
      <c r="K471" s="165" t="s">
        <v>1176</v>
      </c>
      <c r="L471" s="138">
        <v>1</v>
      </c>
      <c r="M471" s="166">
        <f t="shared" si="84"/>
        <v>3</v>
      </c>
      <c r="N471" s="133" t="s">
        <v>291</v>
      </c>
      <c r="O471" s="69" t="s">
        <v>242</v>
      </c>
      <c r="P471" s="131">
        <v>5</v>
      </c>
      <c r="Q471" s="134">
        <f t="shared" si="85"/>
        <v>15</v>
      </c>
      <c r="R471" s="428"/>
      <c r="S471" s="428"/>
      <c r="T471" s="133"/>
      <c r="U471" s="405"/>
      <c r="V471" s="135"/>
      <c r="W471" s="133"/>
      <c r="X471" s="405"/>
      <c r="Y471" s="405"/>
      <c r="Z471" s="135"/>
      <c r="AA471" s="136">
        <f t="shared" si="91"/>
        <v>0</v>
      </c>
      <c r="AB471" s="111"/>
      <c r="AC471" s="363"/>
      <c r="AD471" s="226">
        <f t="shared" si="90"/>
        <v>6832</v>
      </c>
    </row>
    <row r="472" spans="1:31" ht="204.75" outlineLevel="3" thickBot="1" x14ac:dyDescent="0.25">
      <c r="A472" s="199" t="s">
        <v>1230</v>
      </c>
      <c r="B472" s="478"/>
      <c r="C472" s="480"/>
      <c r="D472" s="478"/>
      <c r="E472" s="405" t="s">
        <v>355</v>
      </c>
      <c r="F472" s="405" t="s">
        <v>418</v>
      </c>
      <c r="G472" s="417" t="s">
        <v>1183</v>
      </c>
      <c r="H472" s="127" t="s">
        <v>680</v>
      </c>
      <c r="I472" s="164">
        <v>3</v>
      </c>
      <c r="J472" s="163" t="s">
        <v>307</v>
      </c>
      <c r="K472" s="165" t="s">
        <v>1176</v>
      </c>
      <c r="L472" s="138">
        <v>1</v>
      </c>
      <c r="M472" s="166">
        <f t="shared" si="84"/>
        <v>3</v>
      </c>
      <c r="N472" s="133" t="s">
        <v>291</v>
      </c>
      <c r="O472" s="69" t="s">
        <v>242</v>
      </c>
      <c r="P472" s="131">
        <v>5</v>
      </c>
      <c r="Q472" s="134">
        <f t="shared" si="85"/>
        <v>15</v>
      </c>
      <c r="R472" s="428"/>
      <c r="S472" s="428"/>
      <c r="T472" s="133"/>
      <c r="U472" s="405"/>
      <c r="V472" s="135"/>
      <c r="W472" s="133"/>
      <c r="X472" s="405"/>
      <c r="Y472" s="405"/>
      <c r="Z472" s="135"/>
      <c r="AA472" s="136"/>
      <c r="AB472" s="111"/>
      <c r="AC472" s="363"/>
      <c r="AD472" s="226">
        <f t="shared" si="90"/>
        <v>6833</v>
      </c>
    </row>
    <row r="473" spans="1:31" ht="204.75" outlineLevel="3" thickBot="1" x14ac:dyDescent="0.25">
      <c r="A473" s="200" t="s">
        <v>1231</v>
      </c>
      <c r="B473" s="485" t="s">
        <v>436</v>
      </c>
      <c r="C473" s="566" t="s">
        <v>423</v>
      </c>
      <c r="D473" s="477" t="s">
        <v>424</v>
      </c>
      <c r="E473" s="414" t="s">
        <v>437</v>
      </c>
      <c r="F473" s="414" t="s">
        <v>418</v>
      </c>
      <c r="G473" s="337" t="s">
        <v>1183</v>
      </c>
      <c r="H473" s="336" t="s">
        <v>238</v>
      </c>
      <c r="I473" s="177">
        <v>2</v>
      </c>
      <c r="J473" s="176" t="s">
        <v>438</v>
      </c>
      <c r="K473" s="178" t="s">
        <v>1176</v>
      </c>
      <c r="L473" s="179">
        <v>1</v>
      </c>
      <c r="M473" s="180">
        <f t="shared" si="84"/>
        <v>2</v>
      </c>
      <c r="N473" s="154" t="s">
        <v>291</v>
      </c>
      <c r="O473" s="155" t="s">
        <v>242</v>
      </c>
      <c r="P473" s="152">
        <v>5</v>
      </c>
      <c r="Q473" s="156">
        <f t="shared" si="85"/>
        <v>10</v>
      </c>
      <c r="R473" s="428"/>
      <c r="S473" s="428"/>
      <c r="T473" s="133"/>
      <c r="U473" s="405"/>
      <c r="V473" s="135"/>
      <c r="W473" s="133"/>
      <c r="X473" s="405"/>
      <c r="Y473" s="405"/>
      <c r="Z473" s="135"/>
      <c r="AA473" s="136">
        <f t="shared" si="91"/>
        <v>0</v>
      </c>
      <c r="AB473" s="111"/>
      <c r="AC473" s="363"/>
      <c r="AD473" s="226">
        <f t="shared" si="90"/>
        <v>6834</v>
      </c>
    </row>
    <row r="474" spans="1:31" ht="204.75" outlineLevel="3" thickBot="1" x14ac:dyDescent="0.25">
      <c r="A474" s="200" t="s">
        <v>1232</v>
      </c>
      <c r="B474" s="515"/>
      <c r="C474" s="567"/>
      <c r="D474" s="478"/>
      <c r="E474" s="414" t="s">
        <v>440</v>
      </c>
      <c r="F474" s="414" t="s">
        <v>441</v>
      </c>
      <c r="G474" s="414" t="s">
        <v>1183</v>
      </c>
      <c r="H474" s="336" t="s">
        <v>238</v>
      </c>
      <c r="I474" s="177">
        <v>1</v>
      </c>
      <c r="J474" s="176" t="s">
        <v>402</v>
      </c>
      <c r="K474" s="178" t="s">
        <v>1176</v>
      </c>
      <c r="L474" s="179">
        <v>1</v>
      </c>
      <c r="M474" s="180">
        <f t="shared" si="84"/>
        <v>1</v>
      </c>
      <c r="N474" s="154" t="s">
        <v>291</v>
      </c>
      <c r="O474" s="155" t="s">
        <v>242</v>
      </c>
      <c r="P474" s="152">
        <v>5</v>
      </c>
      <c r="Q474" s="156">
        <f t="shared" si="85"/>
        <v>5</v>
      </c>
      <c r="R474" s="428"/>
      <c r="S474" s="428"/>
      <c r="T474" s="133"/>
      <c r="U474" s="405"/>
      <c r="V474" s="135"/>
      <c r="W474" s="133"/>
      <c r="X474" s="405"/>
      <c r="Y474" s="405"/>
      <c r="Z474" s="135"/>
      <c r="AA474" s="136"/>
      <c r="AB474" s="111"/>
      <c r="AC474" s="363"/>
      <c r="AD474" s="226">
        <f t="shared" si="90"/>
        <v>6835</v>
      </c>
    </row>
    <row r="475" spans="1:31" ht="204.75" outlineLevel="3" thickBot="1" x14ac:dyDescent="0.25">
      <c r="A475" s="199" t="s">
        <v>1233</v>
      </c>
      <c r="B475" s="477" t="s">
        <v>443</v>
      </c>
      <c r="C475" s="479" t="s">
        <v>444</v>
      </c>
      <c r="D475" s="477" t="s">
        <v>445</v>
      </c>
      <c r="E475" s="405" t="s">
        <v>437</v>
      </c>
      <c r="F475" s="405" t="s">
        <v>446</v>
      </c>
      <c r="G475" s="417" t="s">
        <v>1183</v>
      </c>
      <c r="H475" s="127" t="s">
        <v>680</v>
      </c>
      <c r="I475" s="164">
        <v>3</v>
      </c>
      <c r="J475" s="163" t="s">
        <v>438</v>
      </c>
      <c r="K475" s="165" t="s">
        <v>1176</v>
      </c>
      <c r="L475" s="138">
        <v>1</v>
      </c>
      <c r="M475" s="166">
        <f t="shared" si="84"/>
        <v>3</v>
      </c>
      <c r="N475" s="133" t="s">
        <v>291</v>
      </c>
      <c r="O475" s="69" t="s">
        <v>242</v>
      </c>
      <c r="P475" s="131">
        <v>5</v>
      </c>
      <c r="Q475" s="134">
        <f t="shared" si="85"/>
        <v>15</v>
      </c>
      <c r="R475" s="428"/>
      <c r="S475" s="428"/>
      <c r="T475" s="133"/>
      <c r="U475" s="405"/>
      <c r="V475" s="135"/>
      <c r="W475" s="133"/>
      <c r="X475" s="405"/>
      <c r="Y475" s="405"/>
      <c r="Z475" s="135"/>
      <c r="AA475" s="136"/>
      <c r="AB475" s="111"/>
      <c r="AC475" s="428"/>
      <c r="AD475" s="226">
        <f t="shared" si="90"/>
        <v>6836</v>
      </c>
    </row>
    <row r="476" spans="1:31" ht="204.75" outlineLevel="3" thickBot="1" x14ac:dyDescent="0.25">
      <c r="A476" s="199" t="s">
        <v>1234</v>
      </c>
      <c r="B476" s="478"/>
      <c r="C476" s="480"/>
      <c r="D476" s="478"/>
      <c r="E476" s="405" t="s">
        <v>440</v>
      </c>
      <c r="F476" s="405" t="s">
        <v>448</v>
      </c>
      <c r="G476" s="417" t="s">
        <v>1183</v>
      </c>
      <c r="H476" s="127" t="s">
        <v>680</v>
      </c>
      <c r="I476" s="164">
        <v>3</v>
      </c>
      <c r="J476" s="163" t="s">
        <v>402</v>
      </c>
      <c r="K476" s="165" t="s">
        <v>1176</v>
      </c>
      <c r="L476" s="138">
        <v>1</v>
      </c>
      <c r="M476" s="166">
        <f t="shared" si="84"/>
        <v>3</v>
      </c>
      <c r="N476" s="133" t="s">
        <v>291</v>
      </c>
      <c r="O476" s="69" t="s">
        <v>242</v>
      </c>
      <c r="P476" s="131">
        <v>5</v>
      </c>
      <c r="Q476" s="134">
        <f t="shared" si="85"/>
        <v>15</v>
      </c>
      <c r="R476" s="428"/>
      <c r="S476" s="428"/>
      <c r="T476" s="133"/>
      <c r="U476" s="405"/>
      <c r="V476" s="135"/>
      <c r="W476" s="133"/>
      <c r="X476" s="405"/>
      <c r="Y476" s="405"/>
      <c r="Z476" s="135"/>
      <c r="AA476" s="136"/>
      <c r="AB476" s="111"/>
      <c r="AC476" s="363"/>
      <c r="AD476" s="226">
        <f t="shared" si="90"/>
        <v>6837</v>
      </c>
    </row>
    <row r="477" spans="1:31" ht="204.75" outlineLevel="3" thickBot="1" x14ac:dyDescent="0.25">
      <c r="A477" s="199" t="s">
        <v>1235</v>
      </c>
      <c r="B477" s="477" t="s">
        <v>450</v>
      </c>
      <c r="C477" s="479" t="s">
        <v>451</v>
      </c>
      <c r="D477" s="477" t="s">
        <v>452</v>
      </c>
      <c r="E477" s="405" t="s">
        <v>437</v>
      </c>
      <c r="F477" s="405" t="s">
        <v>441</v>
      </c>
      <c r="G477" s="405" t="s">
        <v>1183</v>
      </c>
      <c r="H477" s="420" t="s">
        <v>238</v>
      </c>
      <c r="I477" s="164">
        <v>1</v>
      </c>
      <c r="J477" s="163" t="s">
        <v>438</v>
      </c>
      <c r="K477" s="165" t="s">
        <v>1176</v>
      </c>
      <c r="L477" s="138">
        <v>2</v>
      </c>
      <c r="M477" s="166">
        <f t="shared" si="84"/>
        <v>2</v>
      </c>
      <c r="N477" s="133" t="s">
        <v>291</v>
      </c>
      <c r="O477" s="69" t="s">
        <v>242</v>
      </c>
      <c r="P477" s="131">
        <v>5</v>
      </c>
      <c r="Q477" s="134">
        <f t="shared" si="85"/>
        <v>10</v>
      </c>
      <c r="R477" s="428"/>
      <c r="S477" s="428"/>
      <c r="T477" s="133"/>
      <c r="U477" s="405"/>
      <c r="V477" s="135"/>
      <c r="W477" s="133"/>
      <c r="X477" s="405"/>
      <c r="Y477" s="405"/>
      <c r="Z477" s="135"/>
      <c r="AA477" s="136">
        <f t="shared" si="91"/>
        <v>0</v>
      </c>
      <c r="AB477" s="111"/>
      <c r="AC477" s="363"/>
      <c r="AD477" s="226">
        <f t="shared" si="90"/>
        <v>6838</v>
      </c>
    </row>
    <row r="478" spans="1:31" ht="204.75" outlineLevel="3" thickBot="1" x14ac:dyDescent="0.25">
      <c r="A478" s="199" t="s">
        <v>1236</v>
      </c>
      <c r="B478" s="478"/>
      <c r="C478" s="480"/>
      <c r="D478" s="478"/>
      <c r="E478" s="405" t="s">
        <v>440</v>
      </c>
      <c r="F478" s="405" t="s">
        <v>454</v>
      </c>
      <c r="G478" s="417" t="s">
        <v>1183</v>
      </c>
      <c r="H478" s="127" t="s">
        <v>680</v>
      </c>
      <c r="I478" s="164">
        <v>3</v>
      </c>
      <c r="J478" s="163" t="s">
        <v>402</v>
      </c>
      <c r="K478" s="165" t="s">
        <v>1176</v>
      </c>
      <c r="L478" s="138">
        <v>2</v>
      </c>
      <c r="M478" s="166">
        <f t="shared" si="84"/>
        <v>6</v>
      </c>
      <c r="N478" s="133" t="s">
        <v>291</v>
      </c>
      <c r="O478" s="69" t="s">
        <v>242</v>
      </c>
      <c r="P478" s="131">
        <v>5</v>
      </c>
      <c r="Q478" s="134">
        <f t="shared" si="85"/>
        <v>30</v>
      </c>
      <c r="R478" s="428"/>
      <c r="S478" s="428"/>
      <c r="T478" s="133"/>
      <c r="U478" s="405"/>
      <c r="V478" s="135"/>
      <c r="W478" s="133"/>
      <c r="X478" s="405"/>
      <c r="Y478" s="405"/>
      <c r="Z478" s="135"/>
      <c r="AA478" s="136"/>
      <c r="AB478" s="111"/>
      <c r="AC478" s="363"/>
      <c r="AD478" s="226">
        <f t="shared" si="90"/>
        <v>6839</v>
      </c>
    </row>
    <row r="479" spans="1:31" ht="204.75" outlineLevel="3" thickBot="1" x14ac:dyDescent="0.25">
      <c r="A479" s="199" t="s">
        <v>1237</v>
      </c>
      <c r="B479" s="477" t="s">
        <v>456</v>
      </c>
      <c r="C479" s="479" t="s">
        <v>457</v>
      </c>
      <c r="D479" s="477" t="s">
        <v>458</v>
      </c>
      <c r="E479" s="417" t="s">
        <v>459</v>
      </c>
      <c r="F479" s="417" t="s">
        <v>418</v>
      </c>
      <c r="G479" s="417" t="s">
        <v>1183</v>
      </c>
      <c r="H479" s="127" t="s">
        <v>680</v>
      </c>
      <c r="I479" s="164">
        <v>3</v>
      </c>
      <c r="J479" s="163" t="s">
        <v>328</v>
      </c>
      <c r="K479" s="165" t="s">
        <v>1176</v>
      </c>
      <c r="L479" s="131">
        <v>1</v>
      </c>
      <c r="M479" s="132">
        <f t="shared" si="84"/>
        <v>3</v>
      </c>
      <c r="N479" s="133" t="s">
        <v>291</v>
      </c>
      <c r="O479" s="69" t="s">
        <v>242</v>
      </c>
      <c r="P479" s="131">
        <v>5</v>
      </c>
      <c r="Q479" s="134">
        <f t="shared" si="85"/>
        <v>15</v>
      </c>
      <c r="R479" s="428"/>
      <c r="S479" s="428"/>
      <c r="T479" s="133"/>
      <c r="U479" s="405"/>
      <c r="V479" s="135"/>
      <c r="W479" s="133"/>
      <c r="X479" s="405"/>
      <c r="Y479" s="405"/>
      <c r="Z479" s="135"/>
      <c r="AA479" s="136">
        <f t="shared" si="91"/>
        <v>0</v>
      </c>
      <c r="AB479" s="111"/>
      <c r="AC479" s="363"/>
      <c r="AD479" s="226">
        <f t="shared" si="90"/>
        <v>6840</v>
      </c>
    </row>
    <row r="480" spans="1:31" ht="204.75" outlineLevel="3" thickBot="1" x14ac:dyDescent="0.25">
      <c r="A480" s="199" t="s">
        <v>1238</v>
      </c>
      <c r="B480" s="478"/>
      <c r="C480" s="480"/>
      <c r="D480" s="478"/>
      <c r="E480" s="405" t="s">
        <v>330</v>
      </c>
      <c r="F480" s="405" t="s">
        <v>1239</v>
      </c>
      <c r="G480" s="405" t="s">
        <v>1183</v>
      </c>
      <c r="H480" s="420" t="s">
        <v>680</v>
      </c>
      <c r="I480" s="164">
        <v>3</v>
      </c>
      <c r="J480" s="163" t="s">
        <v>332</v>
      </c>
      <c r="K480" s="165" t="s">
        <v>1176</v>
      </c>
      <c r="L480" s="138">
        <v>1</v>
      </c>
      <c r="M480" s="132">
        <f t="shared" si="84"/>
        <v>3</v>
      </c>
      <c r="N480" s="133" t="s">
        <v>291</v>
      </c>
      <c r="O480" s="69" t="s">
        <v>242</v>
      </c>
      <c r="P480" s="131">
        <v>5</v>
      </c>
      <c r="Q480" s="134">
        <f t="shared" si="85"/>
        <v>15</v>
      </c>
      <c r="R480" s="428"/>
      <c r="S480" s="428"/>
      <c r="T480" s="133"/>
      <c r="U480" s="405"/>
      <c r="V480" s="135"/>
      <c r="W480" s="133"/>
      <c r="X480" s="405"/>
      <c r="Y480" s="405"/>
      <c r="Z480" s="135"/>
      <c r="AA480" s="136"/>
      <c r="AB480" s="111"/>
      <c r="AC480" s="363"/>
      <c r="AD480" s="226">
        <f t="shared" si="90"/>
        <v>6841</v>
      </c>
    </row>
    <row r="481" spans="1:31" ht="204.75" outlineLevel="3" thickBot="1" x14ac:dyDescent="0.25">
      <c r="A481" s="252" t="s">
        <v>1240</v>
      </c>
      <c r="B481" s="489" t="s">
        <v>463</v>
      </c>
      <c r="C481" s="486" t="s">
        <v>464</v>
      </c>
      <c r="D481" s="477" t="s">
        <v>465</v>
      </c>
      <c r="E481" s="415" t="s">
        <v>425</v>
      </c>
      <c r="F481" s="415" t="s">
        <v>337</v>
      </c>
      <c r="G481" s="405" t="s">
        <v>1183</v>
      </c>
      <c r="H481" s="127" t="s">
        <v>238</v>
      </c>
      <c r="I481" s="128">
        <v>1</v>
      </c>
      <c r="J481" s="129" t="s">
        <v>675</v>
      </c>
      <c r="K481" s="165" t="s">
        <v>1176</v>
      </c>
      <c r="L481" s="131">
        <v>2</v>
      </c>
      <c r="M481" s="132">
        <f t="shared" si="84"/>
        <v>2</v>
      </c>
      <c r="N481" s="133" t="s">
        <v>291</v>
      </c>
      <c r="O481" s="69" t="s">
        <v>242</v>
      </c>
      <c r="P481" s="131">
        <v>5</v>
      </c>
      <c r="Q481" s="134">
        <f t="shared" si="85"/>
        <v>10</v>
      </c>
      <c r="R481" s="428"/>
      <c r="S481" s="428"/>
      <c r="T481" s="133"/>
      <c r="U481" s="405"/>
      <c r="V481" s="135"/>
      <c r="W481" s="133"/>
      <c r="X481" s="405"/>
      <c r="Y481" s="405"/>
      <c r="Z481" s="135"/>
      <c r="AA481" s="136"/>
      <c r="AB481" s="111"/>
      <c r="AC481" s="363"/>
      <c r="AD481" s="226">
        <f t="shared" si="90"/>
        <v>6842</v>
      </c>
    </row>
    <row r="482" spans="1:31" ht="204.75" outlineLevel="3" thickBot="1" x14ac:dyDescent="0.25">
      <c r="A482" s="243" t="s">
        <v>1241</v>
      </c>
      <c r="B482" s="490"/>
      <c r="C482" s="578"/>
      <c r="D482" s="517"/>
      <c r="E482" s="415" t="s">
        <v>340</v>
      </c>
      <c r="F482" s="430" t="s">
        <v>468</v>
      </c>
      <c r="G482" s="417" t="s">
        <v>1183</v>
      </c>
      <c r="H482" s="127" t="s">
        <v>680</v>
      </c>
      <c r="I482" s="164">
        <v>3</v>
      </c>
      <c r="J482" s="129" t="s">
        <v>784</v>
      </c>
      <c r="K482" s="165" t="s">
        <v>1176</v>
      </c>
      <c r="L482" s="131">
        <v>2</v>
      </c>
      <c r="M482" s="132">
        <f t="shared" si="84"/>
        <v>6</v>
      </c>
      <c r="N482" s="133" t="s">
        <v>291</v>
      </c>
      <c r="O482" s="69" t="s">
        <v>242</v>
      </c>
      <c r="P482" s="131">
        <v>5</v>
      </c>
      <c r="Q482" s="134">
        <f t="shared" si="85"/>
        <v>30</v>
      </c>
      <c r="R482" s="428"/>
      <c r="S482" s="428"/>
      <c r="T482" s="133"/>
      <c r="U482" s="405"/>
      <c r="V482" s="135"/>
      <c r="W482" s="133"/>
      <c r="X482" s="405"/>
      <c r="Y482" s="405"/>
      <c r="Z482" s="135"/>
      <c r="AA482" s="136"/>
      <c r="AB482" s="111"/>
      <c r="AC482" s="363"/>
      <c r="AD482" s="226">
        <f t="shared" si="90"/>
        <v>6843</v>
      </c>
    </row>
    <row r="483" spans="1:31" ht="21" outlineLevel="2" thickBot="1" x14ac:dyDescent="0.25">
      <c r="A483" s="199"/>
      <c r="B483" s="117" t="s">
        <v>469</v>
      </c>
      <c r="C483" s="190"/>
      <c r="D483" s="118"/>
      <c r="E483" s="118"/>
      <c r="F483" s="118"/>
      <c r="G483" s="118"/>
      <c r="H483" s="118"/>
      <c r="I483" s="118"/>
      <c r="J483" s="118"/>
      <c r="K483" s="118"/>
      <c r="L483" s="118"/>
      <c r="M483" s="118"/>
      <c r="N483" s="118"/>
      <c r="O483" s="118"/>
      <c r="P483" s="118"/>
      <c r="Q483" s="118"/>
      <c r="R483" s="118"/>
      <c r="S483" s="118"/>
      <c r="T483" s="118"/>
      <c r="U483" s="118"/>
      <c r="V483" s="118"/>
      <c r="W483" s="118"/>
      <c r="X483" s="118"/>
      <c r="Y483" s="118"/>
      <c r="Z483" s="118"/>
      <c r="AA483" s="118"/>
      <c r="AB483" s="119"/>
      <c r="AC483" s="363"/>
      <c r="AD483" s="226">
        <f t="shared" si="90"/>
        <v>0</v>
      </c>
    </row>
    <row r="484" spans="1:31" ht="204.75" outlineLevel="3" thickBot="1" x14ac:dyDescent="0.25">
      <c r="A484" s="199" t="s">
        <v>1242</v>
      </c>
      <c r="B484" s="503" t="s">
        <v>471</v>
      </c>
      <c r="C484" s="505" t="s">
        <v>472</v>
      </c>
      <c r="D484" s="503" t="s">
        <v>473</v>
      </c>
      <c r="E484" s="417" t="s">
        <v>474</v>
      </c>
      <c r="F484" s="417" t="s">
        <v>1243</v>
      </c>
      <c r="G484" s="417" t="s">
        <v>1183</v>
      </c>
      <c r="H484" s="127" t="s">
        <v>680</v>
      </c>
      <c r="I484" s="164">
        <v>3</v>
      </c>
      <c r="J484" s="163" t="s">
        <v>476</v>
      </c>
      <c r="K484" s="165" t="s">
        <v>1176</v>
      </c>
      <c r="L484" s="131">
        <v>1</v>
      </c>
      <c r="M484" s="132">
        <f t="shared" ref="M484:M512" si="92">I484*L484</f>
        <v>3</v>
      </c>
      <c r="N484" s="133" t="s">
        <v>291</v>
      </c>
      <c r="O484" s="69" t="s">
        <v>242</v>
      </c>
      <c r="P484" s="131">
        <v>5</v>
      </c>
      <c r="Q484" s="134">
        <f t="shared" ref="Q484:Q512" si="93">I484*L484*P484</f>
        <v>15</v>
      </c>
      <c r="R484" s="428"/>
      <c r="S484" s="428"/>
      <c r="T484" s="133"/>
      <c r="U484" s="405"/>
      <c r="V484" s="135"/>
      <c r="W484" s="133"/>
      <c r="X484" s="405"/>
      <c r="Y484" s="405"/>
      <c r="Z484" s="135"/>
      <c r="AA484" s="136"/>
      <c r="AB484" s="111"/>
      <c r="AC484" s="363"/>
      <c r="AD484" s="226">
        <f t="shared" si="90"/>
        <v>6844</v>
      </c>
    </row>
    <row r="485" spans="1:31" ht="204.75" outlineLevel="3" thickBot="1" x14ac:dyDescent="0.25">
      <c r="A485" s="199" t="s">
        <v>1244</v>
      </c>
      <c r="B485" s="483"/>
      <c r="C485" s="484"/>
      <c r="D485" s="483"/>
      <c r="E485" s="417" t="s">
        <v>478</v>
      </c>
      <c r="F485" s="417" t="s">
        <v>1063</v>
      </c>
      <c r="G485" s="417" t="s">
        <v>1183</v>
      </c>
      <c r="H485" s="127" t="s">
        <v>680</v>
      </c>
      <c r="I485" s="164">
        <v>3</v>
      </c>
      <c r="J485" s="163" t="s">
        <v>476</v>
      </c>
      <c r="K485" s="165" t="s">
        <v>1176</v>
      </c>
      <c r="L485" s="131">
        <v>1</v>
      </c>
      <c r="M485" s="132">
        <f t="shared" si="92"/>
        <v>3</v>
      </c>
      <c r="N485" s="133" t="s">
        <v>291</v>
      </c>
      <c r="O485" s="69" t="s">
        <v>242</v>
      </c>
      <c r="P485" s="131">
        <v>5</v>
      </c>
      <c r="Q485" s="134">
        <f t="shared" si="93"/>
        <v>15</v>
      </c>
      <c r="R485" s="428"/>
      <c r="S485" s="428"/>
      <c r="T485" s="133"/>
      <c r="U485" s="405"/>
      <c r="V485" s="135"/>
      <c r="W485" s="133"/>
      <c r="X485" s="405"/>
      <c r="Y485" s="405"/>
      <c r="Z485" s="135"/>
      <c r="AA485" s="136">
        <f t="shared" si="91"/>
        <v>0</v>
      </c>
      <c r="AB485" s="111"/>
      <c r="AC485" s="363"/>
      <c r="AD485" s="226">
        <f t="shared" si="90"/>
        <v>6845</v>
      </c>
    </row>
    <row r="486" spans="1:31" ht="204.75" outlineLevel="3" thickBot="1" x14ac:dyDescent="0.25">
      <c r="A486" s="199" t="s">
        <v>1245</v>
      </c>
      <c r="B486" s="478"/>
      <c r="C486" s="480"/>
      <c r="D486" s="478"/>
      <c r="E486" s="417" t="s">
        <v>852</v>
      </c>
      <c r="F486" s="417" t="s">
        <v>482</v>
      </c>
      <c r="G486" s="405" t="s">
        <v>1183</v>
      </c>
      <c r="H486" s="127" t="s">
        <v>238</v>
      </c>
      <c r="I486" s="128">
        <v>1</v>
      </c>
      <c r="J486" s="163" t="s">
        <v>483</v>
      </c>
      <c r="K486" s="165" t="s">
        <v>1176</v>
      </c>
      <c r="L486" s="131">
        <v>2</v>
      </c>
      <c r="M486" s="132">
        <f t="shared" si="92"/>
        <v>2</v>
      </c>
      <c r="N486" s="133" t="s">
        <v>291</v>
      </c>
      <c r="O486" s="69" t="s">
        <v>242</v>
      </c>
      <c r="P486" s="131">
        <v>5</v>
      </c>
      <c r="Q486" s="134">
        <f t="shared" si="93"/>
        <v>10</v>
      </c>
      <c r="R486" s="428"/>
      <c r="S486" s="428"/>
      <c r="T486" s="133"/>
      <c r="U486" s="405"/>
      <c r="V486" s="135"/>
      <c r="W486" s="133"/>
      <c r="X486" s="405"/>
      <c r="Y486" s="405"/>
      <c r="Z486" s="135"/>
      <c r="AA486" s="136"/>
      <c r="AB486" s="111"/>
      <c r="AC486" s="363"/>
      <c r="AD486" s="226">
        <f t="shared" si="90"/>
        <v>6846</v>
      </c>
    </row>
    <row r="487" spans="1:31" ht="204.75" outlineLevel="3" thickBot="1" x14ac:dyDescent="0.25">
      <c r="A487" s="199" t="s">
        <v>1246</v>
      </c>
      <c r="B487" s="477" t="s">
        <v>485</v>
      </c>
      <c r="C487" s="479" t="s">
        <v>486</v>
      </c>
      <c r="D487" s="477" t="s">
        <v>487</v>
      </c>
      <c r="E487" s="417" t="s">
        <v>300</v>
      </c>
      <c r="F487" s="417" t="s">
        <v>496</v>
      </c>
      <c r="G487" s="417" t="s">
        <v>1183</v>
      </c>
      <c r="H487" s="127" t="s">
        <v>680</v>
      </c>
      <c r="I487" s="164">
        <v>3</v>
      </c>
      <c r="J487" s="163" t="s">
        <v>302</v>
      </c>
      <c r="K487" s="165" t="s">
        <v>1176</v>
      </c>
      <c r="L487" s="131">
        <v>1</v>
      </c>
      <c r="M487" s="132">
        <f t="shared" si="92"/>
        <v>3</v>
      </c>
      <c r="N487" s="133" t="s">
        <v>291</v>
      </c>
      <c r="O487" s="69" t="s">
        <v>242</v>
      </c>
      <c r="P487" s="131">
        <v>5</v>
      </c>
      <c r="Q487" s="134">
        <f t="shared" si="93"/>
        <v>15</v>
      </c>
      <c r="R487" s="428"/>
      <c r="S487" s="428"/>
      <c r="T487" s="133"/>
      <c r="U487" s="405"/>
      <c r="V487" s="135"/>
      <c r="W487" s="133"/>
      <c r="X487" s="405"/>
      <c r="Y487" s="405"/>
      <c r="Z487" s="135"/>
      <c r="AA487" s="136"/>
      <c r="AB487" s="111"/>
      <c r="AD487" s="226">
        <f t="shared" si="90"/>
        <v>6847</v>
      </c>
      <c r="AE487" s="357"/>
    </row>
    <row r="488" spans="1:31" ht="204.75" outlineLevel="3" thickBot="1" x14ac:dyDescent="0.25">
      <c r="A488" s="199" t="s">
        <v>1247</v>
      </c>
      <c r="B488" s="478"/>
      <c r="C488" s="480"/>
      <c r="D488" s="478"/>
      <c r="E488" s="417" t="s">
        <v>393</v>
      </c>
      <c r="F488" s="417" t="s">
        <v>1067</v>
      </c>
      <c r="G488" s="417" t="s">
        <v>1183</v>
      </c>
      <c r="H488" s="127" t="s">
        <v>680</v>
      </c>
      <c r="I488" s="164">
        <v>3</v>
      </c>
      <c r="J488" s="163" t="s">
        <v>307</v>
      </c>
      <c r="K488" s="165" t="s">
        <v>1176</v>
      </c>
      <c r="L488" s="131">
        <v>1</v>
      </c>
      <c r="M488" s="132">
        <f t="shared" si="92"/>
        <v>3</v>
      </c>
      <c r="N488" s="133" t="s">
        <v>291</v>
      </c>
      <c r="O488" s="69" t="s">
        <v>242</v>
      </c>
      <c r="P488" s="131">
        <v>5</v>
      </c>
      <c r="Q488" s="134">
        <f t="shared" si="93"/>
        <v>15</v>
      </c>
      <c r="R488" s="428"/>
      <c r="S488" s="428"/>
      <c r="T488" s="133"/>
      <c r="U488" s="405"/>
      <c r="V488" s="135"/>
      <c r="W488" s="133"/>
      <c r="X488" s="405"/>
      <c r="Y488" s="405"/>
      <c r="Z488" s="135"/>
      <c r="AA488" s="136">
        <f>X488*Y488*Z488</f>
        <v>0</v>
      </c>
      <c r="AB488" s="111"/>
      <c r="AC488" s="363"/>
      <c r="AD488" s="226">
        <f t="shared" si="90"/>
        <v>6848</v>
      </c>
    </row>
    <row r="489" spans="1:31" ht="204.75" outlineLevel="3" thickBot="1" x14ac:dyDescent="0.25">
      <c r="A489" s="243" t="s">
        <v>1248</v>
      </c>
      <c r="B489" s="489" t="s">
        <v>492</v>
      </c>
      <c r="C489" s="486" t="s">
        <v>493</v>
      </c>
      <c r="D489" s="489" t="s">
        <v>487</v>
      </c>
      <c r="E489" s="415" t="s">
        <v>300</v>
      </c>
      <c r="F489" s="430" t="s">
        <v>1067</v>
      </c>
      <c r="G489" s="417" t="s">
        <v>1183</v>
      </c>
      <c r="H489" s="127" t="s">
        <v>680</v>
      </c>
      <c r="I489" s="164">
        <v>3</v>
      </c>
      <c r="J489" s="163" t="s">
        <v>302</v>
      </c>
      <c r="K489" s="165" t="s">
        <v>1176</v>
      </c>
      <c r="L489" s="131">
        <v>1</v>
      </c>
      <c r="M489" s="132">
        <f t="shared" si="92"/>
        <v>3</v>
      </c>
      <c r="N489" s="133" t="s">
        <v>291</v>
      </c>
      <c r="O489" s="69" t="s">
        <v>242</v>
      </c>
      <c r="P489" s="131">
        <v>5</v>
      </c>
      <c r="Q489" s="134">
        <f t="shared" si="93"/>
        <v>15</v>
      </c>
      <c r="R489" s="428"/>
      <c r="S489" s="428"/>
      <c r="T489" s="133"/>
      <c r="U489" s="405"/>
      <c r="V489" s="135"/>
      <c r="W489" s="133"/>
      <c r="X489" s="405"/>
      <c r="Y489" s="405"/>
      <c r="Z489" s="135"/>
      <c r="AA489" s="136"/>
      <c r="AB489" s="111"/>
      <c r="AC489" s="363"/>
      <c r="AD489" s="226">
        <f t="shared" si="90"/>
        <v>6849</v>
      </c>
    </row>
    <row r="490" spans="1:31" ht="204.75" outlineLevel="3" thickBot="1" x14ac:dyDescent="0.25">
      <c r="A490" s="243" t="s">
        <v>1249</v>
      </c>
      <c r="B490" s="491"/>
      <c r="C490" s="487"/>
      <c r="D490" s="491"/>
      <c r="E490" s="415" t="s">
        <v>393</v>
      </c>
      <c r="F490" s="430" t="s">
        <v>496</v>
      </c>
      <c r="G490" s="417" t="s">
        <v>1183</v>
      </c>
      <c r="H490" s="127" t="s">
        <v>680</v>
      </c>
      <c r="I490" s="164">
        <v>3</v>
      </c>
      <c r="J490" s="163" t="s">
        <v>307</v>
      </c>
      <c r="K490" s="165" t="s">
        <v>1176</v>
      </c>
      <c r="L490" s="131">
        <v>1</v>
      </c>
      <c r="M490" s="132">
        <f t="shared" si="92"/>
        <v>3</v>
      </c>
      <c r="N490" s="133" t="s">
        <v>291</v>
      </c>
      <c r="O490" s="69" t="s">
        <v>242</v>
      </c>
      <c r="P490" s="131">
        <v>5</v>
      </c>
      <c r="Q490" s="134">
        <f t="shared" si="93"/>
        <v>15</v>
      </c>
      <c r="R490" s="428"/>
      <c r="S490" s="428"/>
      <c r="T490" s="133"/>
      <c r="U490" s="405"/>
      <c r="V490" s="135"/>
      <c r="W490" s="133"/>
      <c r="X490" s="405"/>
      <c r="Y490" s="405"/>
      <c r="Z490" s="135"/>
      <c r="AA490" s="136"/>
      <c r="AB490" s="111"/>
      <c r="AC490" s="363"/>
      <c r="AD490" s="226">
        <f t="shared" si="90"/>
        <v>6850</v>
      </c>
    </row>
    <row r="491" spans="1:31" ht="217.5" outlineLevel="3" thickBot="1" x14ac:dyDescent="0.25">
      <c r="A491" s="199" t="s">
        <v>1250</v>
      </c>
      <c r="B491" s="477" t="s">
        <v>498</v>
      </c>
      <c r="C491" s="479" t="s">
        <v>499</v>
      </c>
      <c r="D491" s="477" t="s">
        <v>500</v>
      </c>
      <c r="E491" s="417" t="s">
        <v>300</v>
      </c>
      <c r="F491" s="417" t="s">
        <v>1071</v>
      </c>
      <c r="G491" s="417" t="s">
        <v>1183</v>
      </c>
      <c r="H491" s="127" t="s">
        <v>680</v>
      </c>
      <c r="I491" s="164">
        <v>3</v>
      </c>
      <c r="J491" s="163" t="s">
        <v>302</v>
      </c>
      <c r="K491" s="165" t="s">
        <v>1176</v>
      </c>
      <c r="L491" s="131">
        <v>1</v>
      </c>
      <c r="M491" s="132">
        <f t="shared" si="92"/>
        <v>3</v>
      </c>
      <c r="N491" s="133" t="s">
        <v>291</v>
      </c>
      <c r="O491" s="69" t="s">
        <v>242</v>
      </c>
      <c r="P491" s="131">
        <v>5</v>
      </c>
      <c r="Q491" s="134">
        <f t="shared" si="93"/>
        <v>15</v>
      </c>
      <c r="R491" s="428"/>
      <c r="S491" s="428"/>
      <c r="T491" s="133"/>
      <c r="U491" s="405"/>
      <c r="V491" s="135"/>
      <c r="W491" s="133"/>
      <c r="X491" s="405"/>
      <c r="Y491" s="405"/>
      <c r="Z491" s="135"/>
      <c r="AA491" s="136"/>
      <c r="AB491" s="111"/>
      <c r="AC491" s="363"/>
      <c r="AD491" s="226">
        <f t="shared" si="90"/>
        <v>6851</v>
      </c>
    </row>
    <row r="492" spans="1:31" ht="217.5" outlineLevel="3" thickBot="1" x14ac:dyDescent="0.25">
      <c r="A492" s="199" t="s">
        <v>1251</v>
      </c>
      <c r="B492" s="478"/>
      <c r="C492" s="480"/>
      <c r="D492" s="478"/>
      <c r="E492" s="417" t="s">
        <v>393</v>
      </c>
      <c r="F492" s="417" t="s">
        <v>1071</v>
      </c>
      <c r="G492" s="417" t="s">
        <v>1183</v>
      </c>
      <c r="H492" s="127" t="s">
        <v>680</v>
      </c>
      <c r="I492" s="164">
        <v>3</v>
      </c>
      <c r="J492" s="163" t="s">
        <v>307</v>
      </c>
      <c r="K492" s="165" t="s">
        <v>1176</v>
      </c>
      <c r="L492" s="131">
        <v>1</v>
      </c>
      <c r="M492" s="132">
        <f t="shared" si="92"/>
        <v>3</v>
      </c>
      <c r="N492" s="133" t="s">
        <v>291</v>
      </c>
      <c r="O492" s="69" t="s">
        <v>242</v>
      </c>
      <c r="P492" s="131">
        <v>5</v>
      </c>
      <c r="Q492" s="134">
        <f t="shared" si="93"/>
        <v>15</v>
      </c>
      <c r="R492" s="428"/>
      <c r="S492" s="428"/>
      <c r="T492" s="133"/>
      <c r="U492" s="405"/>
      <c r="V492" s="135"/>
      <c r="W492" s="133"/>
      <c r="X492" s="405"/>
      <c r="Y492" s="405"/>
      <c r="Z492" s="135"/>
      <c r="AA492" s="136"/>
      <c r="AB492" s="111"/>
      <c r="AC492" s="363"/>
      <c r="AD492" s="226">
        <f t="shared" si="90"/>
        <v>6852</v>
      </c>
    </row>
    <row r="493" spans="1:31" ht="230.25" outlineLevel="3" thickBot="1" x14ac:dyDescent="0.25">
      <c r="A493" s="199" t="s">
        <v>1252</v>
      </c>
      <c r="B493" s="477" t="s">
        <v>506</v>
      </c>
      <c r="C493" s="479" t="s">
        <v>507</v>
      </c>
      <c r="D493" s="477" t="s">
        <v>508</v>
      </c>
      <c r="E493" s="417" t="s">
        <v>300</v>
      </c>
      <c r="F493" s="417" t="s">
        <v>1253</v>
      </c>
      <c r="G493" s="417" t="s">
        <v>1183</v>
      </c>
      <c r="H493" s="127" t="s">
        <v>680</v>
      </c>
      <c r="I493" s="164">
        <v>3</v>
      </c>
      <c r="J493" s="163" t="s">
        <v>302</v>
      </c>
      <c r="K493" s="165" t="s">
        <v>1176</v>
      </c>
      <c r="L493" s="131">
        <v>1</v>
      </c>
      <c r="M493" s="132">
        <f t="shared" si="92"/>
        <v>3</v>
      </c>
      <c r="N493" s="133" t="s">
        <v>291</v>
      </c>
      <c r="O493" s="69" t="s">
        <v>242</v>
      </c>
      <c r="P493" s="131">
        <v>5</v>
      </c>
      <c r="Q493" s="134">
        <f t="shared" si="93"/>
        <v>15</v>
      </c>
      <c r="R493" s="428"/>
      <c r="S493" s="428"/>
      <c r="T493" s="133"/>
      <c r="U493" s="405"/>
      <c r="V493" s="135"/>
      <c r="W493" s="133"/>
      <c r="X493" s="405"/>
      <c r="Y493" s="405"/>
      <c r="Z493" s="135"/>
      <c r="AA493" s="136"/>
      <c r="AB493" s="111"/>
      <c r="AC493" s="363"/>
      <c r="AD493" s="226">
        <f t="shared" si="90"/>
        <v>6853</v>
      </c>
    </row>
    <row r="494" spans="1:31" ht="230.25" outlineLevel="3" thickBot="1" x14ac:dyDescent="0.25">
      <c r="A494" s="199" t="s">
        <v>1254</v>
      </c>
      <c r="B494" s="478"/>
      <c r="C494" s="480"/>
      <c r="D494" s="478"/>
      <c r="E494" s="417" t="s">
        <v>393</v>
      </c>
      <c r="F494" s="417" t="s">
        <v>1253</v>
      </c>
      <c r="G494" s="417" t="s">
        <v>1183</v>
      </c>
      <c r="H494" s="127" t="s">
        <v>680</v>
      </c>
      <c r="I494" s="164">
        <v>3</v>
      </c>
      <c r="J494" s="163" t="s">
        <v>307</v>
      </c>
      <c r="K494" s="165" t="s">
        <v>1176</v>
      </c>
      <c r="L494" s="131">
        <v>1</v>
      </c>
      <c r="M494" s="132">
        <f t="shared" si="92"/>
        <v>3</v>
      </c>
      <c r="N494" s="133" t="s">
        <v>291</v>
      </c>
      <c r="O494" s="69" t="s">
        <v>242</v>
      </c>
      <c r="P494" s="131">
        <v>5</v>
      </c>
      <c r="Q494" s="134">
        <f t="shared" si="93"/>
        <v>15</v>
      </c>
      <c r="R494" s="428"/>
      <c r="S494" s="428"/>
      <c r="T494" s="133"/>
      <c r="U494" s="405"/>
      <c r="V494" s="135"/>
      <c r="W494" s="133"/>
      <c r="X494" s="405"/>
      <c r="Y494" s="405"/>
      <c r="Z494" s="135"/>
      <c r="AA494" s="136">
        <f t="shared" ref="AA494:AA530" si="94">X494*Y494*Z494</f>
        <v>0</v>
      </c>
      <c r="AB494" s="111"/>
      <c r="AC494" s="363"/>
      <c r="AD494" s="226">
        <f t="shared" si="90"/>
        <v>6854</v>
      </c>
    </row>
    <row r="495" spans="1:31" ht="204.75" outlineLevel="3" thickBot="1" x14ac:dyDescent="0.25">
      <c r="A495" s="199" t="s">
        <v>1255</v>
      </c>
      <c r="B495" s="477" t="s">
        <v>513</v>
      </c>
      <c r="C495" s="479" t="s">
        <v>514</v>
      </c>
      <c r="D495" s="477" t="s">
        <v>515</v>
      </c>
      <c r="E495" s="417" t="s">
        <v>300</v>
      </c>
      <c r="F495" s="417" t="s">
        <v>866</v>
      </c>
      <c r="G495" s="405" t="s">
        <v>1183</v>
      </c>
      <c r="H495" s="127" t="s">
        <v>238</v>
      </c>
      <c r="I495" s="128">
        <v>1</v>
      </c>
      <c r="J495" s="163" t="s">
        <v>302</v>
      </c>
      <c r="K495" s="165" t="s">
        <v>1176</v>
      </c>
      <c r="L495" s="131">
        <v>1</v>
      </c>
      <c r="M495" s="132">
        <f t="shared" si="92"/>
        <v>1</v>
      </c>
      <c r="N495" s="133" t="s">
        <v>291</v>
      </c>
      <c r="O495" s="69" t="s">
        <v>242</v>
      </c>
      <c r="P495" s="131">
        <v>5</v>
      </c>
      <c r="Q495" s="134">
        <f t="shared" si="93"/>
        <v>5</v>
      </c>
      <c r="R495" s="428"/>
      <c r="S495" s="428"/>
      <c r="T495" s="133"/>
      <c r="U495" s="405"/>
      <c r="V495" s="135"/>
      <c r="W495" s="133"/>
      <c r="X495" s="405"/>
      <c r="Y495" s="405"/>
      <c r="Z495" s="135"/>
      <c r="AA495" s="136"/>
      <c r="AB495" s="111"/>
      <c r="AC495" s="363"/>
      <c r="AD495" s="226">
        <f t="shared" si="90"/>
        <v>6855</v>
      </c>
    </row>
    <row r="496" spans="1:31" ht="204.75" outlineLevel="3" thickBot="1" x14ac:dyDescent="0.25">
      <c r="A496" s="199" t="s">
        <v>1256</v>
      </c>
      <c r="B496" s="478"/>
      <c r="C496" s="480"/>
      <c r="D496" s="478"/>
      <c r="E496" s="417" t="s">
        <v>393</v>
      </c>
      <c r="F496" s="417" t="s">
        <v>866</v>
      </c>
      <c r="G496" s="405" t="s">
        <v>1183</v>
      </c>
      <c r="H496" s="127" t="s">
        <v>238</v>
      </c>
      <c r="I496" s="128">
        <v>1</v>
      </c>
      <c r="J496" s="163" t="s">
        <v>307</v>
      </c>
      <c r="K496" s="165" t="s">
        <v>1176</v>
      </c>
      <c r="L496" s="131">
        <v>1</v>
      </c>
      <c r="M496" s="132">
        <f t="shared" si="92"/>
        <v>1</v>
      </c>
      <c r="N496" s="133" t="s">
        <v>291</v>
      </c>
      <c r="O496" s="69" t="s">
        <v>242</v>
      </c>
      <c r="P496" s="131">
        <v>5</v>
      </c>
      <c r="Q496" s="134">
        <f t="shared" si="93"/>
        <v>5</v>
      </c>
      <c r="R496" s="428"/>
      <c r="S496" s="428"/>
      <c r="T496" s="133"/>
      <c r="U496" s="405"/>
      <c r="V496" s="135"/>
      <c r="W496" s="133"/>
      <c r="X496" s="405"/>
      <c r="Y496" s="405"/>
      <c r="Z496" s="135"/>
      <c r="AA496" s="136">
        <f t="shared" si="94"/>
        <v>0</v>
      </c>
      <c r="AB496" s="111"/>
      <c r="AC496" s="363"/>
      <c r="AD496" s="226">
        <f t="shared" si="90"/>
        <v>6856</v>
      </c>
    </row>
    <row r="497" spans="1:31" s="317" customFormat="1" ht="204.75" outlineLevel="3" thickBot="1" x14ac:dyDescent="0.25">
      <c r="A497" s="199" t="s">
        <v>1257</v>
      </c>
      <c r="B497" s="477" t="s">
        <v>520</v>
      </c>
      <c r="C497" s="479" t="s">
        <v>521</v>
      </c>
      <c r="D497" s="477" t="s">
        <v>522</v>
      </c>
      <c r="E497" s="417" t="s">
        <v>275</v>
      </c>
      <c r="F497" s="417" t="s">
        <v>1078</v>
      </c>
      <c r="G497" s="405" t="s">
        <v>1183</v>
      </c>
      <c r="H497" s="127" t="s">
        <v>238</v>
      </c>
      <c r="I497" s="128">
        <v>1</v>
      </c>
      <c r="J497" s="163" t="s">
        <v>277</v>
      </c>
      <c r="K497" s="165" t="s">
        <v>1176</v>
      </c>
      <c r="L497" s="131">
        <v>1</v>
      </c>
      <c r="M497" s="132">
        <f t="shared" si="92"/>
        <v>1</v>
      </c>
      <c r="N497" s="133" t="s">
        <v>291</v>
      </c>
      <c r="O497" s="69" t="s">
        <v>242</v>
      </c>
      <c r="P497" s="131">
        <v>5</v>
      </c>
      <c r="Q497" s="134">
        <f t="shared" si="93"/>
        <v>5</v>
      </c>
      <c r="R497" s="428"/>
      <c r="S497" s="428"/>
      <c r="T497" s="133"/>
      <c r="U497" s="405"/>
      <c r="V497" s="135"/>
      <c r="W497" s="133"/>
      <c r="X497" s="405"/>
      <c r="Y497" s="405"/>
      <c r="Z497" s="135"/>
      <c r="AA497" s="136"/>
      <c r="AB497" s="111"/>
      <c r="AC497" s="368"/>
      <c r="AD497" s="226">
        <f t="shared" si="90"/>
        <v>6857</v>
      </c>
      <c r="AE497" s="264"/>
    </row>
    <row r="498" spans="1:31" s="317" customFormat="1" ht="204.75" outlineLevel="3" thickBot="1" x14ac:dyDescent="0.25">
      <c r="A498" s="199" t="s">
        <v>1258</v>
      </c>
      <c r="B498" s="478"/>
      <c r="C498" s="480"/>
      <c r="D498" s="478"/>
      <c r="E498" s="417" t="s">
        <v>279</v>
      </c>
      <c r="F498" s="417" t="s">
        <v>1259</v>
      </c>
      <c r="G498" s="417" t="s">
        <v>1183</v>
      </c>
      <c r="H498" s="127" t="s">
        <v>680</v>
      </c>
      <c r="I498" s="164">
        <v>3</v>
      </c>
      <c r="J498" s="163" t="s">
        <v>412</v>
      </c>
      <c r="K498" s="165" t="s">
        <v>1176</v>
      </c>
      <c r="L498" s="131">
        <v>1</v>
      </c>
      <c r="M498" s="132">
        <f t="shared" si="92"/>
        <v>3</v>
      </c>
      <c r="N498" s="133" t="s">
        <v>291</v>
      </c>
      <c r="O498" s="69" t="s">
        <v>242</v>
      </c>
      <c r="P498" s="131">
        <v>5</v>
      </c>
      <c r="Q498" s="134">
        <f t="shared" si="93"/>
        <v>15</v>
      </c>
      <c r="R498" s="428"/>
      <c r="S498" s="428"/>
      <c r="T498" s="133"/>
      <c r="U498" s="405"/>
      <c r="V498" s="135"/>
      <c r="W498" s="133"/>
      <c r="X498" s="405"/>
      <c r="Y498" s="405"/>
      <c r="Z498" s="135"/>
      <c r="AA498" s="136"/>
      <c r="AB498" s="111"/>
      <c r="AC498" s="368"/>
      <c r="AD498" s="226">
        <f t="shared" si="90"/>
        <v>6858</v>
      </c>
      <c r="AE498" s="264"/>
    </row>
    <row r="499" spans="1:31" s="317" customFormat="1" ht="204.75" outlineLevel="3" thickBot="1" x14ac:dyDescent="0.25">
      <c r="A499" s="199" t="s">
        <v>1260</v>
      </c>
      <c r="B499" s="477" t="s">
        <v>527</v>
      </c>
      <c r="C499" s="566" t="s">
        <v>528</v>
      </c>
      <c r="D499" s="477" t="s">
        <v>529</v>
      </c>
      <c r="E499" s="417" t="s">
        <v>300</v>
      </c>
      <c r="F499" s="417" t="s">
        <v>530</v>
      </c>
      <c r="G499" s="405" t="s">
        <v>1183</v>
      </c>
      <c r="H499" s="127" t="s">
        <v>238</v>
      </c>
      <c r="I499" s="128">
        <v>1</v>
      </c>
      <c r="J499" s="163" t="s">
        <v>302</v>
      </c>
      <c r="K499" s="165" t="s">
        <v>1176</v>
      </c>
      <c r="L499" s="131">
        <v>1</v>
      </c>
      <c r="M499" s="132">
        <f t="shared" si="92"/>
        <v>1</v>
      </c>
      <c r="N499" s="133" t="s">
        <v>291</v>
      </c>
      <c r="O499" s="69" t="s">
        <v>242</v>
      </c>
      <c r="P499" s="131">
        <v>5</v>
      </c>
      <c r="Q499" s="134">
        <f t="shared" si="93"/>
        <v>5</v>
      </c>
      <c r="R499" s="428"/>
      <c r="S499" s="428"/>
      <c r="T499" s="133"/>
      <c r="U499" s="405"/>
      <c r="V499" s="135"/>
      <c r="W499" s="133"/>
      <c r="X499" s="405"/>
      <c r="Y499" s="405"/>
      <c r="Z499" s="135"/>
      <c r="AA499" s="136"/>
      <c r="AB499" s="111"/>
      <c r="AC499" s="368"/>
      <c r="AD499" s="226">
        <f t="shared" si="90"/>
        <v>6859</v>
      </c>
      <c r="AE499" s="264"/>
    </row>
    <row r="500" spans="1:31" s="317" customFormat="1" ht="204.75" outlineLevel="3" thickBot="1" x14ac:dyDescent="0.25">
      <c r="A500" s="199" t="s">
        <v>1261</v>
      </c>
      <c r="B500" s="478"/>
      <c r="C500" s="567"/>
      <c r="D500" s="478"/>
      <c r="E500" s="417" t="s">
        <v>393</v>
      </c>
      <c r="F500" s="417" t="s">
        <v>530</v>
      </c>
      <c r="G500" s="405" t="s">
        <v>1183</v>
      </c>
      <c r="H500" s="127" t="s">
        <v>238</v>
      </c>
      <c r="I500" s="128">
        <v>1</v>
      </c>
      <c r="J500" s="163" t="s">
        <v>307</v>
      </c>
      <c r="K500" s="165" t="s">
        <v>1176</v>
      </c>
      <c r="L500" s="131">
        <v>1</v>
      </c>
      <c r="M500" s="132">
        <f t="shared" si="92"/>
        <v>1</v>
      </c>
      <c r="N500" s="133" t="s">
        <v>291</v>
      </c>
      <c r="O500" s="69" t="s">
        <v>242</v>
      </c>
      <c r="P500" s="131">
        <v>5</v>
      </c>
      <c r="Q500" s="134">
        <f t="shared" si="93"/>
        <v>5</v>
      </c>
      <c r="R500" s="428"/>
      <c r="S500" s="428"/>
      <c r="T500" s="133"/>
      <c r="U500" s="405"/>
      <c r="V500" s="135"/>
      <c r="W500" s="133"/>
      <c r="X500" s="405"/>
      <c r="Y500" s="405"/>
      <c r="Z500" s="135"/>
      <c r="AA500" s="136"/>
      <c r="AB500" s="111"/>
      <c r="AC500" s="368"/>
      <c r="AD500" s="226">
        <f t="shared" si="90"/>
        <v>6860</v>
      </c>
      <c r="AE500" s="264"/>
    </row>
    <row r="501" spans="1:31" ht="204.75" outlineLevel="3" thickBot="1" x14ac:dyDescent="0.25">
      <c r="A501" s="199" t="s">
        <v>1262</v>
      </c>
      <c r="B501" s="477" t="s">
        <v>533</v>
      </c>
      <c r="C501" s="479" t="s">
        <v>534</v>
      </c>
      <c r="D501" s="477" t="s">
        <v>535</v>
      </c>
      <c r="E501" s="417" t="s">
        <v>536</v>
      </c>
      <c r="F501" s="417" t="s">
        <v>874</v>
      </c>
      <c r="G501" s="405" t="s">
        <v>1183</v>
      </c>
      <c r="H501" s="127" t="s">
        <v>238</v>
      </c>
      <c r="I501" s="128">
        <v>1</v>
      </c>
      <c r="J501" s="163" t="s">
        <v>277</v>
      </c>
      <c r="K501" s="165" t="s">
        <v>1176</v>
      </c>
      <c r="L501" s="131">
        <v>1</v>
      </c>
      <c r="M501" s="132">
        <f t="shared" si="92"/>
        <v>1</v>
      </c>
      <c r="N501" s="133" t="s">
        <v>291</v>
      </c>
      <c r="O501" s="69" t="s">
        <v>242</v>
      </c>
      <c r="P501" s="131">
        <v>5</v>
      </c>
      <c r="Q501" s="134">
        <f>P501*L501*I501</f>
        <v>5</v>
      </c>
      <c r="R501" s="428"/>
      <c r="S501" s="428"/>
      <c r="T501" s="133"/>
      <c r="U501" s="405"/>
      <c r="V501" s="135"/>
      <c r="W501" s="133"/>
      <c r="X501" s="405"/>
      <c r="Y501" s="405"/>
      <c r="Z501" s="135"/>
      <c r="AA501" s="136"/>
      <c r="AB501" s="111"/>
      <c r="AC501" s="363"/>
      <c r="AD501" s="226">
        <f t="shared" si="90"/>
        <v>6861</v>
      </c>
    </row>
    <row r="502" spans="1:31" ht="204.75" outlineLevel="3" thickBot="1" x14ac:dyDescent="0.25">
      <c r="A502" s="199" t="s">
        <v>1263</v>
      </c>
      <c r="B502" s="478"/>
      <c r="C502" s="480"/>
      <c r="D502" s="478"/>
      <c r="E502" s="417" t="s">
        <v>279</v>
      </c>
      <c r="F502" s="417" t="s">
        <v>539</v>
      </c>
      <c r="G502" s="405" t="s">
        <v>1183</v>
      </c>
      <c r="H502" s="127" t="s">
        <v>238</v>
      </c>
      <c r="I502" s="128">
        <v>1</v>
      </c>
      <c r="J502" s="163" t="s">
        <v>412</v>
      </c>
      <c r="K502" s="165" t="s">
        <v>1176</v>
      </c>
      <c r="L502" s="131">
        <v>1</v>
      </c>
      <c r="M502" s="132">
        <f t="shared" si="92"/>
        <v>1</v>
      </c>
      <c r="N502" s="133" t="s">
        <v>291</v>
      </c>
      <c r="O502" s="69" t="s">
        <v>242</v>
      </c>
      <c r="P502" s="131">
        <v>5</v>
      </c>
      <c r="Q502" s="134">
        <f t="shared" ref="Q502" si="95">I502*L502*P502</f>
        <v>5</v>
      </c>
      <c r="R502" s="428"/>
      <c r="S502" s="428"/>
      <c r="T502" s="133"/>
      <c r="U502" s="405"/>
      <c r="V502" s="135"/>
      <c r="W502" s="133"/>
      <c r="X502" s="405"/>
      <c r="Y502" s="405"/>
      <c r="Z502" s="135"/>
      <c r="AA502" s="136">
        <f t="shared" si="94"/>
        <v>0</v>
      </c>
      <c r="AB502" s="111"/>
      <c r="AC502" s="363"/>
      <c r="AD502" s="226">
        <f t="shared" si="90"/>
        <v>6862</v>
      </c>
    </row>
    <row r="503" spans="1:31" ht="204.75" outlineLevel="3" thickBot="1" x14ac:dyDescent="0.25">
      <c r="A503" s="199" t="s">
        <v>1264</v>
      </c>
      <c r="B503" s="569" t="s">
        <v>541</v>
      </c>
      <c r="C503" s="499" t="s">
        <v>542</v>
      </c>
      <c r="D503" s="569" t="s">
        <v>877</v>
      </c>
      <c r="E503" s="417" t="s">
        <v>275</v>
      </c>
      <c r="F503" s="417" t="s">
        <v>878</v>
      </c>
      <c r="G503" s="405" t="s">
        <v>1183</v>
      </c>
      <c r="H503" s="127" t="s">
        <v>238</v>
      </c>
      <c r="I503" s="128">
        <v>1</v>
      </c>
      <c r="J503" s="163" t="s">
        <v>277</v>
      </c>
      <c r="K503" s="165" t="s">
        <v>1176</v>
      </c>
      <c r="L503" s="131">
        <v>1</v>
      </c>
      <c r="M503" s="132">
        <f t="shared" si="92"/>
        <v>1</v>
      </c>
      <c r="N503" s="133" t="s">
        <v>291</v>
      </c>
      <c r="O503" s="69" t="s">
        <v>242</v>
      </c>
      <c r="P503" s="131">
        <v>5</v>
      </c>
      <c r="Q503" s="134">
        <f t="shared" si="93"/>
        <v>5</v>
      </c>
      <c r="R503" s="428"/>
      <c r="S503" s="428"/>
      <c r="T503" s="133"/>
      <c r="U503" s="405"/>
      <c r="V503" s="135"/>
      <c r="W503" s="133"/>
      <c r="X503" s="405"/>
      <c r="Y503" s="405"/>
      <c r="Z503" s="135"/>
      <c r="AA503" s="136"/>
      <c r="AB503" s="111"/>
      <c r="AC503" s="363"/>
      <c r="AD503" s="226">
        <f t="shared" si="90"/>
        <v>6863</v>
      </c>
    </row>
    <row r="504" spans="1:31" ht="204.75" outlineLevel="3" thickBot="1" x14ac:dyDescent="0.25">
      <c r="A504" s="199" t="s">
        <v>1265</v>
      </c>
      <c r="B504" s="570"/>
      <c r="C504" s="500"/>
      <c r="D504" s="570"/>
      <c r="E504" s="417" t="s">
        <v>279</v>
      </c>
      <c r="F504" s="417" t="s">
        <v>878</v>
      </c>
      <c r="G504" s="405" t="s">
        <v>1183</v>
      </c>
      <c r="H504" s="127" t="s">
        <v>238</v>
      </c>
      <c r="I504" s="128">
        <v>1</v>
      </c>
      <c r="J504" s="163" t="s">
        <v>412</v>
      </c>
      <c r="K504" s="165" t="s">
        <v>1176</v>
      </c>
      <c r="L504" s="131">
        <v>1</v>
      </c>
      <c r="M504" s="132">
        <f t="shared" si="92"/>
        <v>1</v>
      </c>
      <c r="N504" s="133" t="s">
        <v>291</v>
      </c>
      <c r="O504" s="69" t="s">
        <v>242</v>
      </c>
      <c r="P504" s="131">
        <v>5</v>
      </c>
      <c r="Q504" s="134">
        <f t="shared" si="93"/>
        <v>5</v>
      </c>
      <c r="R504" s="428"/>
      <c r="S504" s="428"/>
      <c r="T504" s="133"/>
      <c r="U504" s="405"/>
      <c r="V504" s="135"/>
      <c r="W504" s="133"/>
      <c r="X504" s="405"/>
      <c r="Y504" s="405"/>
      <c r="Z504" s="135"/>
      <c r="AA504" s="136">
        <f t="shared" si="94"/>
        <v>0</v>
      </c>
      <c r="AB504" s="111"/>
      <c r="AC504" s="363"/>
      <c r="AD504" s="226">
        <f t="shared" si="90"/>
        <v>6864</v>
      </c>
    </row>
    <row r="505" spans="1:31" ht="204.75" outlineLevel="3" thickBot="1" x14ac:dyDescent="0.25">
      <c r="A505" s="199" t="s">
        <v>1266</v>
      </c>
      <c r="B505" s="477" t="s">
        <v>547</v>
      </c>
      <c r="C505" s="479" t="s">
        <v>548</v>
      </c>
      <c r="D505" s="477" t="s">
        <v>549</v>
      </c>
      <c r="E505" s="405" t="s">
        <v>275</v>
      </c>
      <c r="F505" s="405" t="s">
        <v>537</v>
      </c>
      <c r="G505" s="405" t="s">
        <v>1183</v>
      </c>
      <c r="H505" s="420" t="s">
        <v>238</v>
      </c>
      <c r="I505" s="164">
        <v>1</v>
      </c>
      <c r="J505" s="163" t="s">
        <v>277</v>
      </c>
      <c r="K505" s="165" t="s">
        <v>1176</v>
      </c>
      <c r="L505" s="138">
        <v>1</v>
      </c>
      <c r="M505" s="166">
        <f t="shared" si="92"/>
        <v>1</v>
      </c>
      <c r="N505" s="133" t="s">
        <v>241</v>
      </c>
      <c r="O505" s="420" t="s">
        <v>242</v>
      </c>
      <c r="P505" s="138">
        <v>5</v>
      </c>
      <c r="Q505" s="225">
        <f t="shared" si="93"/>
        <v>5</v>
      </c>
      <c r="R505" s="428"/>
      <c r="S505" s="428"/>
      <c r="T505" s="133"/>
      <c r="U505" s="405"/>
      <c r="V505" s="135"/>
      <c r="W505" s="133"/>
      <c r="X505" s="405"/>
      <c r="Y505" s="405"/>
      <c r="Z505" s="135"/>
      <c r="AA505" s="136"/>
      <c r="AB505" s="111"/>
      <c r="AC505" s="226"/>
      <c r="AD505" s="226">
        <f t="shared" si="90"/>
        <v>12395</v>
      </c>
    </row>
    <row r="506" spans="1:31" ht="204.75" outlineLevel="3" thickBot="1" x14ac:dyDescent="0.25">
      <c r="A506" s="199" t="s">
        <v>1267</v>
      </c>
      <c r="B506" s="478"/>
      <c r="C506" s="480"/>
      <c r="D506" s="478"/>
      <c r="E506" s="405" t="s">
        <v>279</v>
      </c>
      <c r="F506" s="405" t="s">
        <v>882</v>
      </c>
      <c r="G506" s="405" t="s">
        <v>1183</v>
      </c>
      <c r="H506" s="420" t="s">
        <v>680</v>
      </c>
      <c r="I506" s="164">
        <v>3</v>
      </c>
      <c r="J506" s="163" t="s">
        <v>281</v>
      </c>
      <c r="K506" s="165" t="s">
        <v>1176</v>
      </c>
      <c r="L506" s="138">
        <v>1</v>
      </c>
      <c r="M506" s="166">
        <f t="shared" si="92"/>
        <v>3</v>
      </c>
      <c r="N506" s="133" t="s">
        <v>283</v>
      </c>
      <c r="O506" s="420" t="s">
        <v>242</v>
      </c>
      <c r="P506" s="138">
        <v>5</v>
      </c>
      <c r="Q506" s="225">
        <f t="shared" si="93"/>
        <v>15</v>
      </c>
      <c r="R506" s="428"/>
      <c r="S506" s="428"/>
      <c r="T506" s="133"/>
      <c r="U506" s="405"/>
      <c r="V506" s="135"/>
      <c r="W506" s="133"/>
      <c r="X506" s="405"/>
      <c r="Y506" s="405"/>
      <c r="Z506" s="135"/>
      <c r="AA506" s="136">
        <f t="shared" si="94"/>
        <v>0</v>
      </c>
      <c r="AB506" s="111"/>
      <c r="AC506" s="226"/>
      <c r="AD506" s="226">
        <f t="shared" si="90"/>
        <v>12396</v>
      </c>
    </row>
    <row r="507" spans="1:31" ht="204.75" outlineLevel="3" thickBot="1" x14ac:dyDescent="0.25">
      <c r="A507" s="252" t="s">
        <v>1268</v>
      </c>
      <c r="B507" s="488" t="s">
        <v>553</v>
      </c>
      <c r="C507" s="486" t="s">
        <v>554</v>
      </c>
      <c r="D507" s="488" t="s">
        <v>555</v>
      </c>
      <c r="E507" s="415" t="s">
        <v>275</v>
      </c>
      <c r="F507" s="330" t="s">
        <v>556</v>
      </c>
      <c r="G507" s="415" t="s">
        <v>1183</v>
      </c>
      <c r="H507" s="255" t="s">
        <v>238</v>
      </c>
      <c r="I507" s="265">
        <v>1</v>
      </c>
      <c r="J507" s="253" t="s">
        <v>277</v>
      </c>
      <c r="K507" s="165" t="s">
        <v>1176</v>
      </c>
      <c r="L507" s="258">
        <v>1</v>
      </c>
      <c r="M507" s="256">
        <f t="shared" si="92"/>
        <v>1</v>
      </c>
      <c r="N507" s="248" t="s">
        <v>241</v>
      </c>
      <c r="O507" s="257" t="s">
        <v>242</v>
      </c>
      <c r="P507" s="258">
        <v>5</v>
      </c>
      <c r="Q507" s="259">
        <f t="shared" si="93"/>
        <v>5</v>
      </c>
      <c r="R507" s="428"/>
      <c r="S507" s="428"/>
      <c r="T507" s="133"/>
      <c r="U507" s="405"/>
      <c r="V507" s="135"/>
      <c r="W507" s="133"/>
      <c r="X507" s="405"/>
      <c r="Y507" s="405"/>
      <c r="Z507" s="135"/>
      <c r="AA507" s="136"/>
      <c r="AB507" s="111"/>
      <c r="AC507" s="363"/>
      <c r="AD507" s="226">
        <f t="shared" si="90"/>
        <v>10997</v>
      </c>
    </row>
    <row r="508" spans="1:31" ht="204.75" outlineLevel="3" thickBot="1" x14ac:dyDescent="0.25">
      <c r="A508" s="252" t="s">
        <v>1269</v>
      </c>
      <c r="B508" s="488"/>
      <c r="C508" s="487"/>
      <c r="D508" s="488"/>
      <c r="E508" s="415" t="s">
        <v>279</v>
      </c>
      <c r="F508" s="330" t="s">
        <v>558</v>
      </c>
      <c r="G508" s="417" t="s">
        <v>1183</v>
      </c>
      <c r="H508" s="127" t="s">
        <v>680</v>
      </c>
      <c r="I508" s="164">
        <v>3</v>
      </c>
      <c r="J508" s="253" t="s">
        <v>412</v>
      </c>
      <c r="K508" s="165" t="s">
        <v>1176</v>
      </c>
      <c r="L508" s="258">
        <v>1</v>
      </c>
      <c r="M508" s="256">
        <f t="shared" si="92"/>
        <v>3</v>
      </c>
      <c r="N508" s="248" t="s">
        <v>291</v>
      </c>
      <c r="O508" s="257" t="s">
        <v>242</v>
      </c>
      <c r="P508" s="258">
        <v>5</v>
      </c>
      <c r="Q508" s="259">
        <f t="shared" si="93"/>
        <v>15</v>
      </c>
      <c r="R508" s="428"/>
      <c r="S508" s="428"/>
      <c r="T508" s="133"/>
      <c r="U508" s="405"/>
      <c r="V508" s="135"/>
      <c r="W508" s="133"/>
      <c r="X508" s="405"/>
      <c r="Y508" s="405"/>
      <c r="Z508" s="135"/>
      <c r="AA508" s="136">
        <f t="shared" ref="AA508" si="96">X508*Y508*Z508</f>
        <v>0</v>
      </c>
      <c r="AB508" s="111"/>
      <c r="AC508" s="363"/>
      <c r="AD508" s="226">
        <f t="shared" si="90"/>
        <v>10998</v>
      </c>
    </row>
    <row r="509" spans="1:31" ht="204.75" outlineLevel="3" thickBot="1" x14ac:dyDescent="0.25">
      <c r="A509" s="252" t="s">
        <v>1270</v>
      </c>
      <c r="B509" s="488" t="s">
        <v>560</v>
      </c>
      <c r="C509" s="486" t="s">
        <v>561</v>
      </c>
      <c r="D509" s="489" t="s">
        <v>886</v>
      </c>
      <c r="E509" s="415" t="s">
        <v>300</v>
      </c>
      <c r="F509" s="330" t="s">
        <v>563</v>
      </c>
      <c r="G509" s="415" t="s">
        <v>1183</v>
      </c>
      <c r="H509" s="255" t="s">
        <v>238</v>
      </c>
      <c r="I509" s="265">
        <v>1</v>
      </c>
      <c r="J509" s="253" t="s">
        <v>302</v>
      </c>
      <c r="K509" s="165" t="s">
        <v>1176</v>
      </c>
      <c r="L509" s="258">
        <v>1</v>
      </c>
      <c r="M509" s="256">
        <f t="shared" si="92"/>
        <v>1</v>
      </c>
      <c r="N509" s="248" t="s">
        <v>291</v>
      </c>
      <c r="O509" s="257" t="s">
        <v>242</v>
      </c>
      <c r="P509" s="258">
        <v>5</v>
      </c>
      <c r="Q509" s="259">
        <f t="shared" si="93"/>
        <v>5</v>
      </c>
      <c r="R509" s="428"/>
      <c r="S509" s="428"/>
      <c r="T509" s="133"/>
      <c r="U509" s="405"/>
      <c r="V509" s="135"/>
      <c r="W509" s="133"/>
      <c r="X509" s="405"/>
      <c r="Y509" s="405"/>
      <c r="Z509" s="135"/>
      <c r="AA509" s="136"/>
      <c r="AB509" s="111"/>
      <c r="AC509" s="363"/>
      <c r="AD509" s="226">
        <f t="shared" si="90"/>
        <v>10999</v>
      </c>
    </row>
    <row r="510" spans="1:31" ht="204.75" outlineLevel="3" thickBot="1" x14ac:dyDescent="0.25">
      <c r="A510" s="252" t="s">
        <v>1271</v>
      </c>
      <c r="B510" s="488"/>
      <c r="C510" s="487"/>
      <c r="D510" s="490"/>
      <c r="E510" s="415" t="s">
        <v>393</v>
      </c>
      <c r="F510" s="330" t="s">
        <v>888</v>
      </c>
      <c r="G510" s="417" t="s">
        <v>1183</v>
      </c>
      <c r="H510" s="127" t="s">
        <v>680</v>
      </c>
      <c r="I510" s="164">
        <v>3</v>
      </c>
      <c r="J510" s="253" t="s">
        <v>307</v>
      </c>
      <c r="K510" s="165" t="s">
        <v>1176</v>
      </c>
      <c r="L510" s="258">
        <v>1</v>
      </c>
      <c r="M510" s="256">
        <f t="shared" si="92"/>
        <v>3</v>
      </c>
      <c r="N510" s="248" t="s">
        <v>291</v>
      </c>
      <c r="O510" s="257" t="s">
        <v>242</v>
      </c>
      <c r="P510" s="258">
        <v>5</v>
      </c>
      <c r="Q510" s="259">
        <f t="shared" si="93"/>
        <v>15</v>
      </c>
      <c r="R510" s="428"/>
      <c r="S510" s="428"/>
      <c r="T510" s="133"/>
      <c r="U510" s="405"/>
      <c r="V510" s="135"/>
      <c r="W510" s="133"/>
      <c r="X510" s="405"/>
      <c r="Y510" s="405"/>
      <c r="Z510" s="135"/>
      <c r="AA510" s="136"/>
      <c r="AB510" s="111"/>
      <c r="AC510" s="363"/>
      <c r="AD510" s="226">
        <f t="shared" si="90"/>
        <v>11000</v>
      </c>
    </row>
    <row r="511" spans="1:31" ht="204.75" outlineLevel="3" thickBot="1" x14ac:dyDescent="0.25">
      <c r="A511" s="199" t="s">
        <v>1272</v>
      </c>
      <c r="B511" s="477" t="s">
        <v>567</v>
      </c>
      <c r="C511" s="479" t="s">
        <v>568</v>
      </c>
      <c r="D511" s="477" t="s">
        <v>569</v>
      </c>
      <c r="E511" s="417" t="s">
        <v>300</v>
      </c>
      <c r="F511" s="417" t="s">
        <v>1093</v>
      </c>
      <c r="G511" s="417" t="s">
        <v>1183</v>
      </c>
      <c r="H511" s="127" t="s">
        <v>680</v>
      </c>
      <c r="I511" s="164">
        <v>3</v>
      </c>
      <c r="J511" s="163" t="s">
        <v>302</v>
      </c>
      <c r="K511" s="165" t="s">
        <v>1176</v>
      </c>
      <c r="L511" s="131">
        <v>1</v>
      </c>
      <c r="M511" s="132">
        <f t="shared" si="92"/>
        <v>3</v>
      </c>
      <c r="N511" s="133" t="s">
        <v>291</v>
      </c>
      <c r="O511" s="69" t="s">
        <v>242</v>
      </c>
      <c r="P511" s="131">
        <v>5</v>
      </c>
      <c r="Q511" s="134">
        <f t="shared" si="93"/>
        <v>15</v>
      </c>
      <c r="R511" s="428"/>
      <c r="S511" s="428"/>
      <c r="T511" s="133"/>
      <c r="U511" s="405"/>
      <c r="V511" s="135"/>
      <c r="W511" s="133"/>
      <c r="X511" s="405"/>
      <c r="Y511" s="405"/>
      <c r="Z511" s="135"/>
      <c r="AA511" s="136"/>
      <c r="AB511" s="111"/>
      <c r="AC511" s="363"/>
      <c r="AD511" s="226">
        <f t="shared" si="90"/>
        <v>6865</v>
      </c>
    </row>
    <row r="512" spans="1:31" ht="204.75" outlineLevel="3" thickBot="1" x14ac:dyDescent="0.25">
      <c r="A512" s="199" t="s">
        <v>1273</v>
      </c>
      <c r="B512" s="517"/>
      <c r="C512" s="514"/>
      <c r="D512" s="517"/>
      <c r="E512" s="417" t="s">
        <v>393</v>
      </c>
      <c r="F512" s="417" t="s">
        <v>1095</v>
      </c>
      <c r="G512" s="417" t="s">
        <v>1183</v>
      </c>
      <c r="H512" s="127" t="s">
        <v>680</v>
      </c>
      <c r="I512" s="164">
        <v>3</v>
      </c>
      <c r="J512" s="163" t="s">
        <v>307</v>
      </c>
      <c r="K512" s="165" t="s">
        <v>1176</v>
      </c>
      <c r="L512" s="131">
        <v>1</v>
      </c>
      <c r="M512" s="132">
        <f t="shared" si="92"/>
        <v>3</v>
      </c>
      <c r="N512" s="133" t="s">
        <v>291</v>
      </c>
      <c r="O512" s="69" t="s">
        <v>242</v>
      </c>
      <c r="P512" s="131">
        <v>5</v>
      </c>
      <c r="Q512" s="134">
        <f t="shared" si="93"/>
        <v>15</v>
      </c>
      <c r="R512" s="428"/>
      <c r="S512" s="428"/>
      <c r="T512" s="133"/>
      <c r="U512" s="405"/>
      <c r="V512" s="135"/>
      <c r="W512" s="133"/>
      <c r="X512" s="405"/>
      <c r="Y512" s="405"/>
      <c r="Z512" s="135"/>
      <c r="AA512" s="136"/>
      <c r="AB512" s="111"/>
      <c r="AC512" s="363"/>
      <c r="AD512" s="226">
        <f t="shared" si="90"/>
        <v>6866</v>
      </c>
    </row>
    <row r="513" spans="1:31" ht="21" outlineLevel="2" thickBot="1" x14ac:dyDescent="0.25">
      <c r="A513" s="199"/>
      <c r="B513" s="117" t="s">
        <v>573</v>
      </c>
      <c r="C513" s="190"/>
      <c r="D513" s="118"/>
      <c r="E513" s="118"/>
      <c r="F513" s="118"/>
      <c r="G513" s="118"/>
      <c r="H513" s="118"/>
      <c r="I513" s="118"/>
      <c r="J513" s="118"/>
      <c r="K513" s="118"/>
      <c r="L513" s="118"/>
      <c r="M513" s="118"/>
      <c r="N513" s="118"/>
      <c r="O513" s="118"/>
      <c r="P513" s="118"/>
      <c r="Q513" s="118"/>
      <c r="R513" s="118"/>
      <c r="S513" s="118"/>
      <c r="T513" s="118"/>
      <c r="U513" s="118"/>
      <c r="V513" s="118"/>
      <c r="W513" s="118"/>
      <c r="X513" s="118"/>
      <c r="Y513" s="118"/>
      <c r="Z513" s="118"/>
      <c r="AA513" s="118"/>
      <c r="AB513" s="119"/>
      <c r="AC513" s="363"/>
      <c r="AD513" s="226">
        <f t="shared" si="90"/>
        <v>0</v>
      </c>
    </row>
    <row r="514" spans="1:31" ht="204.75" outlineLevel="3" thickBot="1" x14ac:dyDescent="0.25">
      <c r="A514" s="199" t="s">
        <v>1274</v>
      </c>
      <c r="B514" s="503" t="s">
        <v>575</v>
      </c>
      <c r="C514" s="505" t="s">
        <v>576</v>
      </c>
      <c r="D514" s="503" t="s">
        <v>577</v>
      </c>
      <c r="E514" s="405" t="s">
        <v>894</v>
      </c>
      <c r="F514" s="405" t="s">
        <v>1275</v>
      </c>
      <c r="G514" s="417" t="s">
        <v>1183</v>
      </c>
      <c r="H514" s="127" t="s">
        <v>680</v>
      </c>
      <c r="I514" s="164">
        <v>3</v>
      </c>
      <c r="J514" s="163" t="s">
        <v>580</v>
      </c>
      <c r="K514" s="165" t="s">
        <v>1176</v>
      </c>
      <c r="L514" s="131">
        <v>1</v>
      </c>
      <c r="M514" s="132">
        <f t="shared" ref="M514:M568" si="97">I514*L514</f>
        <v>3</v>
      </c>
      <c r="N514" s="133" t="s">
        <v>291</v>
      </c>
      <c r="O514" s="69" t="s">
        <v>242</v>
      </c>
      <c r="P514" s="131">
        <v>5</v>
      </c>
      <c r="Q514" s="134">
        <f t="shared" ref="Q514:Q568" si="98">I514*L514*P514</f>
        <v>15</v>
      </c>
      <c r="R514" s="428"/>
      <c r="S514" s="428"/>
      <c r="T514" s="133"/>
      <c r="U514" s="405"/>
      <c r="V514" s="135"/>
      <c r="W514" s="133"/>
      <c r="X514" s="405"/>
      <c r="Y514" s="405"/>
      <c r="Z514" s="135"/>
      <c r="AA514" s="136">
        <f t="shared" si="94"/>
        <v>0</v>
      </c>
      <c r="AB514" s="111"/>
      <c r="AC514" s="363"/>
      <c r="AD514" s="226">
        <f t="shared" si="90"/>
        <v>6867</v>
      </c>
    </row>
    <row r="515" spans="1:31" ht="204.75" outlineLevel="3" thickBot="1" x14ac:dyDescent="0.25">
      <c r="A515" s="199" t="s">
        <v>1276</v>
      </c>
      <c r="B515" s="483"/>
      <c r="C515" s="484"/>
      <c r="D515" s="483"/>
      <c r="E515" s="417" t="s">
        <v>582</v>
      </c>
      <c r="F515" s="417" t="s">
        <v>1100</v>
      </c>
      <c r="G515" s="417" t="s">
        <v>1183</v>
      </c>
      <c r="H515" s="127" t="s">
        <v>680</v>
      </c>
      <c r="I515" s="164">
        <v>3</v>
      </c>
      <c r="J515" s="163" t="s">
        <v>580</v>
      </c>
      <c r="K515" s="165" t="s">
        <v>1176</v>
      </c>
      <c r="L515" s="131">
        <v>1</v>
      </c>
      <c r="M515" s="132">
        <f t="shared" si="97"/>
        <v>3</v>
      </c>
      <c r="N515" s="133" t="s">
        <v>291</v>
      </c>
      <c r="O515" s="69" t="s">
        <v>242</v>
      </c>
      <c r="P515" s="131">
        <v>5</v>
      </c>
      <c r="Q515" s="134">
        <f t="shared" si="98"/>
        <v>15</v>
      </c>
      <c r="R515" s="428"/>
      <c r="S515" s="428"/>
      <c r="T515" s="133"/>
      <c r="U515" s="405"/>
      <c r="V515" s="135"/>
      <c r="W515" s="133"/>
      <c r="X515" s="405"/>
      <c r="Y515" s="405"/>
      <c r="Z515" s="135"/>
      <c r="AA515" s="136"/>
      <c r="AB515" s="111"/>
      <c r="AC515" s="363"/>
      <c r="AD515" s="226">
        <f t="shared" si="90"/>
        <v>6868</v>
      </c>
    </row>
    <row r="516" spans="1:31" s="303" customFormat="1" ht="243" outlineLevel="3" thickBot="1" x14ac:dyDescent="0.25">
      <c r="A516" s="199" t="s">
        <v>1277</v>
      </c>
      <c r="B516" s="478"/>
      <c r="C516" s="480"/>
      <c r="D516" s="478"/>
      <c r="E516" s="405" t="s">
        <v>585</v>
      </c>
      <c r="F516" s="405" t="s">
        <v>586</v>
      </c>
      <c r="G516" s="417" t="s">
        <v>1183</v>
      </c>
      <c r="H516" s="127" t="s">
        <v>680</v>
      </c>
      <c r="I516" s="164">
        <v>3</v>
      </c>
      <c r="J516" s="163" t="s">
        <v>580</v>
      </c>
      <c r="K516" s="165" t="s">
        <v>1176</v>
      </c>
      <c r="L516" s="131">
        <v>1</v>
      </c>
      <c r="M516" s="132">
        <f t="shared" si="97"/>
        <v>3</v>
      </c>
      <c r="N516" s="133" t="s">
        <v>291</v>
      </c>
      <c r="O516" s="69" t="s">
        <v>242</v>
      </c>
      <c r="P516" s="131">
        <v>5</v>
      </c>
      <c r="Q516" s="134">
        <f t="shared" si="98"/>
        <v>15</v>
      </c>
      <c r="R516" s="428"/>
      <c r="S516" s="428"/>
      <c r="T516" s="133"/>
      <c r="U516" s="405"/>
      <c r="V516" s="135"/>
      <c r="W516" s="133"/>
      <c r="X516" s="405"/>
      <c r="Y516" s="405"/>
      <c r="Z516" s="135"/>
      <c r="AA516" s="136">
        <f t="shared" ref="AA516" si="99">X516*Y516*Z516</f>
        <v>0</v>
      </c>
      <c r="AB516" s="111"/>
      <c r="AC516" s="367"/>
      <c r="AD516" s="226">
        <f t="shared" si="90"/>
        <v>6869</v>
      </c>
      <c r="AE516" s="239"/>
    </row>
    <row r="517" spans="1:31" s="303" customFormat="1" ht="204.75" outlineLevel="3" thickBot="1" x14ac:dyDescent="0.25">
      <c r="A517" s="199" t="s">
        <v>1278</v>
      </c>
      <c r="B517" s="505" t="s">
        <v>575</v>
      </c>
      <c r="C517" s="505" t="s">
        <v>576</v>
      </c>
      <c r="D517" s="503" t="s">
        <v>577</v>
      </c>
      <c r="E517" s="417" t="s">
        <v>588</v>
      </c>
      <c r="F517" s="417" t="s">
        <v>583</v>
      </c>
      <c r="G517" s="417" t="s">
        <v>1183</v>
      </c>
      <c r="H517" s="127" t="s">
        <v>680</v>
      </c>
      <c r="I517" s="164">
        <v>3</v>
      </c>
      <c r="J517" s="163" t="s">
        <v>580</v>
      </c>
      <c r="K517" s="165" t="s">
        <v>1176</v>
      </c>
      <c r="L517" s="131">
        <v>1</v>
      </c>
      <c r="M517" s="132">
        <f t="shared" si="97"/>
        <v>3</v>
      </c>
      <c r="N517" s="133" t="s">
        <v>291</v>
      </c>
      <c r="O517" s="69" t="s">
        <v>242</v>
      </c>
      <c r="P517" s="131">
        <v>5</v>
      </c>
      <c r="Q517" s="134">
        <f t="shared" si="98"/>
        <v>15</v>
      </c>
      <c r="R517" s="428"/>
      <c r="S517" s="428"/>
      <c r="T517" s="133"/>
      <c r="U517" s="405"/>
      <c r="V517" s="135"/>
      <c r="W517" s="133"/>
      <c r="X517" s="405"/>
      <c r="Y517" s="405"/>
      <c r="Z517" s="135"/>
      <c r="AA517" s="136"/>
      <c r="AB517" s="111"/>
      <c r="AC517" s="367"/>
      <c r="AD517" s="226">
        <f t="shared" si="90"/>
        <v>8905</v>
      </c>
      <c r="AE517" s="239"/>
    </row>
    <row r="518" spans="1:31" s="303" customFormat="1" ht="204.75" outlineLevel="3" thickBot="1" x14ac:dyDescent="0.25">
      <c r="A518" s="199" t="s">
        <v>1279</v>
      </c>
      <c r="B518" s="484"/>
      <c r="C518" s="484"/>
      <c r="D518" s="483"/>
      <c r="E518" s="417" t="s">
        <v>590</v>
      </c>
      <c r="F518" s="417" t="s">
        <v>591</v>
      </c>
      <c r="G518" s="417" t="s">
        <v>1183</v>
      </c>
      <c r="H518" s="127" t="s">
        <v>680</v>
      </c>
      <c r="I518" s="164">
        <v>3</v>
      </c>
      <c r="J518" s="163" t="s">
        <v>580</v>
      </c>
      <c r="K518" s="165" t="s">
        <v>1176</v>
      </c>
      <c r="L518" s="131">
        <v>1</v>
      </c>
      <c r="M518" s="132">
        <f t="shared" si="97"/>
        <v>3</v>
      </c>
      <c r="N518" s="133" t="s">
        <v>291</v>
      </c>
      <c r="O518" s="69" t="s">
        <v>242</v>
      </c>
      <c r="P518" s="131">
        <v>5</v>
      </c>
      <c r="Q518" s="134">
        <f t="shared" si="98"/>
        <v>15</v>
      </c>
      <c r="R518" s="428"/>
      <c r="S518" s="428"/>
      <c r="T518" s="133"/>
      <c r="U518" s="405"/>
      <c r="V518" s="135"/>
      <c r="W518" s="133"/>
      <c r="X518" s="405"/>
      <c r="Y518" s="405"/>
      <c r="Z518" s="135"/>
      <c r="AA518" s="136">
        <f t="shared" ref="AA518" si="100">X518*Y518*Z518</f>
        <v>0</v>
      </c>
      <c r="AB518" s="111"/>
      <c r="AC518" s="367"/>
      <c r="AD518" s="226">
        <f t="shared" ref="AD518:AD581" si="101">VALUE(RIGHT((IF(A518="",0,A518)),5))</f>
        <v>8906</v>
      </c>
      <c r="AE518" s="239"/>
    </row>
    <row r="519" spans="1:31" s="303" customFormat="1" ht="204.75" outlineLevel="3" thickBot="1" x14ac:dyDescent="0.25">
      <c r="A519" s="199" t="s">
        <v>1280</v>
      </c>
      <c r="B519" s="480"/>
      <c r="C519" s="480"/>
      <c r="D519" s="478"/>
      <c r="E519" s="405" t="s">
        <v>593</v>
      </c>
      <c r="F519" s="405" t="s">
        <v>594</v>
      </c>
      <c r="G519" s="417" t="s">
        <v>1183</v>
      </c>
      <c r="H519" s="127" t="s">
        <v>680</v>
      </c>
      <c r="I519" s="164">
        <v>3</v>
      </c>
      <c r="J519" s="163" t="s">
        <v>580</v>
      </c>
      <c r="K519" s="165" t="s">
        <v>1176</v>
      </c>
      <c r="L519" s="131">
        <v>1</v>
      </c>
      <c r="M519" s="132">
        <f t="shared" si="97"/>
        <v>3</v>
      </c>
      <c r="N519" s="133" t="s">
        <v>291</v>
      </c>
      <c r="O519" s="69" t="s">
        <v>242</v>
      </c>
      <c r="P519" s="131">
        <v>5</v>
      </c>
      <c r="Q519" s="134">
        <f t="shared" si="98"/>
        <v>15</v>
      </c>
      <c r="R519" s="428"/>
      <c r="S519" s="428"/>
      <c r="T519" s="133"/>
      <c r="U519" s="405"/>
      <c r="V519" s="135"/>
      <c r="W519" s="133"/>
      <c r="X519" s="405"/>
      <c r="Y519" s="405"/>
      <c r="Z519" s="135"/>
      <c r="AA519" s="136"/>
      <c r="AB519" s="111"/>
      <c r="AC519" s="367"/>
      <c r="AD519" s="226">
        <f t="shared" si="101"/>
        <v>8907</v>
      </c>
      <c r="AE519" s="239"/>
    </row>
    <row r="520" spans="1:31" s="303" customFormat="1" ht="204.75" outlineLevel="3" thickBot="1" x14ac:dyDescent="0.25">
      <c r="A520" s="199" t="s">
        <v>1281</v>
      </c>
      <c r="B520" s="477" t="s">
        <v>596</v>
      </c>
      <c r="C520" s="479" t="s">
        <v>597</v>
      </c>
      <c r="D520" s="477" t="s">
        <v>598</v>
      </c>
      <c r="E520" s="405" t="s">
        <v>275</v>
      </c>
      <c r="F520" s="405" t="s">
        <v>1108</v>
      </c>
      <c r="G520" s="405" t="s">
        <v>1183</v>
      </c>
      <c r="H520" s="420" t="s">
        <v>680</v>
      </c>
      <c r="I520" s="164">
        <v>3</v>
      </c>
      <c r="J520" s="163" t="s">
        <v>277</v>
      </c>
      <c r="K520" s="165" t="s">
        <v>1176</v>
      </c>
      <c r="L520" s="138">
        <v>1</v>
      </c>
      <c r="M520" s="132">
        <f t="shared" si="97"/>
        <v>3</v>
      </c>
      <c r="N520" s="133" t="s">
        <v>291</v>
      </c>
      <c r="O520" s="69" t="s">
        <v>242</v>
      </c>
      <c r="P520" s="131">
        <v>5</v>
      </c>
      <c r="Q520" s="134">
        <f t="shared" si="98"/>
        <v>15</v>
      </c>
      <c r="R520" s="428"/>
      <c r="S520" s="428"/>
      <c r="T520" s="133"/>
      <c r="U520" s="405"/>
      <c r="V520" s="135"/>
      <c r="W520" s="133"/>
      <c r="X520" s="405"/>
      <c r="Y520" s="405"/>
      <c r="Z520" s="135"/>
      <c r="AA520" s="136">
        <f t="shared" ref="AA520" si="102">X520*Y520*Z520</f>
        <v>0</v>
      </c>
      <c r="AB520" s="111"/>
      <c r="AC520" s="367"/>
      <c r="AD520" s="226">
        <f t="shared" si="101"/>
        <v>6870</v>
      </c>
      <c r="AE520" s="239"/>
    </row>
    <row r="521" spans="1:31" s="303" customFormat="1" ht="204.75" outlineLevel="3" thickBot="1" x14ac:dyDescent="0.25">
      <c r="A521" s="199" t="s">
        <v>1282</v>
      </c>
      <c r="B521" s="482"/>
      <c r="C521" s="480"/>
      <c r="D521" s="581"/>
      <c r="E521" s="417" t="s">
        <v>279</v>
      </c>
      <c r="F521" s="417" t="s">
        <v>1108</v>
      </c>
      <c r="G521" s="417" t="s">
        <v>1183</v>
      </c>
      <c r="H521" s="127" t="s">
        <v>680</v>
      </c>
      <c r="I521" s="164">
        <v>3</v>
      </c>
      <c r="J521" s="129" t="s">
        <v>784</v>
      </c>
      <c r="K521" s="165" t="s">
        <v>1176</v>
      </c>
      <c r="L521" s="131">
        <v>1</v>
      </c>
      <c r="M521" s="132">
        <f t="shared" si="97"/>
        <v>3</v>
      </c>
      <c r="N521" s="133" t="s">
        <v>291</v>
      </c>
      <c r="O521" s="69" t="s">
        <v>242</v>
      </c>
      <c r="P521" s="131">
        <v>5</v>
      </c>
      <c r="Q521" s="134">
        <f t="shared" si="98"/>
        <v>15</v>
      </c>
      <c r="R521" s="428"/>
      <c r="S521" s="428"/>
      <c r="T521" s="133"/>
      <c r="U521" s="405"/>
      <c r="V521" s="135"/>
      <c r="W521" s="133"/>
      <c r="X521" s="405"/>
      <c r="Y521" s="405"/>
      <c r="Z521" s="135"/>
      <c r="AA521" s="136"/>
      <c r="AB521" s="111"/>
      <c r="AC521" s="367"/>
      <c r="AD521" s="226">
        <f t="shared" si="101"/>
        <v>6871</v>
      </c>
      <c r="AE521" s="239"/>
    </row>
    <row r="522" spans="1:31" s="303" customFormat="1" ht="204.75" outlineLevel="3" thickBot="1" x14ac:dyDescent="0.25">
      <c r="A522" s="199" t="s">
        <v>1283</v>
      </c>
      <c r="B522" s="477" t="s">
        <v>602</v>
      </c>
      <c r="C522" s="479" t="s">
        <v>603</v>
      </c>
      <c r="D522" s="477" t="s">
        <v>604</v>
      </c>
      <c r="E522" s="417" t="s">
        <v>300</v>
      </c>
      <c r="F522" s="417" t="s">
        <v>605</v>
      </c>
      <c r="G522" s="405" t="s">
        <v>1183</v>
      </c>
      <c r="H522" s="127" t="s">
        <v>238</v>
      </c>
      <c r="I522" s="128">
        <v>1</v>
      </c>
      <c r="J522" s="129" t="s">
        <v>675</v>
      </c>
      <c r="K522" s="165" t="s">
        <v>1176</v>
      </c>
      <c r="L522" s="131">
        <v>1</v>
      </c>
      <c r="M522" s="132">
        <f t="shared" si="97"/>
        <v>1</v>
      </c>
      <c r="N522" s="133" t="s">
        <v>291</v>
      </c>
      <c r="O522" s="69" t="s">
        <v>242</v>
      </c>
      <c r="P522" s="131">
        <v>5</v>
      </c>
      <c r="Q522" s="134">
        <f t="shared" si="98"/>
        <v>5</v>
      </c>
      <c r="R522" s="428"/>
      <c r="S522" s="428"/>
      <c r="T522" s="133"/>
      <c r="U522" s="405"/>
      <c r="V522" s="135"/>
      <c r="W522" s="133"/>
      <c r="X522" s="405"/>
      <c r="Y522" s="405"/>
      <c r="Z522" s="135"/>
      <c r="AA522" s="136"/>
      <c r="AB522" s="111"/>
      <c r="AC522" s="367"/>
      <c r="AD522" s="226">
        <f t="shared" si="101"/>
        <v>6872</v>
      </c>
      <c r="AE522" s="239"/>
    </row>
    <row r="523" spans="1:31" ht="204.75" outlineLevel="3" thickBot="1" x14ac:dyDescent="0.25">
      <c r="A523" s="199" t="s">
        <v>1284</v>
      </c>
      <c r="B523" s="478"/>
      <c r="C523" s="480"/>
      <c r="D523" s="478"/>
      <c r="E523" s="417" t="s">
        <v>393</v>
      </c>
      <c r="F523" s="417" t="s">
        <v>607</v>
      </c>
      <c r="G523" s="405" t="s">
        <v>1183</v>
      </c>
      <c r="H523" s="127" t="s">
        <v>238</v>
      </c>
      <c r="I523" s="128">
        <v>1</v>
      </c>
      <c r="J523" s="129" t="s">
        <v>675</v>
      </c>
      <c r="K523" s="130" t="s">
        <v>338</v>
      </c>
      <c r="L523" s="131">
        <v>1</v>
      </c>
      <c r="M523" s="132">
        <f t="shared" si="97"/>
        <v>1</v>
      </c>
      <c r="N523" s="133" t="s">
        <v>291</v>
      </c>
      <c r="O523" s="69" t="s">
        <v>242</v>
      </c>
      <c r="P523" s="131">
        <v>5</v>
      </c>
      <c r="Q523" s="134">
        <f t="shared" si="98"/>
        <v>5</v>
      </c>
      <c r="R523" s="428"/>
      <c r="S523" s="428"/>
      <c r="T523" s="133"/>
      <c r="U523" s="405"/>
      <c r="V523" s="135"/>
      <c r="W523" s="133"/>
      <c r="X523" s="405"/>
      <c r="Y523" s="405"/>
      <c r="Z523" s="135"/>
      <c r="AA523" s="136">
        <f t="shared" si="94"/>
        <v>0</v>
      </c>
      <c r="AB523" s="111"/>
      <c r="AC523" s="363"/>
      <c r="AD523" s="226">
        <f t="shared" si="101"/>
        <v>6873</v>
      </c>
    </row>
    <row r="524" spans="1:31" ht="204.75" outlineLevel="3" thickBot="1" x14ac:dyDescent="0.25">
      <c r="A524" s="199" t="s">
        <v>1285</v>
      </c>
      <c r="B524" s="569" t="s">
        <v>609</v>
      </c>
      <c r="C524" s="499" t="s">
        <v>610</v>
      </c>
      <c r="D524" s="477" t="s">
        <v>611</v>
      </c>
      <c r="E524" s="417" t="s">
        <v>288</v>
      </c>
      <c r="F524" s="417" t="s">
        <v>612</v>
      </c>
      <c r="G524" s="405" t="s">
        <v>1183</v>
      </c>
      <c r="H524" s="127" t="s">
        <v>238</v>
      </c>
      <c r="I524" s="128">
        <v>1</v>
      </c>
      <c r="J524" s="129" t="s">
        <v>675</v>
      </c>
      <c r="K524" s="130" t="s">
        <v>338</v>
      </c>
      <c r="L524" s="131">
        <v>1</v>
      </c>
      <c r="M524" s="132">
        <f t="shared" si="97"/>
        <v>1</v>
      </c>
      <c r="N524" s="133" t="s">
        <v>291</v>
      </c>
      <c r="O524" s="69" t="s">
        <v>242</v>
      </c>
      <c r="P524" s="131">
        <v>5</v>
      </c>
      <c r="Q524" s="134">
        <f t="shared" si="98"/>
        <v>5</v>
      </c>
      <c r="R524" s="428"/>
      <c r="S524" s="428"/>
      <c r="T524" s="133"/>
      <c r="U524" s="405"/>
      <c r="V524" s="135"/>
      <c r="W524" s="133"/>
      <c r="X524" s="405"/>
      <c r="Y524" s="405"/>
      <c r="Z524" s="135"/>
      <c r="AA524" s="136"/>
      <c r="AB524" s="111"/>
      <c r="AC524" s="363"/>
      <c r="AD524" s="226">
        <f t="shared" si="101"/>
        <v>6874</v>
      </c>
    </row>
    <row r="525" spans="1:31" ht="153.75" customHeight="1" outlineLevel="3" thickBot="1" x14ac:dyDescent="0.25">
      <c r="A525" s="199" t="s">
        <v>1286</v>
      </c>
      <c r="B525" s="570"/>
      <c r="C525" s="500"/>
      <c r="D525" s="478"/>
      <c r="E525" s="417" t="s">
        <v>614</v>
      </c>
      <c r="F525" s="417" t="s">
        <v>615</v>
      </c>
      <c r="G525" s="405" t="s">
        <v>1183</v>
      </c>
      <c r="H525" s="127" t="s">
        <v>238</v>
      </c>
      <c r="I525" s="128">
        <v>1</v>
      </c>
      <c r="J525" s="129" t="s">
        <v>675</v>
      </c>
      <c r="K525" s="130" t="s">
        <v>338</v>
      </c>
      <c r="L525" s="131">
        <v>1</v>
      </c>
      <c r="M525" s="132">
        <f t="shared" si="97"/>
        <v>1</v>
      </c>
      <c r="N525" s="133" t="s">
        <v>291</v>
      </c>
      <c r="O525" s="69" t="s">
        <v>242</v>
      </c>
      <c r="P525" s="131">
        <v>5</v>
      </c>
      <c r="Q525" s="134">
        <f t="shared" si="98"/>
        <v>5</v>
      </c>
      <c r="R525" s="428"/>
      <c r="S525" s="428"/>
      <c r="T525" s="133"/>
      <c r="U525" s="405"/>
      <c r="V525" s="135"/>
      <c r="W525" s="133"/>
      <c r="X525" s="405"/>
      <c r="Y525" s="405"/>
      <c r="Z525" s="135"/>
      <c r="AA525" s="136">
        <f t="shared" ref="AA525" si="103">X525*Y525*Z525</f>
        <v>0</v>
      </c>
      <c r="AB525" s="111"/>
      <c r="AC525" s="226"/>
      <c r="AD525" s="226">
        <f t="shared" si="101"/>
        <v>6875</v>
      </c>
    </row>
    <row r="526" spans="1:31" ht="153.75" customHeight="1" outlineLevel="3" thickBot="1" x14ac:dyDescent="0.25">
      <c r="A526" s="245" t="s">
        <v>1287</v>
      </c>
      <c r="B526" s="492" t="s">
        <v>617</v>
      </c>
      <c r="C526" s="494" t="s">
        <v>618</v>
      </c>
      <c r="D526" s="492" t="s">
        <v>1288</v>
      </c>
      <c r="E526" s="409" t="s">
        <v>300</v>
      </c>
      <c r="F526" s="329" t="s">
        <v>1289</v>
      </c>
      <c r="G526" s="409" t="s">
        <v>1183</v>
      </c>
      <c r="H526" s="295" t="s">
        <v>238</v>
      </c>
      <c r="I526" s="296">
        <v>1</v>
      </c>
      <c r="J526" s="297" t="s">
        <v>302</v>
      </c>
      <c r="K526" s="130" t="s">
        <v>338</v>
      </c>
      <c r="L526" s="234">
        <v>1</v>
      </c>
      <c r="M526" s="231">
        <f t="shared" si="97"/>
        <v>1</v>
      </c>
      <c r="N526" s="232" t="s">
        <v>291</v>
      </c>
      <c r="O526" s="233" t="s">
        <v>242</v>
      </c>
      <c r="P526" s="234">
        <v>5</v>
      </c>
      <c r="Q526" s="235">
        <f t="shared" si="98"/>
        <v>5</v>
      </c>
      <c r="R526" s="428"/>
      <c r="S526" s="428"/>
      <c r="T526" s="133"/>
      <c r="U526" s="405"/>
      <c r="V526" s="135"/>
      <c r="W526" s="133"/>
      <c r="X526" s="405"/>
      <c r="Y526" s="405"/>
      <c r="Z526" s="135"/>
      <c r="AA526" s="136"/>
      <c r="AB526" s="111"/>
      <c r="AC526" s="226"/>
      <c r="AD526" s="226">
        <f t="shared" si="101"/>
        <v>11001</v>
      </c>
    </row>
    <row r="527" spans="1:31" ht="153.75" customHeight="1" outlineLevel="3" thickBot="1" x14ac:dyDescent="0.25">
      <c r="A527" s="245" t="s">
        <v>1290</v>
      </c>
      <c r="B527" s="493"/>
      <c r="C527" s="495"/>
      <c r="D527" s="493"/>
      <c r="E527" s="409" t="s">
        <v>393</v>
      </c>
      <c r="F527" s="329" t="s">
        <v>622</v>
      </c>
      <c r="G527" s="409" t="s">
        <v>1183</v>
      </c>
      <c r="H527" s="295" t="s">
        <v>238</v>
      </c>
      <c r="I527" s="296">
        <v>1</v>
      </c>
      <c r="J527" s="297" t="s">
        <v>307</v>
      </c>
      <c r="K527" s="130" t="s">
        <v>338</v>
      </c>
      <c r="L527" s="234">
        <v>1</v>
      </c>
      <c r="M527" s="231">
        <f t="shared" si="97"/>
        <v>1</v>
      </c>
      <c r="N527" s="232" t="s">
        <v>291</v>
      </c>
      <c r="O527" s="233" t="s">
        <v>242</v>
      </c>
      <c r="P527" s="234">
        <v>5</v>
      </c>
      <c r="Q527" s="235">
        <f t="shared" si="98"/>
        <v>5</v>
      </c>
      <c r="R527" s="428"/>
      <c r="S527" s="428"/>
      <c r="T527" s="133"/>
      <c r="U527" s="405"/>
      <c r="V527" s="135"/>
      <c r="W527" s="133"/>
      <c r="X527" s="405"/>
      <c r="Y527" s="405"/>
      <c r="Z527" s="135"/>
      <c r="AA527" s="136"/>
      <c r="AB527" s="111"/>
      <c r="AC527" s="226"/>
      <c r="AD527" s="226">
        <f t="shared" si="101"/>
        <v>11002</v>
      </c>
    </row>
    <row r="528" spans="1:31" ht="204.75" outlineLevel="3" thickBot="1" x14ac:dyDescent="0.25">
      <c r="A528" s="304" t="s">
        <v>1291</v>
      </c>
      <c r="B528" s="518" t="s">
        <v>349</v>
      </c>
      <c r="C528" s="507" t="s">
        <v>624</v>
      </c>
      <c r="D528" s="518" t="s">
        <v>915</v>
      </c>
      <c r="E528" s="410" t="s">
        <v>352</v>
      </c>
      <c r="F528" s="329" t="s">
        <v>626</v>
      </c>
      <c r="G528" s="417" t="s">
        <v>1183</v>
      </c>
      <c r="H528" s="127" t="s">
        <v>680</v>
      </c>
      <c r="I528" s="164">
        <v>3</v>
      </c>
      <c r="J528" s="410" t="s">
        <v>302</v>
      </c>
      <c r="K528" s="130" t="s">
        <v>338</v>
      </c>
      <c r="L528" s="410">
        <v>1</v>
      </c>
      <c r="M528" s="231">
        <f t="shared" si="97"/>
        <v>3</v>
      </c>
      <c r="N528" s="232" t="s">
        <v>303</v>
      </c>
      <c r="O528" s="233" t="s">
        <v>242</v>
      </c>
      <c r="P528" s="234">
        <v>5</v>
      </c>
      <c r="Q528" s="235">
        <f>P528*L528*I528</f>
        <v>15</v>
      </c>
      <c r="R528" s="428"/>
      <c r="S528" s="428"/>
      <c r="T528" s="133"/>
      <c r="U528" s="405"/>
      <c r="V528" s="135"/>
      <c r="W528" s="133"/>
      <c r="X528" s="405"/>
      <c r="Y528" s="405"/>
      <c r="Z528" s="135"/>
      <c r="AA528" s="136">
        <f t="shared" si="94"/>
        <v>0</v>
      </c>
      <c r="AB528" s="111"/>
      <c r="AC528" s="363"/>
      <c r="AD528" s="226">
        <f t="shared" si="101"/>
        <v>11003</v>
      </c>
    </row>
    <row r="529" spans="1:31" ht="204.75" outlineLevel="3" thickBot="1" x14ac:dyDescent="0.25">
      <c r="A529" s="306" t="s">
        <v>1292</v>
      </c>
      <c r="B529" s="518"/>
      <c r="C529" s="507"/>
      <c r="D529" s="518"/>
      <c r="E529" s="410" t="s">
        <v>355</v>
      </c>
      <c r="F529" s="410" t="s">
        <v>628</v>
      </c>
      <c r="G529" s="417" t="s">
        <v>1183</v>
      </c>
      <c r="H529" s="127" t="s">
        <v>680</v>
      </c>
      <c r="I529" s="164">
        <v>3</v>
      </c>
      <c r="J529" s="410" t="s">
        <v>307</v>
      </c>
      <c r="K529" s="130" t="s">
        <v>338</v>
      </c>
      <c r="L529" s="410">
        <v>1</v>
      </c>
      <c r="M529" s="231">
        <f t="shared" si="97"/>
        <v>3</v>
      </c>
      <c r="N529" s="232" t="s">
        <v>303</v>
      </c>
      <c r="O529" s="233" t="s">
        <v>242</v>
      </c>
      <c r="P529" s="234">
        <v>5</v>
      </c>
      <c r="Q529" s="235">
        <f>P529*L529*I529</f>
        <v>15</v>
      </c>
      <c r="R529" s="428"/>
      <c r="S529" s="428"/>
      <c r="T529" s="133"/>
      <c r="U529" s="405"/>
      <c r="V529" s="135"/>
      <c r="W529" s="133"/>
      <c r="X529" s="405"/>
      <c r="Y529" s="405"/>
      <c r="Z529" s="135"/>
      <c r="AA529" s="136"/>
      <c r="AB529" s="111"/>
      <c r="AC529" s="363"/>
      <c r="AD529" s="226">
        <f t="shared" si="101"/>
        <v>11004</v>
      </c>
    </row>
    <row r="530" spans="1:31" ht="204.75" outlineLevel="3" thickBot="1" x14ac:dyDescent="0.25">
      <c r="A530" s="199" t="s">
        <v>1293</v>
      </c>
      <c r="B530" s="477" t="s">
        <v>630</v>
      </c>
      <c r="C530" s="479" t="s">
        <v>631</v>
      </c>
      <c r="D530" s="477" t="s">
        <v>632</v>
      </c>
      <c r="E530" s="405" t="s">
        <v>633</v>
      </c>
      <c r="F530" s="405" t="s">
        <v>634</v>
      </c>
      <c r="G530" s="405" t="s">
        <v>1183</v>
      </c>
      <c r="H530" s="420" t="s">
        <v>238</v>
      </c>
      <c r="I530" s="164">
        <v>1</v>
      </c>
      <c r="J530" s="163" t="s">
        <v>277</v>
      </c>
      <c r="K530" s="165" t="s">
        <v>338</v>
      </c>
      <c r="L530" s="138">
        <v>1</v>
      </c>
      <c r="M530" s="231">
        <f t="shared" si="97"/>
        <v>1</v>
      </c>
      <c r="N530" s="232" t="s">
        <v>291</v>
      </c>
      <c r="O530" s="233" t="s">
        <v>242</v>
      </c>
      <c r="P530" s="234">
        <v>5</v>
      </c>
      <c r="Q530" s="235">
        <f t="shared" ref="Q530:Q532" si="104">I530*L530*P530</f>
        <v>5</v>
      </c>
      <c r="R530" s="428"/>
      <c r="S530" s="428"/>
      <c r="T530" s="133"/>
      <c r="U530" s="405"/>
      <c r="V530" s="135"/>
      <c r="W530" s="133"/>
      <c r="X530" s="405"/>
      <c r="Y530" s="405"/>
      <c r="Z530" s="135"/>
      <c r="AA530" s="136">
        <f t="shared" si="94"/>
        <v>0</v>
      </c>
      <c r="AB530" s="111"/>
      <c r="AC530" s="363"/>
      <c r="AD530" s="226">
        <f t="shared" si="101"/>
        <v>11005</v>
      </c>
    </row>
    <row r="531" spans="1:31" s="144" customFormat="1" ht="204.75" outlineLevel="3" thickBot="1" x14ac:dyDescent="0.25">
      <c r="A531" s="245" t="s">
        <v>1294</v>
      </c>
      <c r="B531" s="481"/>
      <c r="C531" s="502"/>
      <c r="D531" s="481"/>
      <c r="E531" s="409" t="s">
        <v>636</v>
      </c>
      <c r="F531" s="409" t="s">
        <v>637</v>
      </c>
      <c r="G531" s="417" t="s">
        <v>1183</v>
      </c>
      <c r="H531" s="127" t="s">
        <v>680</v>
      </c>
      <c r="I531" s="164">
        <v>3</v>
      </c>
      <c r="J531" s="297" t="s">
        <v>277</v>
      </c>
      <c r="K531" s="130" t="s">
        <v>338</v>
      </c>
      <c r="L531" s="234">
        <v>1</v>
      </c>
      <c r="M531" s="231">
        <f t="shared" si="97"/>
        <v>3</v>
      </c>
      <c r="N531" s="232" t="s">
        <v>291</v>
      </c>
      <c r="O531" s="233" t="s">
        <v>242</v>
      </c>
      <c r="P531" s="234">
        <v>5</v>
      </c>
      <c r="Q531" s="235">
        <f t="shared" si="104"/>
        <v>15</v>
      </c>
      <c r="R531" s="428"/>
      <c r="S531" s="428"/>
      <c r="T531" s="133"/>
      <c r="U531" s="405"/>
      <c r="V531" s="135"/>
      <c r="W531" s="133"/>
      <c r="X531" s="405"/>
      <c r="Y531" s="405"/>
      <c r="Z531" s="135"/>
      <c r="AA531" s="136"/>
      <c r="AB531" s="111"/>
      <c r="AC531" s="428"/>
      <c r="AD531" s="226">
        <f t="shared" si="101"/>
        <v>11006</v>
      </c>
      <c r="AE531" s="350"/>
    </row>
    <row r="532" spans="1:31" s="144" customFormat="1" ht="204.75" outlineLevel="3" thickBot="1" x14ac:dyDescent="0.25">
      <c r="A532" s="245" t="s">
        <v>1295</v>
      </c>
      <c r="B532" s="482"/>
      <c r="C532" s="495"/>
      <c r="D532" s="482"/>
      <c r="E532" s="409" t="s">
        <v>279</v>
      </c>
      <c r="F532" s="409" t="s">
        <v>639</v>
      </c>
      <c r="G532" s="417" t="s">
        <v>1183</v>
      </c>
      <c r="H532" s="127" t="s">
        <v>680</v>
      </c>
      <c r="I532" s="164">
        <v>3</v>
      </c>
      <c r="J532" s="297" t="s">
        <v>412</v>
      </c>
      <c r="K532" s="130" t="s">
        <v>338</v>
      </c>
      <c r="L532" s="234">
        <v>1</v>
      </c>
      <c r="M532" s="231">
        <f t="shared" si="97"/>
        <v>3</v>
      </c>
      <c r="N532" s="232" t="s">
        <v>291</v>
      </c>
      <c r="O532" s="233" t="s">
        <v>242</v>
      </c>
      <c r="P532" s="234">
        <v>5</v>
      </c>
      <c r="Q532" s="235">
        <f t="shared" si="104"/>
        <v>15</v>
      </c>
      <c r="R532" s="428"/>
      <c r="S532" s="428"/>
      <c r="T532" s="133"/>
      <c r="U532" s="405"/>
      <c r="V532" s="135"/>
      <c r="W532" s="133"/>
      <c r="X532" s="405"/>
      <c r="Y532" s="405"/>
      <c r="Z532" s="135"/>
      <c r="AA532" s="136"/>
      <c r="AB532" s="111"/>
      <c r="AC532" s="358"/>
      <c r="AD532" s="226">
        <f t="shared" si="101"/>
        <v>11007</v>
      </c>
      <c r="AE532" s="358"/>
    </row>
    <row r="533" spans="1:31" s="144" customFormat="1" ht="204.75" outlineLevel="3" thickBot="1" x14ac:dyDescent="0.25">
      <c r="A533" s="199" t="s">
        <v>1296</v>
      </c>
      <c r="B533" s="477" t="s">
        <v>641</v>
      </c>
      <c r="C533" s="479" t="s">
        <v>642</v>
      </c>
      <c r="D533" s="477" t="s">
        <v>643</v>
      </c>
      <c r="E533" s="417" t="s">
        <v>326</v>
      </c>
      <c r="F533" s="417" t="s">
        <v>644</v>
      </c>
      <c r="G533" s="405" t="s">
        <v>1183</v>
      </c>
      <c r="H533" s="127" t="s">
        <v>238</v>
      </c>
      <c r="I533" s="128">
        <v>1</v>
      </c>
      <c r="J533" s="163" t="s">
        <v>328</v>
      </c>
      <c r="K533" s="130" t="s">
        <v>338</v>
      </c>
      <c r="L533" s="131">
        <v>1</v>
      </c>
      <c r="M533" s="132">
        <f t="shared" si="97"/>
        <v>1</v>
      </c>
      <c r="N533" s="133" t="s">
        <v>291</v>
      </c>
      <c r="O533" s="69" t="s">
        <v>242</v>
      </c>
      <c r="P533" s="131">
        <v>5</v>
      </c>
      <c r="Q533" s="134">
        <f t="shared" si="98"/>
        <v>5</v>
      </c>
      <c r="R533" s="428"/>
      <c r="S533" s="428"/>
      <c r="T533" s="133"/>
      <c r="U533" s="405"/>
      <c r="V533" s="135"/>
      <c r="W533" s="133"/>
      <c r="X533" s="405"/>
      <c r="Y533" s="405"/>
      <c r="Z533" s="135"/>
      <c r="AA533" s="136">
        <f>X533*Y533*Z533</f>
        <v>0</v>
      </c>
      <c r="AB533" s="111"/>
      <c r="AC533" s="366"/>
      <c r="AD533" s="226">
        <f t="shared" si="101"/>
        <v>6876</v>
      </c>
      <c r="AE533" s="350"/>
    </row>
    <row r="534" spans="1:31" s="144" customFormat="1" ht="204.75" outlineLevel="3" thickBot="1" x14ac:dyDescent="0.25">
      <c r="A534" s="199" t="s">
        <v>1297</v>
      </c>
      <c r="B534" s="478"/>
      <c r="C534" s="480"/>
      <c r="D534" s="478"/>
      <c r="E534" s="417" t="s">
        <v>330</v>
      </c>
      <c r="F534" s="417" t="s">
        <v>1298</v>
      </c>
      <c r="G534" s="417" t="s">
        <v>1183</v>
      </c>
      <c r="H534" s="127" t="s">
        <v>680</v>
      </c>
      <c r="I534" s="164">
        <v>3</v>
      </c>
      <c r="J534" s="163" t="s">
        <v>332</v>
      </c>
      <c r="K534" s="165" t="s">
        <v>1176</v>
      </c>
      <c r="L534" s="131">
        <v>1</v>
      </c>
      <c r="M534" s="132">
        <f t="shared" si="97"/>
        <v>3</v>
      </c>
      <c r="N534" s="133" t="s">
        <v>291</v>
      </c>
      <c r="O534" s="69" t="s">
        <v>242</v>
      </c>
      <c r="P534" s="131">
        <v>5</v>
      </c>
      <c r="Q534" s="134">
        <f t="shared" si="98"/>
        <v>15</v>
      </c>
      <c r="R534" s="428"/>
      <c r="S534" s="428"/>
      <c r="T534" s="133"/>
      <c r="U534" s="405"/>
      <c r="V534" s="135"/>
      <c r="W534" s="133"/>
      <c r="X534" s="405"/>
      <c r="Y534" s="405"/>
      <c r="Z534" s="135"/>
      <c r="AA534" s="136"/>
      <c r="AB534" s="111"/>
      <c r="AC534" s="366"/>
      <c r="AD534" s="226">
        <f t="shared" si="101"/>
        <v>6877</v>
      </c>
      <c r="AE534" s="350"/>
    </row>
    <row r="535" spans="1:31" s="144" customFormat="1" ht="204.75" outlineLevel="3" thickBot="1" x14ac:dyDescent="0.25">
      <c r="A535" s="199" t="s">
        <v>1299</v>
      </c>
      <c r="B535" s="477" t="s">
        <v>924</v>
      </c>
      <c r="C535" s="479" t="s">
        <v>649</v>
      </c>
      <c r="D535" s="477" t="s">
        <v>650</v>
      </c>
      <c r="E535" s="405" t="s">
        <v>651</v>
      </c>
      <c r="F535" s="405" t="s">
        <v>925</v>
      </c>
      <c r="G535" s="405" t="s">
        <v>1183</v>
      </c>
      <c r="H535" s="420" t="s">
        <v>238</v>
      </c>
      <c r="I535" s="164">
        <v>1</v>
      </c>
      <c r="J535" s="163" t="s">
        <v>302</v>
      </c>
      <c r="K535" s="165" t="s">
        <v>1176</v>
      </c>
      <c r="L535" s="138">
        <v>1</v>
      </c>
      <c r="M535" s="166">
        <f t="shared" si="97"/>
        <v>1</v>
      </c>
      <c r="N535" s="133" t="s">
        <v>291</v>
      </c>
      <c r="O535" s="420" t="s">
        <v>242</v>
      </c>
      <c r="P535" s="138">
        <v>5</v>
      </c>
      <c r="Q535" s="225">
        <f t="shared" si="98"/>
        <v>5</v>
      </c>
      <c r="R535" s="428"/>
      <c r="S535" s="428"/>
      <c r="T535" s="133"/>
      <c r="U535" s="405"/>
      <c r="V535" s="135"/>
      <c r="W535" s="133"/>
      <c r="X535" s="405"/>
      <c r="Y535" s="405"/>
      <c r="Z535" s="135"/>
      <c r="AA535" s="136"/>
      <c r="AB535" s="111"/>
      <c r="AC535" s="366"/>
      <c r="AD535" s="226">
        <f t="shared" si="101"/>
        <v>11008</v>
      </c>
      <c r="AE535" s="350"/>
    </row>
    <row r="536" spans="1:31" s="144" customFormat="1" ht="204.75" outlineLevel="3" thickBot="1" x14ac:dyDescent="0.25">
      <c r="A536" s="199" t="s">
        <v>1300</v>
      </c>
      <c r="B536" s="483"/>
      <c r="C536" s="484"/>
      <c r="D536" s="483"/>
      <c r="E536" s="405" t="s">
        <v>927</v>
      </c>
      <c r="F536" s="405" t="s">
        <v>655</v>
      </c>
      <c r="G536" s="417" t="s">
        <v>1183</v>
      </c>
      <c r="H536" s="127" t="s">
        <v>680</v>
      </c>
      <c r="I536" s="164">
        <v>3</v>
      </c>
      <c r="J536" s="163" t="s">
        <v>302</v>
      </c>
      <c r="K536" s="165" t="s">
        <v>1176</v>
      </c>
      <c r="L536" s="138">
        <v>1</v>
      </c>
      <c r="M536" s="166">
        <f t="shared" si="97"/>
        <v>3</v>
      </c>
      <c r="N536" s="133" t="s">
        <v>291</v>
      </c>
      <c r="O536" s="420" t="s">
        <v>242</v>
      </c>
      <c r="P536" s="138">
        <v>5</v>
      </c>
      <c r="Q536" s="225">
        <f t="shared" si="98"/>
        <v>15</v>
      </c>
      <c r="R536" s="428"/>
      <c r="S536" s="428"/>
      <c r="T536" s="133"/>
      <c r="U536" s="405"/>
      <c r="V536" s="135"/>
      <c r="W536" s="133"/>
      <c r="X536" s="405"/>
      <c r="Y536" s="405"/>
      <c r="Z536" s="135"/>
      <c r="AA536" s="136"/>
      <c r="AB536" s="111"/>
      <c r="AC536" s="366"/>
      <c r="AD536" s="226">
        <f t="shared" si="101"/>
        <v>11009</v>
      </c>
      <c r="AE536" s="350"/>
    </row>
    <row r="537" spans="1:31" s="144" customFormat="1" ht="204.75" outlineLevel="3" thickBot="1" x14ac:dyDescent="0.25">
      <c r="A537" s="199" t="s">
        <v>1301</v>
      </c>
      <c r="B537" s="478"/>
      <c r="C537" s="480"/>
      <c r="D537" s="478"/>
      <c r="E537" s="405" t="s">
        <v>393</v>
      </c>
      <c r="F537" s="405" t="s">
        <v>657</v>
      </c>
      <c r="G537" s="405" t="s">
        <v>1183</v>
      </c>
      <c r="H537" s="420" t="s">
        <v>238</v>
      </c>
      <c r="I537" s="164">
        <v>1</v>
      </c>
      <c r="J537" s="163" t="s">
        <v>307</v>
      </c>
      <c r="K537" s="165" t="s">
        <v>1176</v>
      </c>
      <c r="L537" s="138">
        <v>1</v>
      </c>
      <c r="M537" s="166">
        <f t="shared" si="97"/>
        <v>1</v>
      </c>
      <c r="N537" s="133" t="s">
        <v>291</v>
      </c>
      <c r="O537" s="420" t="s">
        <v>242</v>
      </c>
      <c r="P537" s="138">
        <v>5</v>
      </c>
      <c r="Q537" s="225">
        <f t="shared" si="98"/>
        <v>5</v>
      </c>
      <c r="R537" s="428"/>
      <c r="S537" s="428"/>
      <c r="T537" s="133"/>
      <c r="U537" s="405"/>
      <c r="V537" s="135"/>
      <c r="W537" s="133"/>
      <c r="X537" s="405"/>
      <c r="Y537" s="405"/>
      <c r="Z537" s="135"/>
      <c r="AA537" s="136">
        <f>X537*Y537*Z537</f>
        <v>0</v>
      </c>
      <c r="AB537" s="111"/>
      <c r="AC537" s="366"/>
      <c r="AD537" s="226">
        <f t="shared" si="101"/>
        <v>11010</v>
      </c>
      <c r="AE537" s="350"/>
    </row>
    <row r="538" spans="1:31" ht="204.75" outlineLevel="3" thickBot="1" x14ac:dyDescent="0.25">
      <c r="A538" s="199" t="s">
        <v>1302</v>
      </c>
      <c r="B538" s="477" t="s">
        <v>659</v>
      </c>
      <c r="C538" s="486" t="s">
        <v>660</v>
      </c>
      <c r="D538" s="477" t="s">
        <v>661</v>
      </c>
      <c r="E538" s="417" t="s">
        <v>662</v>
      </c>
      <c r="F538" s="417" t="s">
        <v>1131</v>
      </c>
      <c r="G538" s="417" t="s">
        <v>1183</v>
      </c>
      <c r="H538" s="127" t="s">
        <v>680</v>
      </c>
      <c r="I538" s="164">
        <v>3</v>
      </c>
      <c r="J538" s="163" t="s">
        <v>931</v>
      </c>
      <c r="K538" s="165" t="s">
        <v>1176</v>
      </c>
      <c r="L538" s="131">
        <v>1</v>
      </c>
      <c r="M538" s="132">
        <f t="shared" si="97"/>
        <v>3</v>
      </c>
      <c r="N538" s="133" t="s">
        <v>291</v>
      </c>
      <c r="O538" s="69" t="s">
        <v>242</v>
      </c>
      <c r="P538" s="131">
        <v>5</v>
      </c>
      <c r="Q538" s="134">
        <f t="shared" si="98"/>
        <v>15</v>
      </c>
      <c r="R538" s="428"/>
      <c r="S538" s="428"/>
      <c r="T538" s="133"/>
      <c r="U538" s="405"/>
      <c r="V538" s="135"/>
      <c r="W538" s="133"/>
      <c r="X538" s="405"/>
      <c r="Y538" s="405"/>
      <c r="Z538" s="135"/>
      <c r="AA538" s="136"/>
      <c r="AB538" s="111"/>
      <c r="AC538" s="227"/>
      <c r="AD538" s="226">
        <f t="shared" si="101"/>
        <v>6878</v>
      </c>
    </row>
    <row r="539" spans="1:31" ht="204.75" outlineLevel="3" thickBot="1" x14ac:dyDescent="0.25">
      <c r="A539" s="199" t="s">
        <v>1303</v>
      </c>
      <c r="B539" s="483"/>
      <c r="C539" s="501"/>
      <c r="D539" s="483"/>
      <c r="E539" s="417" t="s">
        <v>666</v>
      </c>
      <c r="F539" s="417" t="s">
        <v>1133</v>
      </c>
      <c r="G539" s="417" t="s">
        <v>1183</v>
      </c>
      <c r="H539" s="127" t="s">
        <v>680</v>
      </c>
      <c r="I539" s="164">
        <v>3</v>
      </c>
      <c r="J539" s="163" t="s">
        <v>931</v>
      </c>
      <c r="K539" s="165" t="s">
        <v>1176</v>
      </c>
      <c r="L539" s="131">
        <v>1</v>
      </c>
      <c r="M539" s="132">
        <f t="shared" si="97"/>
        <v>3</v>
      </c>
      <c r="N539" s="133" t="s">
        <v>291</v>
      </c>
      <c r="O539" s="69" t="s">
        <v>242</v>
      </c>
      <c r="P539" s="131">
        <v>5</v>
      </c>
      <c r="Q539" s="134">
        <f t="shared" si="98"/>
        <v>15</v>
      </c>
      <c r="R539" s="428"/>
      <c r="S539" s="428"/>
      <c r="T539" s="133"/>
      <c r="U539" s="405"/>
      <c r="V539" s="135"/>
      <c r="W539" s="133"/>
      <c r="X539" s="405"/>
      <c r="Y539" s="405"/>
      <c r="Z539" s="135"/>
      <c r="AA539" s="136">
        <f>X539*Y539*Z539</f>
        <v>0</v>
      </c>
      <c r="AB539" s="111"/>
      <c r="AC539" s="226"/>
      <c r="AD539" s="226">
        <f t="shared" si="101"/>
        <v>6879</v>
      </c>
    </row>
    <row r="540" spans="1:31" s="144" customFormat="1" ht="204.75" outlineLevel="3" thickBot="1" x14ac:dyDescent="0.25">
      <c r="A540" s="199" t="s">
        <v>1304</v>
      </c>
      <c r="B540" s="483"/>
      <c r="C540" s="501"/>
      <c r="D540" s="483"/>
      <c r="E540" s="417" t="s">
        <v>669</v>
      </c>
      <c r="F540" s="417" t="s">
        <v>670</v>
      </c>
      <c r="G540" s="405" t="s">
        <v>1183</v>
      </c>
      <c r="H540" s="127" t="s">
        <v>238</v>
      </c>
      <c r="I540" s="128">
        <v>1</v>
      </c>
      <c r="J540" s="129" t="s">
        <v>675</v>
      </c>
      <c r="K540" s="130" t="s">
        <v>338</v>
      </c>
      <c r="L540" s="131">
        <v>1</v>
      </c>
      <c r="M540" s="132">
        <f t="shared" si="97"/>
        <v>1</v>
      </c>
      <c r="N540" s="133" t="s">
        <v>291</v>
      </c>
      <c r="O540" s="69" t="s">
        <v>242</v>
      </c>
      <c r="P540" s="131">
        <v>5</v>
      </c>
      <c r="Q540" s="134">
        <f t="shared" si="98"/>
        <v>5</v>
      </c>
      <c r="R540" s="428"/>
      <c r="S540" s="428"/>
      <c r="T540" s="133"/>
      <c r="U540" s="405"/>
      <c r="V540" s="135"/>
      <c r="W540" s="133"/>
      <c r="X540" s="405"/>
      <c r="Y540" s="405"/>
      <c r="Z540" s="135"/>
      <c r="AA540" s="136">
        <f t="shared" ref="AA540" si="105">X540*Y540*Z540</f>
        <v>0</v>
      </c>
      <c r="AB540" s="111"/>
      <c r="AC540" s="366"/>
      <c r="AD540" s="226">
        <f t="shared" si="101"/>
        <v>6880</v>
      </c>
      <c r="AE540" s="350"/>
    </row>
    <row r="541" spans="1:31" s="144" customFormat="1" ht="204.75" outlineLevel="3" thickBot="1" x14ac:dyDescent="0.25">
      <c r="A541" s="199" t="s">
        <v>1305</v>
      </c>
      <c r="B541" s="483"/>
      <c r="C541" s="501"/>
      <c r="D541" s="483"/>
      <c r="E541" s="417" t="s">
        <v>673</v>
      </c>
      <c r="F541" s="417" t="s">
        <v>674</v>
      </c>
      <c r="G541" s="405" t="s">
        <v>1183</v>
      </c>
      <c r="H541" s="127" t="s">
        <v>238</v>
      </c>
      <c r="I541" s="128">
        <v>1</v>
      </c>
      <c r="J541" s="129" t="s">
        <v>675</v>
      </c>
      <c r="K541" s="130" t="s">
        <v>338</v>
      </c>
      <c r="L541" s="131">
        <v>1</v>
      </c>
      <c r="M541" s="132">
        <f t="shared" si="97"/>
        <v>1</v>
      </c>
      <c r="N541" s="133" t="s">
        <v>291</v>
      </c>
      <c r="O541" s="69" t="s">
        <v>242</v>
      </c>
      <c r="P541" s="131">
        <v>5</v>
      </c>
      <c r="Q541" s="134">
        <f t="shared" si="98"/>
        <v>5</v>
      </c>
      <c r="R541" s="428"/>
      <c r="S541" s="428"/>
      <c r="T541" s="133"/>
      <c r="U541" s="405"/>
      <c r="V541" s="135"/>
      <c r="W541" s="133"/>
      <c r="X541" s="405"/>
      <c r="Y541" s="405"/>
      <c r="Z541" s="135"/>
      <c r="AA541" s="136"/>
      <c r="AB541" s="111"/>
      <c r="AC541" s="366"/>
      <c r="AD541" s="226">
        <f t="shared" si="101"/>
        <v>6881</v>
      </c>
      <c r="AE541" s="350"/>
    </row>
    <row r="542" spans="1:31" s="144" customFormat="1" ht="217.5" outlineLevel="3" thickBot="1" x14ac:dyDescent="0.25">
      <c r="A542" s="199" t="s">
        <v>1306</v>
      </c>
      <c r="B542" s="483"/>
      <c r="C542" s="501"/>
      <c r="D542" s="483"/>
      <c r="E542" s="405" t="s">
        <v>677</v>
      </c>
      <c r="F542" s="405" t="s">
        <v>1307</v>
      </c>
      <c r="G542" s="405" t="s">
        <v>1183</v>
      </c>
      <c r="H542" s="420" t="s">
        <v>680</v>
      </c>
      <c r="I542" s="164">
        <v>4</v>
      </c>
      <c r="J542" s="163" t="s">
        <v>681</v>
      </c>
      <c r="K542" s="165" t="s">
        <v>338</v>
      </c>
      <c r="L542" s="138">
        <v>1</v>
      </c>
      <c r="M542" s="166">
        <f t="shared" si="97"/>
        <v>4</v>
      </c>
      <c r="N542" s="133" t="s">
        <v>291</v>
      </c>
      <c r="O542" s="69" t="s">
        <v>242</v>
      </c>
      <c r="P542" s="131">
        <v>5</v>
      </c>
      <c r="Q542" s="134">
        <f>P542*L542*I542</f>
        <v>20</v>
      </c>
      <c r="R542" s="428"/>
      <c r="S542" s="428"/>
      <c r="T542" s="133"/>
      <c r="U542" s="405"/>
      <c r="V542" s="135"/>
      <c r="W542" s="133"/>
      <c r="X542" s="405"/>
      <c r="Y542" s="405"/>
      <c r="Z542" s="135"/>
      <c r="AA542" s="136">
        <f t="shared" ref="AA542" si="106">X542*Y542*Z542</f>
        <v>0</v>
      </c>
      <c r="AB542" s="111"/>
      <c r="AC542" s="366"/>
      <c r="AD542" s="226">
        <f t="shared" si="101"/>
        <v>6882</v>
      </c>
      <c r="AE542" s="350"/>
    </row>
    <row r="543" spans="1:31" s="144" customFormat="1" ht="204.75" outlineLevel="3" thickBot="1" x14ac:dyDescent="0.25">
      <c r="A543" s="199" t="s">
        <v>1308</v>
      </c>
      <c r="B543" s="483"/>
      <c r="C543" s="501"/>
      <c r="D543" s="483"/>
      <c r="E543" s="405" t="s">
        <v>684</v>
      </c>
      <c r="F543" s="405" t="s">
        <v>685</v>
      </c>
      <c r="G543" s="417" t="s">
        <v>1183</v>
      </c>
      <c r="H543" s="127" t="s">
        <v>680</v>
      </c>
      <c r="I543" s="164">
        <v>3</v>
      </c>
      <c r="J543" s="163" t="s">
        <v>675</v>
      </c>
      <c r="K543" s="165" t="s">
        <v>338</v>
      </c>
      <c r="L543" s="138">
        <v>1</v>
      </c>
      <c r="M543" s="166">
        <f t="shared" si="97"/>
        <v>3</v>
      </c>
      <c r="N543" s="133" t="s">
        <v>291</v>
      </c>
      <c r="O543" s="69" t="s">
        <v>242</v>
      </c>
      <c r="P543" s="131">
        <v>5</v>
      </c>
      <c r="Q543" s="134">
        <f t="shared" ref="Q543:Q545" si="107">I543*L543*P543</f>
        <v>15</v>
      </c>
      <c r="R543" s="428"/>
      <c r="S543" s="428"/>
      <c r="T543" s="133"/>
      <c r="U543" s="405"/>
      <c r="V543" s="135"/>
      <c r="W543" s="133"/>
      <c r="X543" s="405"/>
      <c r="Y543" s="405"/>
      <c r="Z543" s="135"/>
      <c r="AA543" s="136"/>
      <c r="AB543" s="111"/>
      <c r="AC543" s="366"/>
      <c r="AD543" s="226">
        <f t="shared" si="101"/>
        <v>6883</v>
      </c>
      <c r="AE543" s="350"/>
    </row>
    <row r="544" spans="1:31" ht="217.5" outlineLevel="3" thickBot="1" x14ac:dyDescent="0.25">
      <c r="A544" s="199" t="s">
        <v>1309</v>
      </c>
      <c r="B544" s="483"/>
      <c r="C544" s="501"/>
      <c r="D544" s="483"/>
      <c r="E544" s="405" t="s">
        <v>687</v>
      </c>
      <c r="F544" s="405" t="s">
        <v>1307</v>
      </c>
      <c r="G544" s="405" t="s">
        <v>1183</v>
      </c>
      <c r="H544" s="420" t="s">
        <v>680</v>
      </c>
      <c r="I544" s="164">
        <v>4</v>
      </c>
      <c r="J544" s="163" t="s">
        <v>689</v>
      </c>
      <c r="K544" s="165" t="s">
        <v>338</v>
      </c>
      <c r="L544" s="138">
        <v>1</v>
      </c>
      <c r="M544" s="166">
        <f t="shared" si="97"/>
        <v>4</v>
      </c>
      <c r="N544" s="133" t="s">
        <v>291</v>
      </c>
      <c r="O544" s="69" t="s">
        <v>242</v>
      </c>
      <c r="P544" s="131">
        <v>5</v>
      </c>
      <c r="Q544" s="134">
        <f t="shared" si="107"/>
        <v>20</v>
      </c>
      <c r="R544" s="428"/>
      <c r="S544" s="428"/>
      <c r="T544" s="133"/>
      <c r="U544" s="405"/>
      <c r="V544" s="135"/>
      <c r="W544" s="133"/>
      <c r="X544" s="405"/>
      <c r="Y544" s="405"/>
      <c r="Z544" s="135"/>
      <c r="AA544" s="136"/>
      <c r="AB544" s="111"/>
      <c r="AC544" s="226"/>
      <c r="AD544" s="226">
        <f t="shared" si="101"/>
        <v>6884</v>
      </c>
    </row>
    <row r="545" spans="1:32" ht="204.75" outlineLevel="3" thickBot="1" x14ac:dyDescent="0.25">
      <c r="A545" s="199" t="s">
        <v>1310</v>
      </c>
      <c r="B545" s="478"/>
      <c r="C545" s="487"/>
      <c r="D545" s="478"/>
      <c r="E545" s="405" t="s">
        <v>691</v>
      </c>
      <c r="F545" s="405" t="s">
        <v>1311</v>
      </c>
      <c r="G545" s="405" t="s">
        <v>1183</v>
      </c>
      <c r="H545" s="420" t="s">
        <v>680</v>
      </c>
      <c r="I545" s="164">
        <v>4</v>
      </c>
      <c r="J545" s="163" t="s">
        <v>689</v>
      </c>
      <c r="K545" s="165" t="s">
        <v>338</v>
      </c>
      <c r="L545" s="138">
        <v>1</v>
      </c>
      <c r="M545" s="166">
        <f t="shared" si="97"/>
        <v>4</v>
      </c>
      <c r="N545" s="133" t="s">
        <v>291</v>
      </c>
      <c r="O545" s="69" t="s">
        <v>242</v>
      </c>
      <c r="P545" s="131">
        <v>5</v>
      </c>
      <c r="Q545" s="134">
        <f t="shared" si="107"/>
        <v>20</v>
      </c>
      <c r="R545" s="428"/>
      <c r="S545" s="428"/>
      <c r="T545" s="133"/>
      <c r="U545" s="405"/>
      <c r="V545" s="135"/>
      <c r="W545" s="133"/>
      <c r="X545" s="405"/>
      <c r="Y545" s="405"/>
      <c r="Z545" s="135"/>
      <c r="AA545" s="136"/>
      <c r="AB545" s="111"/>
      <c r="AC545" s="226"/>
      <c r="AD545" s="226">
        <f t="shared" si="101"/>
        <v>6885</v>
      </c>
    </row>
    <row r="546" spans="1:32" ht="204.75" outlineLevel="3" thickBot="1" x14ac:dyDescent="0.25">
      <c r="A546" s="199" t="s">
        <v>1312</v>
      </c>
      <c r="B546" s="477" t="s">
        <v>695</v>
      </c>
      <c r="C546" s="479" t="s">
        <v>696</v>
      </c>
      <c r="D546" s="477" t="s">
        <v>697</v>
      </c>
      <c r="E546" s="417" t="s">
        <v>698</v>
      </c>
      <c r="F546" s="417" t="s">
        <v>1151</v>
      </c>
      <c r="G546" s="417" t="s">
        <v>1183</v>
      </c>
      <c r="H546" s="127" t="s">
        <v>680</v>
      </c>
      <c r="I546" s="164">
        <v>3</v>
      </c>
      <c r="J546" s="129" t="s">
        <v>784</v>
      </c>
      <c r="K546" s="165" t="s">
        <v>1176</v>
      </c>
      <c r="L546" s="131">
        <v>1</v>
      </c>
      <c r="M546" s="132">
        <f t="shared" si="97"/>
        <v>3</v>
      </c>
      <c r="N546" s="133" t="s">
        <v>291</v>
      </c>
      <c r="O546" s="69" t="s">
        <v>242</v>
      </c>
      <c r="P546" s="131">
        <v>5</v>
      </c>
      <c r="Q546" s="134">
        <f t="shared" si="98"/>
        <v>15</v>
      </c>
      <c r="R546" s="428"/>
      <c r="S546" s="428"/>
      <c r="T546" s="133"/>
      <c r="U546" s="405"/>
      <c r="V546" s="135"/>
      <c r="W546" s="133"/>
      <c r="X546" s="405"/>
      <c r="Y546" s="405"/>
      <c r="Z546" s="135"/>
      <c r="AA546" s="136"/>
      <c r="AB546" s="111"/>
      <c r="AC546" s="226"/>
      <c r="AD546" s="226">
        <f t="shared" si="101"/>
        <v>6886</v>
      </c>
    </row>
    <row r="547" spans="1:32" ht="204.75" outlineLevel="3" thickBot="1" x14ac:dyDescent="0.25">
      <c r="A547" s="199" t="s">
        <v>1313</v>
      </c>
      <c r="B547" s="478"/>
      <c r="C547" s="480"/>
      <c r="D547" s="478"/>
      <c r="E547" s="417" t="s">
        <v>701</v>
      </c>
      <c r="F547" s="417" t="s">
        <v>1148</v>
      </c>
      <c r="G547" s="417" t="s">
        <v>1183</v>
      </c>
      <c r="H547" s="127" t="s">
        <v>680</v>
      </c>
      <c r="I547" s="164">
        <v>3</v>
      </c>
      <c r="J547" s="129" t="s">
        <v>784</v>
      </c>
      <c r="K547" s="165" t="s">
        <v>1176</v>
      </c>
      <c r="L547" s="131">
        <v>1</v>
      </c>
      <c r="M547" s="132">
        <f t="shared" si="97"/>
        <v>3</v>
      </c>
      <c r="N547" s="133" t="s">
        <v>291</v>
      </c>
      <c r="O547" s="69" t="s">
        <v>242</v>
      </c>
      <c r="P547" s="131">
        <v>5</v>
      </c>
      <c r="Q547" s="134">
        <f t="shared" si="98"/>
        <v>15</v>
      </c>
      <c r="R547" s="428"/>
      <c r="S547" s="428"/>
      <c r="T547" s="133"/>
      <c r="U547" s="405"/>
      <c r="V547" s="135"/>
      <c r="W547" s="133"/>
      <c r="X547" s="405"/>
      <c r="Y547" s="405"/>
      <c r="Z547" s="135"/>
      <c r="AA547" s="136">
        <f>X547*Y547*Z547</f>
        <v>0</v>
      </c>
      <c r="AB547" s="111"/>
      <c r="AC547" s="226"/>
      <c r="AD547" s="226">
        <f t="shared" si="101"/>
        <v>6887</v>
      </c>
    </row>
    <row r="548" spans="1:32" ht="204.75" outlineLevel="3" thickBot="1" x14ac:dyDescent="0.25">
      <c r="A548" s="199" t="s">
        <v>703</v>
      </c>
      <c r="B548" s="477" t="s">
        <v>704</v>
      </c>
      <c r="C548" s="479" t="s">
        <v>705</v>
      </c>
      <c r="D548" s="477" t="s">
        <v>706</v>
      </c>
      <c r="E548" s="405" t="s">
        <v>275</v>
      </c>
      <c r="F548" s="405" t="s">
        <v>707</v>
      </c>
      <c r="G548" s="405" t="s">
        <v>1183</v>
      </c>
      <c r="H548" s="420" t="s">
        <v>238</v>
      </c>
      <c r="I548" s="164">
        <v>1</v>
      </c>
      <c r="J548" s="163" t="s">
        <v>277</v>
      </c>
      <c r="K548" s="165" t="s">
        <v>1176</v>
      </c>
      <c r="L548" s="138">
        <v>1</v>
      </c>
      <c r="M548" s="166">
        <f t="shared" si="97"/>
        <v>1</v>
      </c>
      <c r="N548" s="133" t="s">
        <v>291</v>
      </c>
      <c r="O548" s="420" t="s">
        <v>242</v>
      </c>
      <c r="P548" s="138">
        <v>5</v>
      </c>
      <c r="Q548" s="338">
        <f t="shared" si="98"/>
        <v>5</v>
      </c>
      <c r="R548" s="428"/>
      <c r="S548" s="428"/>
      <c r="T548" s="133"/>
      <c r="U548" s="405"/>
      <c r="V548" s="135"/>
      <c r="W548" s="133"/>
      <c r="X548" s="405"/>
      <c r="Y548" s="405"/>
      <c r="Z548" s="135"/>
      <c r="AA548" s="136">
        <f t="shared" ref="AA548" si="108">X548*Y548*Z548</f>
        <v>0</v>
      </c>
      <c r="AB548" s="111"/>
      <c r="AC548" s="226"/>
      <c r="AD548" s="226">
        <f t="shared" si="101"/>
        <v>5229</v>
      </c>
    </row>
    <row r="549" spans="1:32" ht="204.75" outlineLevel="3" thickBot="1" x14ac:dyDescent="0.25">
      <c r="A549" s="199" t="s">
        <v>708</v>
      </c>
      <c r="B549" s="478"/>
      <c r="C549" s="480"/>
      <c r="D549" s="478"/>
      <c r="E549" s="405" t="s">
        <v>279</v>
      </c>
      <c r="F549" s="405" t="s">
        <v>1314</v>
      </c>
      <c r="G549" s="417" t="s">
        <v>1183</v>
      </c>
      <c r="H549" s="127" t="s">
        <v>680</v>
      </c>
      <c r="I549" s="164">
        <v>3</v>
      </c>
      <c r="J549" s="163" t="s">
        <v>412</v>
      </c>
      <c r="K549" s="165" t="s">
        <v>1176</v>
      </c>
      <c r="L549" s="138">
        <v>1</v>
      </c>
      <c r="M549" s="166">
        <f t="shared" si="97"/>
        <v>3</v>
      </c>
      <c r="N549" s="133" t="s">
        <v>291</v>
      </c>
      <c r="O549" s="420" t="s">
        <v>242</v>
      </c>
      <c r="P549" s="138">
        <v>5</v>
      </c>
      <c r="Q549" s="225">
        <f t="shared" si="98"/>
        <v>15</v>
      </c>
      <c r="R549" s="428"/>
      <c r="S549" s="428"/>
      <c r="T549" s="133"/>
      <c r="U549" s="405"/>
      <c r="V549" s="135"/>
      <c r="W549" s="133"/>
      <c r="X549" s="405"/>
      <c r="Y549" s="405"/>
      <c r="Z549" s="135"/>
      <c r="AA549" s="136"/>
      <c r="AB549" s="111"/>
      <c r="AC549" s="226"/>
      <c r="AD549" s="226">
        <f t="shared" si="101"/>
        <v>5230</v>
      </c>
    </row>
    <row r="550" spans="1:32" s="242" customFormat="1" ht="204.75" outlineLevel="3" thickBot="1" x14ac:dyDescent="0.25">
      <c r="A550" s="199" t="s">
        <v>1315</v>
      </c>
      <c r="B550" s="477" t="s">
        <v>711</v>
      </c>
      <c r="C550" s="479" t="s">
        <v>712</v>
      </c>
      <c r="D550" s="477" t="s">
        <v>713</v>
      </c>
      <c r="E550" s="417" t="s">
        <v>698</v>
      </c>
      <c r="F550" s="417" t="s">
        <v>1151</v>
      </c>
      <c r="G550" s="417" t="s">
        <v>1183</v>
      </c>
      <c r="H550" s="127" t="s">
        <v>680</v>
      </c>
      <c r="I550" s="164">
        <v>3</v>
      </c>
      <c r="J550" s="129" t="s">
        <v>784</v>
      </c>
      <c r="K550" s="165" t="s">
        <v>1176</v>
      </c>
      <c r="L550" s="131">
        <v>1</v>
      </c>
      <c r="M550" s="132">
        <f t="shared" si="97"/>
        <v>3</v>
      </c>
      <c r="N550" s="133" t="s">
        <v>291</v>
      </c>
      <c r="O550" s="69" t="s">
        <v>242</v>
      </c>
      <c r="P550" s="131">
        <v>5</v>
      </c>
      <c r="Q550" s="134">
        <f t="shared" si="98"/>
        <v>15</v>
      </c>
      <c r="R550" s="428"/>
      <c r="S550" s="428"/>
      <c r="T550" s="133"/>
      <c r="U550" s="405"/>
      <c r="V550" s="135"/>
      <c r="W550" s="133"/>
      <c r="X550" s="405"/>
      <c r="Y550" s="405"/>
      <c r="Z550" s="135"/>
      <c r="AA550" s="136"/>
      <c r="AB550" s="111"/>
      <c r="AC550" s="239"/>
      <c r="AD550" s="226">
        <f t="shared" si="101"/>
        <v>6888</v>
      </c>
      <c r="AE550" s="239"/>
      <c r="AF550" s="346"/>
    </row>
    <row r="551" spans="1:32" s="239" customFormat="1" ht="204.75" outlineLevel="3" thickBot="1" x14ac:dyDescent="0.25">
      <c r="A551" s="199" t="s">
        <v>1316</v>
      </c>
      <c r="B551" s="478"/>
      <c r="C551" s="480"/>
      <c r="D551" s="478"/>
      <c r="E551" s="417" t="s">
        <v>701</v>
      </c>
      <c r="F551" s="417" t="s">
        <v>1317</v>
      </c>
      <c r="G551" s="417" t="s">
        <v>1183</v>
      </c>
      <c r="H551" s="127" t="s">
        <v>680</v>
      </c>
      <c r="I551" s="164">
        <v>3</v>
      </c>
      <c r="J551" s="129" t="s">
        <v>784</v>
      </c>
      <c r="K551" s="165" t="s">
        <v>1176</v>
      </c>
      <c r="L551" s="131">
        <v>1</v>
      </c>
      <c r="M551" s="132">
        <f t="shared" si="97"/>
        <v>3</v>
      </c>
      <c r="N551" s="133" t="s">
        <v>291</v>
      </c>
      <c r="O551" s="69" t="s">
        <v>242</v>
      </c>
      <c r="P551" s="131">
        <v>5</v>
      </c>
      <c r="Q551" s="134">
        <f t="shared" si="98"/>
        <v>15</v>
      </c>
      <c r="R551" s="428"/>
      <c r="S551" s="428"/>
      <c r="T551" s="133"/>
      <c r="U551" s="405"/>
      <c r="V551" s="135"/>
      <c r="W551" s="133"/>
      <c r="X551" s="405"/>
      <c r="Y551" s="405"/>
      <c r="Z551" s="135"/>
      <c r="AA551" s="136"/>
      <c r="AB551" s="111"/>
      <c r="AD551" s="226">
        <f t="shared" si="101"/>
        <v>6889</v>
      </c>
    </row>
    <row r="552" spans="1:32" s="242" customFormat="1" ht="204.75" outlineLevel="3" thickBot="1" x14ac:dyDescent="0.25">
      <c r="A552" s="199" t="s">
        <v>1318</v>
      </c>
      <c r="B552" s="477" t="s">
        <v>704</v>
      </c>
      <c r="C552" s="479" t="s">
        <v>716</v>
      </c>
      <c r="D552" s="477" t="s">
        <v>706</v>
      </c>
      <c r="E552" s="417" t="s">
        <v>275</v>
      </c>
      <c r="F552" s="417" t="s">
        <v>707</v>
      </c>
      <c r="G552" s="405" t="s">
        <v>1183</v>
      </c>
      <c r="H552" s="127" t="s">
        <v>238</v>
      </c>
      <c r="I552" s="128">
        <v>1</v>
      </c>
      <c r="J552" s="163" t="s">
        <v>277</v>
      </c>
      <c r="K552" s="165" t="s">
        <v>1176</v>
      </c>
      <c r="L552" s="131">
        <v>1</v>
      </c>
      <c r="M552" s="132">
        <f t="shared" si="97"/>
        <v>1</v>
      </c>
      <c r="N552" s="133" t="s">
        <v>291</v>
      </c>
      <c r="O552" s="69" t="s">
        <v>242</v>
      </c>
      <c r="P552" s="131">
        <v>5</v>
      </c>
      <c r="Q552" s="134">
        <f t="shared" si="98"/>
        <v>5</v>
      </c>
      <c r="R552" s="428"/>
      <c r="S552" s="428"/>
      <c r="T552" s="133"/>
      <c r="U552" s="405"/>
      <c r="V552" s="135"/>
      <c r="W552" s="133"/>
      <c r="X552" s="405"/>
      <c r="Y552" s="405"/>
      <c r="Z552" s="135"/>
      <c r="AA552" s="136"/>
      <c r="AB552" s="111"/>
      <c r="AC552" s="239"/>
      <c r="AD552" s="226">
        <f t="shared" si="101"/>
        <v>6890</v>
      </c>
      <c r="AE552" s="239"/>
      <c r="AF552" s="346"/>
    </row>
    <row r="553" spans="1:32" s="239" customFormat="1" ht="204.75" outlineLevel="3" thickBot="1" x14ac:dyDescent="0.25">
      <c r="A553" s="199" t="s">
        <v>1319</v>
      </c>
      <c r="B553" s="478"/>
      <c r="C553" s="480"/>
      <c r="D553" s="478"/>
      <c r="E553" s="417" t="s">
        <v>279</v>
      </c>
      <c r="F553" s="417" t="s">
        <v>1149</v>
      </c>
      <c r="G553" s="417" t="s">
        <v>1183</v>
      </c>
      <c r="H553" s="127" t="s">
        <v>680</v>
      </c>
      <c r="I553" s="164">
        <v>3</v>
      </c>
      <c r="J553" s="129" t="s">
        <v>784</v>
      </c>
      <c r="K553" s="165" t="s">
        <v>1176</v>
      </c>
      <c r="L553" s="131">
        <v>1</v>
      </c>
      <c r="M553" s="132">
        <f t="shared" si="97"/>
        <v>3</v>
      </c>
      <c r="N553" s="133" t="s">
        <v>291</v>
      </c>
      <c r="O553" s="69" t="s">
        <v>242</v>
      </c>
      <c r="P553" s="131">
        <v>5</v>
      </c>
      <c r="Q553" s="134">
        <f t="shared" si="98"/>
        <v>15</v>
      </c>
      <c r="R553" s="428"/>
      <c r="S553" s="428"/>
      <c r="T553" s="133"/>
      <c r="U553" s="405"/>
      <c r="V553" s="135"/>
      <c r="W553" s="133"/>
      <c r="X553" s="405"/>
      <c r="Y553" s="405"/>
      <c r="Z553" s="135"/>
      <c r="AA553" s="136"/>
      <c r="AB553" s="111"/>
      <c r="AD553" s="226">
        <f t="shared" si="101"/>
        <v>6891</v>
      </c>
    </row>
    <row r="554" spans="1:32" s="242" customFormat="1" ht="204.75" outlineLevel="3" thickBot="1" x14ac:dyDescent="0.25">
      <c r="A554" s="201" t="s">
        <v>1320</v>
      </c>
      <c r="B554" s="506" t="s">
        <v>718</v>
      </c>
      <c r="C554" s="507" t="s">
        <v>719</v>
      </c>
      <c r="D554" s="506" t="s">
        <v>720</v>
      </c>
      <c r="E554" s="411" t="s">
        <v>352</v>
      </c>
      <c r="F554" s="405" t="s">
        <v>721</v>
      </c>
      <c r="G554" s="405" t="s">
        <v>1183</v>
      </c>
      <c r="H554" s="420" t="s">
        <v>238</v>
      </c>
      <c r="I554" s="164">
        <v>1</v>
      </c>
      <c r="J554" s="411" t="s">
        <v>302</v>
      </c>
      <c r="K554" s="165" t="s">
        <v>1176</v>
      </c>
      <c r="L554" s="411">
        <v>1</v>
      </c>
      <c r="M554" s="166">
        <f t="shared" si="97"/>
        <v>1</v>
      </c>
      <c r="N554" s="133" t="s">
        <v>303</v>
      </c>
      <c r="O554" s="420" t="s">
        <v>242</v>
      </c>
      <c r="P554" s="138">
        <v>5</v>
      </c>
      <c r="Q554" s="225">
        <f t="shared" ref="Q554:Q559" si="109">P554*L554*I554</f>
        <v>5</v>
      </c>
      <c r="R554" s="428"/>
      <c r="S554" s="428"/>
      <c r="T554" s="133"/>
      <c r="U554" s="405"/>
      <c r="V554" s="135"/>
      <c r="W554" s="133"/>
      <c r="X554" s="405"/>
      <c r="Y554" s="405"/>
      <c r="Z554" s="135"/>
      <c r="AA554" s="136"/>
      <c r="AB554" s="111"/>
      <c r="AC554" s="239"/>
      <c r="AD554" s="226">
        <f t="shared" si="101"/>
        <v>11011</v>
      </c>
      <c r="AE554" s="239"/>
      <c r="AF554" s="346"/>
    </row>
    <row r="555" spans="1:32" s="239" customFormat="1" ht="204.75" outlineLevel="3" thickBot="1" x14ac:dyDescent="0.25">
      <c r="A555" s="198" t="s">
        <v>1321</v>
      </c>
      <c r="B555" s="506"/>
      <c r="C555" s="507"/>
      <c r="D555" s="506"/>
      <c r="E555" s="411" t="s">
        <v>355</v>
      </c>
      <c r="F555" s="405" t="s">
        <v>721</v>
      </c>
      <c r="G555" s="405" t="s">
        <v>1183</v>
      </c>
      <c r="H555" s="420" t="s">
        <v>238</v>
      </c>
      <c r="I555" s="164">
        <v>1</v>
      </c>
      <c r="J555" s="411" t="s">
        <v>307</v>
      </c>
      <c r="K555" s="165" t="s">
        <v>1176</v>
      </c>
      <c r="L555" s="411">
        <v>1</v>
      </c>
      <c r="M555" s="166">
        <f t="shared" si="97"/>
        <v>1</v>
      </c>
      <c r="N555" s="133" t="s">
        <v>303</v>
      </c>
      <c r="O555" s="420" t="s">
        <v>242</v>
      </c>
      <c r="P555" s="138">
        <v>5</v>
      </c>
      <c r="Q555" s="225">
        <f t="shared" si="109"/>
        <v>5</v>
      </c>
      <c r="R555" s="428"/>
      <c r="S555" s="428"/>
      <c r="T555" s="133"/>
      <c r="U555" s="405"/>
      <c r="V555" s="135"/>
      <c r="W555" s="133"/>
      <c r="X555" s="405"/>
      <c r="Y555" s="405"/>
      <c r="Z555" s="135"/>
      <c r="AA555" s="136"/>
      <c r="AB555" s="111"/>
      <c r="AD555" s="226">
        <f t="shared" si="101"/>
        <v>11012</v>
      </c>
    </row>
    <row r="556" spans="1:32" s="242" customFormat="1" ht="204.75" outlineLevel="3" thickBot="1" x14ac:dyDescent="0.25">
      <c r="A556" s="201" t="s">
        <v>1322</v>
      </c>
      <c r="B556" s="506" t="s">
        <v>724</v>
      </c>
      <c r="C556" s="507" t="s">
        <v>725</v>
      </c>
      <c r="D556" s="506" t="s">
        <v>726</v>
      </c>
      <c r="E556" s="411" t="s">
        <v>437</v>
      </c>
      <c r="F556" s="405" t="s">
        <v>721</v>
      </c>
      <c r="G556" s="405" t="s">
        <v>1183</v>
      </c>
      <c r="H556" s="420" t="s">
        <v>238</v>
      </c>
      <c r="I556" s="164">
        <v>1</v>
      </c>
      <c r="J556" s="411" t="s">
        <v>302</v>
      </c>
      <c r="K556" s="165" t="s">
        <v>1176</v>
      </c>
      <c r="L556" s="411">
        <v>1</v>
      </c>
      <c r="M556" s="166">
        <f t="shared" si="97"/>
        <v>1</v>
      </c>
      <c r="N556" s="133" t="s">
        <v>303</v>
      </c>
      <c r="O556" s="420" t="s">
        <v>242</v>
      </c>
      <c r="P556" s="138">
        <v>5</v>
      </c>
      <c r="Q556" s="225">
        <f t="shared" si="109"/>
        <v>5</v>
      </c>
      <c r="R556" s="428"/>
      <c r="S556" s="428"/>
      <c r="T556" s="133"/>
      <c r="U556" s="405"/>
      <c r="V556" s="135"/>
      <c r="W556" s="133"/>
      <c r="X556" s="405"/>
      <c r="Y556" s="405"/>
      <c r="Z556" s="135"/>
      <c r="AA556" s="136"/>
      <c r="AB556" s="111"/>
      <c r="AC556" s="239"/>
      <c r="AD556" s="226">
        <f t="shared" si="101"/>
        <v>11013</v>
      </c>
      <c r="AE556" s="239"/>
      <c r="AF556" s="346"/>
    </row>
    <row r="557" spans="1:32" s="239" customFormat="1" ht="204.75" outlineLevel="3" thickBot="1" x14ac:dyDescent="0.25">
      <c r="A557" s="198" t="s">
        <v>1323</v>
      </c>
      <c r="B557" s="506"/>
      <c r="C557" s="507"/>
      <c r="D557" s="506"/>
      <c r="E557" s="411" t="s">
        <v>440</v>
      </c>
      <c r="F557" s="405" t="s">
        <v>721</v>
      </c>
      <c r="G557" s="405" t="s">
        <v>1183</v>
      </c>
      <c r="H557" s="420" t="s">
        <v>238</v>
      </c>
      <c r="I557" s="164">
        <v>1</v>
      </c>
      <c r="J557" s="411" t="s">
        <v>307</v>
      </c>
      <c r="K557" s="165" t="s">
        <v>1176</v>
      </c>
      <c r="L557" s="411">
        <v>1</v>
      </c>
      <c r="M557" s="166">
        <f t="shared" si="97"/>
        <v>1</v>
      </c>
      <c r="N557" s="133" t="s">
        <v>303</v>
      </c>
      <c r="O557" s="420" t="s">
        <v>242</v>
      </c>
      <c r="P557" s="138">
        <v>5</v>
      </c>
      <c r="Q557" s="225">
        <f t="shared" si="109"/>
        <v>5</v>
      </c>
      <c r="R557" s="428"/>
      <c r="S557" s="428"/>
      <c r="T557" s="133"/>
      <c r="U557" s="405"/>
      <c r="V557" s="135"/>
      <c r="W557" s="133"/>
      <c r="X557" s="405"/>
      <c r="Y557" s="405"/>
      <c r="Z557" s="135"/>
      <c r="AA557" s="136"/>
      <c r="AB557" s="111"/>
      <c r="AD557" s="226">
        <f t="shared" si="101"/>
        <v>11014</v>
      </c>
    </row>
    <row r="558" spans="1:32" s="144" customFormat="1" ht="204.75" outlineLevel="3" thickBot="1" x14ac:dyDescent="0.25">
      <c r="A558" s="201" t="s">
        <v>1324</v>
      </c>
      <c r="B558" s="506" t="s">
        <v>729</v>
      </c>
      <c r="C558" s="507" t="s">
        <v>730</v>
      </c>
      <c r="D558" s="506" t="s">
        <v>731</v>
      </c>
      <c r="E558" s="411" t="s">
        <v>352</v>
      </c>
      <c r="F558" s="411" t="s">
        <v>441</v>
      </c>
      <c r="G558" s="405" t="s">
        <v>1183</v>
      </c>
      <c r="H558" s="420" t="s">
        <v>238</v>
      </c>
      <c r="I558" s="164">
        <v>1</v>
      </c>
      <c r="J558" s="411" t="s">
        <v>302</v>
      </c>
      <c r="K558" s="165" t="s">
        <v>1176</v>
      </c>
      <c r="L558" s="411">
        <v>1</v>
      </c>
      <c r="M558" s="166">
        <f t="shared" si="97"/>
        <v>1</v>
      </c>
      <c r="N558" s="133" t="s">
        <v>303</v>
      </c>
      <c r="O558" s="420" t="s">
        <v>242</v>
      </c>
      <c r="P558" s="138">
        <v>5</v>
      </c>
      <c r="Q558" s="225">
        <f t="shared" si="109"/>
        <v>5</v>
      </c>
      <c r="R558" s="428"/>
      <c r="S558" s="428"/>
      <c r="T558" s="133"/>
      <c r="U558" s="405"/>
      <c r="V558" s="135"/>
      <c r="W558" s="133"/>
      <c r="X558" s="405"/>
      <c r="Y558" s="405"/>
      <c r="Z558" s="135"/>
      <c r="AA558" s="136">
        <f t="shared" ref="AA558" si="110">X558*Y558*Z558</f>
        <v>0</v>
      </c>
      <c r="AB558" s="111"/>
      <c r="AC558" s="366"/>
      <c r="AD558" s="226">
        <f t="shared" si="101"/>
        <v>11015</v>
      </c>
      <c r="AE558" s="350"/>
    </row>
    <row r="559" spans="1:32" s="144" customFormat="1" ht="204.75" outlineLevel="3" thickBot="1" x14ac:dyDescent="0.25">
      <c r="A559" s="198" t="s">
        <v>1325</v>
      </c>
      <c r="B559" s="506"/>
      <c r="C559" s="507"/>
      <c r="D559" s="506"/>
      <c r="E559" s="411" t="s">
        <v>355</v>
      </c>
      <c r="F559" s="411" t="s">
        <v>966</v>
      </c>
      <c r="G559" s="417" t="s">
        <v>1183</v>
      </c>
      <c r="H559" s="127" t="s">
        <v>680</v>
      </c>
      <c r="I559" s="164">
        <v>3</v>
      </c>
      <c r="J559" s="411" t="s">
        <v>307</v>
      </c>
      <c r="K559" s="165" t="s">
        <v>1176</v>
      </c>
      <c r="L559" s="411">
        <v>1</v>
      </c>
      <c r="M559" s="166">
        <f t="shared" si="97"/>
        <v>3</v>
      </c>
      <c r="N559" s="133" t="s">
        <v>303</v>
      </c>
      <c r="O559" s="420" t="s">
        <v>242</v>
      </c>
      <c r="P559" s="138">
        <v>5</v>
      </c>
      <c r="Q559" s="225">
        <f t="shared" si="109"/>
        <v>15</v>
      </c>
      <c r="R559" s="428"/>
      <c r="S559" s="428"/>
      <c r="T559" s="133"/>
      <c r="U559" s="405"/>
      <c r="V559" s="135"/>
      <c r="W559" s="133"/>
      <c r="X559" s="405"/>
      <c r="Y559" s="405"/>
      <c r="Z559" s="135"/>
      <c r="AA559" s="136"/>
      <c r="AB559" s="111"/>
      <c r="AC559" s="366"/>
      <c r="AD559" s="226">
        <f t="shared" si="101"/>
        <v>11016</v>
      </c>
      <c r="AE559" s="350"/>
    </row>
    <row r="560" spans="1:32" s="144" customFormat="1" ht="204.75" outlineLevel="3" thickBot="1" x14ac:dyDescent="0.25">
      <c r="A560" s="240" t="s">
        <v>1326</v>
      </c>
      <c r="B560" s="518" t="s">
        <v>735</v>
      </c>
      <c r="C560" s="519" t="s">
        <v>736</v>
      </c>
      <c r="D560" s="518" t="s">
        <v>737</v>
      </c>
      <c r="E560" s="409" t="s">
        <v>235</v>
      </c>
      <c r="F560" s="409" t="s">
        <v>738</v>
      </c>
      <c r="G560" s="417" t="s">
        <v>1183</v>
      </c>
      <c r="H560" s="127" t="s">
        <v>680</v>
      </c>
      <c r="I560" s="164">
        <v>3</v>
      </c>
      <c r="J560" s="409" t="s">
        <v>239</v>
      </c>
      <c r="K560" s="165" t="s">
        <v>338</v>
      </c>
      <c r="L560" s="409">
        <v>1</v>
      </c>
      <c r="M560" s="231">
        <f t="shared" si="97"/>
        <v>3</v>
      </c>
      <c r="N560" s="232" t="s">
        <v>241</v>
      </c>
      <c r="O560" s="420" t="s">
        <v>242</v>
      </c>
      <c r="P560" s="138">
        <v>5</v>
      </c>
      <c r="Q560" s="235">
        <f t="shared" ref="Q560:Q567" si="111">I560*L560*P560</f>
        <v>15</v>
      </c>
      <c r="R560" s="428"/>
      <c r="S560" s="428"/>
      <c r="T560" s="133"/>
      <c r="U560" s="405"/>
      <c r="V560" s="135"/>
      <c r="W560" s="133"/>
      <c r="X560" s="405"/>
      <c r="Y560" s="405"/>
      <c r="Z560" s="135"/>
      <c r="AA560" s="136"/>
      <c r="AB560" s="111"/>
      <c r="AC560" s="366"/>
      <c r="AD560" s="226">
        <f t="shared" si="101"/>
        <v>11427</v>
      </c>
      <c r="AE560" s="350"/>
    </row>
    <row r="561" spans="1:31" s="144" customFormat="1" ht="204.75" outlineLevel="3" thickBot="1" x14ac:dyDescent="0.25">
      <c r="A561" s="230" t="s">
        <v>1327</v>
      </c>
      <c r="B561" s="518"/>
      <c r="C561" s="519"/>
      <c r="D561" s="518"/>
      <c r="E561" s="410" t="s">
        <v>740</v>
      </c>
      <c r="F561" s="410" t="s">
        <v>741</v>
      </c>
      <c r="G561" s="417" t="s">
        <v>1183</v>
      </c>
      <c r="H561" s="127" t="s">
        <v>680</v>
      </c>
      <c r="I561" s="164">
        <v>3</v>
      </c>
      <c r="J561" s="410" t="s">
        <v>742</v>
      </c>
      <c r="K561" s="165" t="s">
        <v>338</v>
      </c>
      <c r="L561" s="410">
        <v>1</v>
      </c>
      <c r="M561" s="231">
        <f t="shared" si="97"/>
        <v>3</v>
      </c>
      <c r="N561" s="232" t="s">
        <v>241</v>
      </c>
      <c r="O561" s="420" t="s">
        <v>242</v>
      </c>
      <c r="P561" s="138">
        <v>5</v>
      </c>
      <c r="Q561" s="235">
        <f t="shared" si="111"/>
        <v>15</v>
      </c>
      <c r="R561" s="428"/>
      <c r="S561" s="428"/>
      <c r="T561" s="133"/>
      <c r="U561" s="405"/>
      <c r="V561" s="135"/>
      <c r="W561" s="133"/>
      <c r="X561" s="405"/>
      <c r="Y561" s="405"/>
      <c r="Z561" s="135"/>
      <c r="AA561" s="136"/>
      <c r="AB561" s="111"/>
      <c r="AC561" s="366"/>
      <c r="AD561" s="226">
        <f t="shared" si="101"/>
        <v>11428</v>
      </c>
      <c r="AE561" s="350"/>
    </row>
    <row r="562" spans="1:31" s="144" customFormat="1" ht="204.75" outlineLevel="3" thickBot="1" x14ac:dyDescent="0.25">
      <c r="A562" s="240" t="s">
        <v>1328</v>
      </c>
      <c r="B562" s="493" t="s">
        <v>744</v>
      </c>
      <c r="C562" s="495" t="s">
        <v>745</v>
      </c>
      <c r="D562" s="493" t="s">
        <v>746</v>
      </c>
      <c r="E562" s="409" t="s">
        <v>235</v>
      </c>
      <c r="F562" s="409" t="s">
        <v>747</v>
      </c>
      <c r="G562" s="417" t="s">
        <v>1183</v>
      </c>
      <c r="H562" s="127" t="s">
        <v>680</v>
      </c>
      <c r="I562" s="164">
        <v>3</v>
      </c>
      <c r="J562" s="409" t="s">
        <v>239</v>
      </c>
      <c r="K562" s="165" t="s">
        <v>338</v>
      </c>
      <c r="L562" s="409">
        <v>1</v>
      </c>
      <c r="M562" s="231">
        <f t="shared" si="97"/>
        <v>3</v>
      </c>
      <c r="N562" s="232" t="s">
        <v>241</v>
      </c>
      <c r="O562" s="420" t="s">
        <v>242</v>
      </c>
      <c r="P562" s="138">
        <v>5</v>
      </c>
      <c r="Q562" s="235">
        <f t="shared" si="111"/>
        <v>15</v>
      </c>
      <c r="R562" s="428"/>
      <c r="S562" s="428"/>
      <c r="T562" s="133"/>
      <c r="U562" s="405"/>
      <c r="V562" s="135"/>
      <c r="W562" s="133"/>
      <c r="X562" s="405"/>
      <c r="Y562" s="405"/>
      <c r="Z562" s="135"/>
      <c r="AA562" s="136">
        <f t="shared" ref="AA562" si="112">X562*Y562*Z562</f>
        <v>0</v>
      </c>
      <c r="AB562" s="111"/>
      <c r="AC562" s="366"/>
      <c r="AD562" s="226">
        <f t="shared" si="101"/>
        <v>11429</v>
      </c>
      <c r="AE562" s="350"/>
    </row>
    <row r="563" spans="1:31" s="144" customFormat="1" ht="204.75" outlineLevel="3" thickBot="1" x14ac:dyDescent="0.25">
      <c r="A563" s="230" t="s">
        <v>1329</v>
      </c>
      <c r="B563" s="518"/>
      <c r="C563" s="519"/>
      <c r="D563" s="518"/>
      <c r="E563" s="410" t="s">
        <v>740</v>
      </c>
      <c r="F563" s="410" t="s">
        <v>749</v>
      </c>
      <c r="G563" s="417" t="s">
        <v>1183</v>
      </c>
      <c r="H563" s="127" t="s">
        <v>680</v>
      </c>
      <c r="I563" s="164">
        <v>3</v>
      </c>
      <c r="J563" s="410" t="s">
        <v>742</v>
      </c>
      <c r="K563" s="165" t="s">
        <v>338</v>
      </c>
      <c r="L563" s="410">
        <v>1</v>
      </c>
      <c r="M563" s="231">
        <f t="shared" si="97"/>
        <v>3</v>
      </c>
      <c r="N563" s="232" t="s">
        <v>241</v>
      </c>
      <c r="O563" s="420" t="s">
        <v>242</v>
      </c>
      <c r="P563" s="138">
        <v>5</v>
      </c>
      <c r="Q563" s="235">
        <f t="shared" si="111"/>
        <v>15</v>
      </c>
      <c r="R563" s="428"/>
      <c r="S563" s="428"/>
      <c r="T563" s="133"/>
      <c r="U563" s="405"/>
      <c r="V563" s="135"/>
      <c r="W563" s="133"/>
      <c r="X563" s="405"/>
      <c r="Y563" s="405"/>
      <c r="Z563" s="135"/>
      <c r="AA563" s="136"/>
      <c r="AB563" s="111"/>
      <c r="AC563" s="366"/>
      <c r="AD563" s="226">
        <f t="shared" si="101"/>
        <v>11430</v>
      </c>
      <c r="AE563" s="350"/>
    </row>
    <row r="564" spans="1:31" s="144" customFormat="1" ht="204.75" outlineLevel="3" thickBot="1" x14ac:dyDescent="0.25">
      <c r="A564" s="240" t="s">
        <v>1330</v>
      </c>
      <c r="B564" s="493" t="s">
        <v>751</v>
      </c>
      <c r="C564" s="495" t="s">
        <v>752</v>
      </c>
      <c r="D564" s="493" t="s">
        <v>753</v>
      </c>
      <c r="E564" s="409" t="s">
        <v>235</v>
      </c>
      <c r="F564" s="409" t="s">
        <v>754</v>
      </c>
      <c r="G564" s="417" t="s">
        <v>1183</v>
      </c>
      <c r="H564" s="127" t="s">
        <v>680</v>
      </c>
      <c r="I564" s="164">
        <v>3</v>
      </c>
      <c r="J564" s="409" t="s">
        <v>239</v>
      </c>
      <c r="K564" s="165" t="s">
        <v>338</v>
      </c>
      <c r="L564" s="409">
        <v>1</v>
      </c>
      <c r="M564" s="231">
        <f t="shared" si="97"/>
        <v>3</v>
      </c>
      <c r="N564" s="232" t="s">
        <v>241</v>
      </c>
      <c r="O564" s="420" t="s">
        <v>242</v>
      </c>
      <c r="P564" s="138">
        <v>5</v>
      </c>
      <c r="Q564" s="235">
        <f t="shared" si="111"/>
        <v>15</v>
      </c>
      <c r="R564" s="428"/>
      <c r="S564" s="428"/>
      <c r="T564" s="133"/>
      <c r="U564" s="405"/>
      <c r="V564" s="135"/>
      <c r="W564" s="133"/>
      <c r="X564" s="405"/>
      <c r="Y564" s="405"/>
      <c r="Z564" s="135"/>
      <c r="AA564" s="136">
        <f t="shared" ref="AA564" si="113">X564*Y564*Z564</f>
        <v>0</v>
      </c>
      <c r="AB564" s="111"/>
      <c r="AC564" s="366"/>
      <c r="AD564" s="226">
        <f t="shared" si="101"/>
        <v>11431</v>
      </c>
      <c r="AE564" s="350"/>
    </row>
    <row r="565" spans="1:31" s="144" customFormat="1" ht="204.75" outlineLevel="3" thickBot="1" x14ac:dyDescent="0.25">
      <c r="A565" s="230" t="s">
        <v>1331</v>
      </c>
      <c r="B565" s="518"/>
      <c r="C565" s="519"/>
      <c r="D565" s="518"/>
      <c r="E565" s="410" t="s">
        <v>740</v>
      </c>
      <c r="F565" s="410" t="s">
        <v>756</v>
      </c>
      <c r="G565" s="417" t="s">
        <v>1183</v>
      </c>
      <c r="H565" s="127" t="s">
        <v>680</v>
      </c>
      <c r="I565" s="164">
        <v>3</v>
      </c>
      <c r="J565" s="410" t="s">
        <v>742</v>
      </c>
      <c r="K565" s="165" t="s">
        <v>338</v>
      </c>
      <c r="L565" s="410">
        <v>1</v>
      </c>
      <c r="M565" s="231">
        <f t="shared" si="97"/>
        <v>3</v>
      </c>
      <c r="N565" s="232" t="s">
        <v>241</v>
      </c>
      <c r="O565" s="420" t="s">
        <v>242</v>
      </c>
      <c r="P565" s="138">
        <v>5</v>
      </c>
      <c r="Q565" s="235">
        <f t="shared" si="111"/>
        <v>15</v>
      </c>
      <c r="R565" s="428"/>
      <c r="S565" s="428"/>
      <c r="T565" s="133"/>
      <c r="U565" s="405"/>
      <c r="V565" s="135"/>
      <c r="W565" s="133"/>
      <c r="X565" s="405"/>
      <c r="Y565" s="405"/>
      <c r="Z565" s="135"/>
      <c r="AA565" s="136"/>
      <c r="AB565" s="111"/>
      <c r="AC565" s="366"/>
      <c r="AD565" s="226">
        <f t="shared" si="101"/>
        <v>11432</v>
      </c>
      <c r="AE565" s="350"/>
    </row>
    <row r="566" spans="1:31" s="144" customFormat="1" ht="204.75" outlineLevel="3" thickBot="1" x14ac:dyDescent="0.25">
      <c r="A566" s="240" t="s">
        <v>1332</v>
      </c>
      <c r="B566" s="493" t="s">
        <v>758</v>
      </c>
      <c r="C566" s="495" t="s">
        <v>759</v>
      </c>
      <c r="D566" s="493" t="s">
        <v>760</v>
      </c>
      <c r="E566" s="409" t="s">
        <v>235</v>
      </c>
      <c r="F566" s="409" t="s">
        <v>761</v>
      </c>
      <c r="G566" s="417" t="s">
        <v>1183</v>
      </c>
      <c r="H566" s="127" t="s">
        <v>680</v>
      </c>
      <c r="I566" s="164">
        <v>3</v>
      </c>
      <c r="J566" s="409" t="s">
        <v>239</v>
      </c>
      <c r="K566" s="165" t="s">
        <v>338</v>
      </c>
      <c r="L566" s="409">
        <v>1</v>
      </c>
      <c r="M566" s="231">
        <f t="shared" si="97"/>
        <v>3</v>
      </c>
      <c r="N566" s="232" t="s">
        <v>241</v>
      </c>
      <c r="O566" s="420" t="s">
        <v>242</v>
      </c>
      <c r="P566" s="138">
        <v>5</v>
      </c>
      <c r="Q566" s="235">
        <f t="shared" si="111"/>
        <v>15</v>
      </c>
      <c r="R566" s="428"/>
      <c r="S566" s="428"/>
      <c r="T566" s="133"/>
      <c r="U566" s="405"/>
      <c r="V566" s="135"/>
      <c r="W566" s="133"/>
      <c r="X566" s="405"/>
      <c r="Y566" s="405"/>
      <c r="Z566" s="135"/>
      <c r="AA566" s="136">
        <f t="shared" ref="AA566" si="114">X566*Y566*Z566</f>
        <v>0</v>
      </c>
      <c r="AB566" s="111"/>
      <c r="AC566" s="366"/>
      <c r="AD566" s="226">
        <f t="shared" si="101"/>
        <v>11433</v>
      </c>
      <c r="AE566" s="350"/>
    </row>
    <row r="567" spans="1:31" s="144" customFormat="1" ht="204.75" outlineLevel="3" thickBot="1" x14ac:dyDescent="0.25">
      <c r="A567" s="230" t="s">
        <v>1333</v>
      </c>
      <c r="B567" s="518"/>
      <c r="C567" s="519"/>
      <c r="D567" s="518"/>
      <c r="E567" s="410" t="s">
        <v>740</v>
      </c>
      <c r="F567" s="410" t="s">
        <v>763</v>
      </c>
      <c r="G567" s="417" t="s">
        <v>1183</v>
      </c>
      <c r="H567" s="127" t="s">
        <v>680</v>
      </c>
      <c r="I567" s="164">
        <v>3</v>
      </c>
      <c r="J567" s="410" t="s">
        <v>742</v>
      </c>
      <c r="K567" s="165" t="s">
        <v>338</v>
      </c>
      <c r="L567" s="410">
        <v>1</v>
      </c>
      <c r="M567" s="231">
        <f t="shared" si="97"/>
        <v>3</v>
      </c>
      <c r="N567" s="232" t="s">
        <v>241</v>
      </c>
      <c r="O567" s="420" t="s">
        <v>242</v>
      </c>
      <c r="P567" s="138">
        <v>5</v>
      </c>
      <c r="Q567" s="235">
        <f t="shared" si="111"/>
        <v>15</v>
      </c>
      <c r="R567" s="428"/>
      <c r="S567" s="428"/>
      <c r="T567" s="133"/>
      <c r="U567" s="405"/>
      <c r="V567" s="135"/>
      <c r="W567" s="133"/>
      <c r="X567" s="405"/>
      <c r="Y567" s="405"/>
      <c r="Z567" s="135"/>
      <c r="AA567" s="136"/>
      <c r="AB567" s="111"/>
      <c r="AC567" s="366"/>
      <c r="AD567" s="226">
        <f t="shared" si="101"/>
        <v>11434</v>
      </c>
      <c r="AE567" s="350"/>
    </row>
    <row r="568" spans="1:31" s="144" customFormat="1" ht="204.75" outlineLevel="3" thickBot="1" x14ac:dyDescent="0.25">
      <c r="A568" s="199" t="s">
        <v>1334</v>
      </c>
      <c r="B568" s="411" t="s">
        <v>765</v>
      </c>
      <c r="C568" s="412" t="s">
        <v>766</v>
      </c>
      <c r="D568" s="405" t="s">
        <v>767</v>
      </c>
      <c r="E568" s="417" t="s">
        <v>768</v>
      </c>
      <c r="F568" s="417" t="s">
        <v>1335</v>
      </c>
      <c r="G568" s="417" t="s">
        <v>1183</v>
      </c>
      <c r="H568" s="127" t="s">
        <v>680</v>
      </c>
      <c r="I568" s="164">
        <v>3</v>
      </c>
      <c r="J568" s="129" t="s">
        <v>784</v>
      </c>
      <c r="K568" s="165" t="s">
        <v>1176</v>
      </c>
      <c r="L568" s="131">
        <v>1</v>
      </c>
      <c r="M568" s="132">
        <f t="shared" si="97"/>
        <v>3</v>
      </c>
      <c r="N568" s="133" t="s">
        <v>291</v>
      </c>
      <c r="O568" s="69" t="s">
        <v>242</v>
      </c>
      <c r="P568" s="131">
        <v>5</v>
      </c>
      <c r="Q568" s="134">
        <f t="shared" si="98"/>
        <v>15</v>
      </c>
      <c r="R568" s="428"/>
      <c r="S568" s="428"/>
      <c r="T568" s="133"/>
      <c r="U568" s="405"/>
      <c r="V568" s="135"/>
      <c r="W568" s="133"/>
      <c r="X568" s="405"/>
      <c r="Y568" s="405"/>
      <c r="Z568" s="135"/>
      <c r="AA568" s="136">
        <f t="shared" ref="AA568" si="115">X568*Y568*Z568</f>
        <v>0</v>
      </c>
      <c r="AB568" s="111"/>
      <c r="AC568" s="366"/>
      <c r="AD568" s="226">
        <f t="shared" si="101"/>
        <v>6892</v>
      </c>
      <c r="AE568" s="350"/>
    </row>
    <row r="569" spans="1:31" s="144" customFormat="1" ht="21" outlineLevel="1" thickBot="1" x14ac:dyDescent="0.25">
      <c r="A569" s="200"/>
      <c r="B569" s="142" t="s">
        <v>1336</v>
      </c>
      <c r="C569" s="192"/>
      <c r="D569" s="143"/>
      <c r="E569" s="143"/>
      <c r="F569" s="143"/>
      <c r="G569" s="143"/>
      <c r="H569" s="143"/>
      <c r="I569" s="143"/>
      <c r="J569" s="143"/>
      <c r="K569" s="143"/>
      <c r="L569" s="143"/>
      <c r="M569" s="143"/>
      <c r="N569" s="78"/>
      <c r="O569" s="143"/>
      <c r="P569" s="143"/>
      <c r="Q569" s="143"/>
      <c r="R569" s="78"/>
      <c r="S569" s="78"/>
      <c r="T569" s="78"/>
      <c r="U569" s="78"/>
      <c r="V569" s="78"/>
      <c r="W569" s="78"/>
      <c r="X569" s="78"/>
      <c r="Y569" s="78"/>
      <c r="Z569" s="78"/>
      <c r="AA569" s="78"/>
      <c r="AB569" s="79"/>
      <c r="AC569" s="366"/>
      <c r="AD569" s="226">
        <f t="shared" si="101"/>
        <v>0</v>
      </c>
      <c r="AE569" s="350"/>
    </row>
    <row r="570" spans="1:31" s="144" customFormat="1" ht="21" outlineLevel="2" thickBot="1" x14ac:dyDescent="0.25">
      <c r="A570" s="200"/>
      <c r="B570" s="145" t="s">
        <v>230</v>
      </c>
      <c r="C570" s="193"/>
      <c r="D570" s="146"/>
      <c r="E570" s="146"/>
      <c r="F570" s="146"/>
      <c r="G570" s="146"/>
      <c r="H570" s="146"/>
      <c r="I570" s="146"/>
      <c r="J570" s="146"/>
      <c r="K570" s="146"/>
      <c r="L570" s="146"/>
      <c r="M570" s="146"/>
      <c r="N570" s="118"/>
      <c r="O570" s="146"/>
      <c r="P570" s="146"/>
      <c r="Q570" s="146"/>
      <c r="R570" s="118"/>
      <c r="S570" s="118"/>
      <c r="T570" s="118"/>
      <c r="U570" s="118"/>
      <c r="V570" s="118"/>
      <c r="W570" s="118"/>
      <c r="X570" s="118"/>
      <c r="Y570" s="118"/>
      <c r="Z570" s="118"/>
      <c r="AA570" s="118"/>
      <c r="AB570" s="119"/>
      <c r="AC570" s="366"/>
      <c r="AD570" s="226">
        <f t="shared" si="101"/>
        <v>0</v>
      </c>
      <c r="AE570" s="350"/>
    </row>
    <row r="571" spans="1:31" s="144" customFormat="1" ht="115.5" outlineLevel="3" thickBot="1" x14ac:dyDescent="0.25">
      <c r="A571" s="200" t="s">
        <v>1337</v>
      </c>
      <c r="B571" s="147" t="s">
        <v>247</v>
      </c>
      <c r="C571" s="194"/>
      <c r="D571" s="414" t="s">
        <v>249</v>
      </c>
      <c r="E571" s="337" t="s">
        <v>250</v>
      </c>
      <c r="F571" s="337" t="s">
        <v>992</v>
      </c>
      <c r="G571" s="337" t="s">
        <v>1338</v>
      </c>
      <c r="H571" s="148" t="s">
        <v>238</v>
      </c>
      <c r="I571" s="149">
        <v>1</v>
      </c>
      <c r="J571" s="150" t="s">
        <v>784</v>
      </c>
      <c r="K571" s="130" t="s">
        <v>682</v>
      </c>
      <c r="L571" s="152">
        <v>1</v>
      </c>
      <c r="M571" s="153">
        <f t="shared" ref="M571:M574" si="116">I571*L571</f>
        <v>1</v>
      </c>
      <c r="N571" s="133" t="s">
        <v>291</v>
      </c>
      <c r="O571" s="155" t="s">
        <v>242</v>
      </c>
      <c r="P571" s="152">
        <v>5</v>
      </c>
      <c r="Q571" s="156">
        <f t="shared" ref="Q571:Q572" si="117">I571*L571*P571</f>
        <v>5</v>
      </c>
      <c r="R571" s="428"/>
      <c r="S571" s="428"/>
      <c r="T571" s="133"/>
      <c r="U571" s="405"/>
      <c r="V571" s="135"/>
      <c r="W571" s="133"/>
      <c r="X571" s="405"/>
      <c r="Y571" s="405"/>
      <c r="Z571" s="135"/>
      <c r="AA571" s="136"/>
      <c r="AB571" s="111"/>
      <c r="AC571" s="366"/>
      <c r="AD571" s="226">
        <f t="shared" si="101"/>
        <v>6893</v>
      </c>
      <c r="AE571" s="350"/>
    </row>
    <row r="572" spans="1:31" s="144" customFormat="1" ht="115.5" outlineLevel="3" thickBot="1" x14ac:dyDescent="0.25">
      <c r="A572" s="200" t="s">
        <v>1339</v>
      </c>
      <c r="B572" s="147"/>
      <c r="C572" s="194"/>
      <c r="D572" s="414"/>
      <c r="E572" s="337" t="s">
        <v>255</v>
      </c>
      <c r="F572" s="337" t="s">
        <v>1340</v>
      </c>
      <c r="G572" s="337" t="s">
        <v>1338</v>
      </c>
      <c r="H572" s="148" t="s">
        <v>238</v>
      </c>
      <c r="I572" s="149">
        <v>1</v>
      </c>
      <c r="J572" s="150" t="s">
        <v>784</v>
      </c>
      <c r="K572" s="130" t="s">
        <v>682</v>
      </c>
      <c r="L572" s="152">
        <v>1</v>
      </c>
      <c r="M572" s="153">
        <f t="shared" si="116"/>
        <v>1</v>
      </c>
      <c r="N572" s="133" t="s">
        <v>291</v>
      </c>
      <c r="O572" s="155" t="s">
        <v>242</v>
      </c>
      <c r="P572" s="152">
        <v>5</v>
      </c>
      <c r="Q572" s="156">
        <f t="shared" si="117"/>
        <v>5</v>
      </c>
      <c r="R572" s="428"/>
      <c r="S572" s="428"/>
      <c r="T572" s="133"/>
      <c r="U572" s="405"/>
      <c r="V572" s="135"/>
      <c r="W572" s="133"/>
      <c r="X572" s="405"/>
      <c r="Y572" s="405"/>
      <c r="Z572" s="135"/>
      <c r="AA572" s="136">
        <f t="shared" ref="AA572" si="118">X572*Y572*Z572</f>
        <v>0</v>
      </c>
      <c r="AB572" s="111"/>
      <c r="AC572" s="366"/>
      <c r="AD572" s="226">
        <f t="shared" si="101"/>
        <v>6894</v>
      </c>
      <c r="AE572" s="350"/>
    </row>
    <row r="573" spans="1:31" s="144" customFormat="1" ht="115.5" outlineLevel="3" thickBot="1" x14ac:dyDescent="0.25">
      <c r="A573" s="200" t="s">
        <v>1341</v>
      </c>
      <c r="B573" s="147"/>
      <c r="C573" s="194"/>
      <c r="D573" s="414"/>
      <c r="E573" s="414" t="s">
        <v>1180</v>
      </c>
      <c r="F573" s="337" t="s">
        <v>1340</v>
      </c>
      <c r="G573" s="337" t="s">
        <v>1338</v>
      </c>
      <c r="H573" s="148" t="s">
        <v>238</v>
      </c>
      <c r="I573" s="149">
        <v>2</v>
      </c>
      <c r="J573" s="150" t="s">
        <v>784</v>
      </c>
      <c r="K573" s="130" t="s">
        <v>682</v>
      </c>
      <c r="L573" s="152">
        <v>1</v>
      </c>
      <c r="M573" s="153">
        <f t="shared" si="116"/>
        <v>2</v>
      </c>
      <c r="N573" s="154" t="s">
        <v>291</v>
      </c>
      <c r="O573" s="155" t="s">
        <v>242</v>
      </c>
      <c r="P573" s="152">
        <v>5</v>
      </c>
      <c r="Q573" s="134">
        <f t="shared" ref="Q573:Q574" si="119">P573*L573*I573</f>
        <v>10</v>
      </c>
      <c r="R573" s="428"/>
      <c r="S573" s="428"/>
      <c r="T573" s="133"/>
      <c r="U573" s="405"/>
      <c r="V573" s="135"/>
      <c r="W573" s="133"/>
      <c r="X573" s="405"/>
      <c r="Y573" s="405"/>
      <c r="Z573" s="135"/>
      <c r="AA573" s="136"/>
      <c r="AB573" s="111"/>
      <c r="AC573" s="366"/>
      <c r="AD573" s="226">
        <f t="shared" si="101"/>
        <v>6895</v>
      </c>
      <c r="AE573" s="350"/>
    </row>
    <row r="574" spans="1:31" s="144" customFormat="1" ht="115.5" outlineLevel="3" thickBot="1" x14ac:dyDescent="0.25">
      <c r="A574" s="200" t="s">
        <v>1342</v>
      </c>
      <c r="B574" s="147"/>
      <c r="C574" s="194"/>
      <c r="D574" s="414"/>
      <c r="E574" s="414" t="s">
        <v>1182</v>
      </c>
      <c r="F574" s="337" t="s">
        <v>1340</v>
      </c>
      <c r="G574" s="337" t="s">
        <v>1338</v>
      </c>
      <c r="H574" s="148" t="s">
        <v>238</v>
      </c>
      <c r="I574" s="149">
        <v>2</v>
      </c>
      <c r="J574" s="150" t="s">
        <v>784</v>
      </c>
      <c r="K574" s="130" t="s">
        <v>682</v>
      </c>
      <c r="L574" s="152">
        <v>1</v>
      </c>
      <c r="M574" s="153">
        <f t="shared" si="116"/>
        <v>2</v>
      </c>
      <c r="N574" s="154" t="s">
        <v>291</v>
      </c>
      <c r="O574" s="155" t="s">
        <v>242</v>
      </c>
      <c r="P574" s="152">
        <v>5</v>
      </c>
      <c r="Q574" s="134">
        <f t="shared" si="119"/>
        <v>10</v>
      </c>
      <c r="R574" s="428"/>
      <c r="S574" s="428"/>
      <c r="T574" s="133"/>
      <c r="U574" s="405"/>
      <c r="V574" s="135"/>
      <c r="W574" s="133"/>
      <c r="X574" s="405"/>
      <c r="Y574" s="405"/>
      <c r="Z574" s="135"/>
      <c r="AA574" s="136"/>
      <c r="AB574" s="111"/>
      <c r="AC574" s="366"/>
      <c r="AD574" s="226">
        <f t="shared" si="101"/>
        <v>6896</v>
      </c>
      <c r="AE574" s="350"/>
    </row>
    <row r="575" spans="1:31" s="144" customFormat="1" ht="115.5" outlineLevel="3" thickBot="1" x14ac:dyDescent="0.25">
      <c r="A575" s="200" t="s">
        <v>1343</v>
      </c>
      <c r="B575" s="147" t="s">
        <v>266</v>
      </c>
      <c r="C575" s="194"/>
      <c r="D575" s="414" t="s">
        <v>268</v>
      </c>
      <c r="E575" s="337" t="s">
        <v>269</v>
      </c>
      <c r="F575" s="337" t="s">
        <v>1002</v>
      </c>
      <c r="G575" s="337" t="s">
        <v>1344</v>
      </c>
      <c r="H575" s="148" t="s">
        <v>238</v>
      </c>
      <c r="I575" s="149">
        <v>1</v>
      </c>
      <c r="J575" s="150" t="s">
        <v>784</v>
      </c>
      <c r="K575" s="130" t="s">
        <v>682</v>
      </c>
      <c r="L575" s="152">
        <v>1</v>
      </c>
      <c r="M575" s="153">
        <f t="shared" ref="M575:M601" si="120">I575*L575</f>
        <v>1</v>
      </c>
      <c r="N575" s="133" t="s">
        <v>291</v>
      </c>
      <c r="O575" s="155" t="s">
        <v>242</v>
      </c>
      <c r="P575" s="152">
        <v>5</v>
      </c>
      <c r="Q575" s="156">
        <f t="shared" ref="Q575:Q601" si="121">I575*L575*P575</f>
        <v>5</v>
      </c>
      <c r="R575" s="428"/>
      <c r="S575" s="428"/>
      <c r="T575" s="133"/>
      <c r="U575" s="405"/>
      <c r="V575" s="135"/>
      <c r="W575" s="133"/>
      <c r="X575" s="405"/>
      <c r="Y575" s="405"/>
      <c r="Z575" s="135"/>
      <c r="AA575" s="136"/>
      <c r="AB575" s="111"/>
      <c r="AC575" s="366"/>
      <c r="AD575" s="226">
        <f t="shared" si="101"/>
        <v>6897</v>
      </c>
      <c r="AE575" s="350"/>
    </row>
    <row r="576" spans="1:31" s="144" customFormat="1" ht="115.5" outlineLevel="3" thickBot="1" x14ac:dyDescent="0.25">
      <c r="A576" s="200" t="s">
        <v>1345</v>
      </c>
      <c r="B576" s="147" t="s">
        <v>272</v>
      </c>
      <c r="C576" s="194"/>
      <c r="D576" s="414" t="s">
        <v>1346</v>
      </c>
      <c r="E576" s="337" t="s">
        <v>275</v>
      </c>
      <c r="F576" s="337" t="s">
        <v>276</v>
      </c>
      <c r="G576" s="337" t="s">
        <v>1338</v>
      </c>
      <c r="H576" s="148" t="s">
        <v>238</v>
      </c>
      <c r="I576" s="149">
        <v>1</v>
      </c>
      <c r="J576" s="150" t="s">
        <v>675</v>
      </c>
      <c r="K576" s="130" t="s">
        <v>682</v>
      </c>
      <c r="L576" s="152">
        <v>1</v>
      </c>
      <c r="M576" s="153">
        <f t="shared" si="120"/>
        <v>1</v>
      </c>
      <c r="N576" s="133" t="s">
        <v>291</v>
      </c>
      <c r="O576" s="155" t="s">
        <v>242</v>
      </c>
      <c r="P576" s="152">
        <v>5</v>
      </c>
      <c r="Q576" s="156">
        <f t="shared" si="121"/>
        <v>5</v>
      </c>
      <c r="R576" s="428"/>
      <c r="S576" s="428"/>
      <c r="T576" s="133"/>
      <c r="U576" s="405"/>
      <c r="V576" s="135"/>
      <c r="W576" s="133"/>
      <c r="X576" s="405"/>
      <c r="Y576" s="405"/>
      <c r="Z576" s="135"/>
      <c r="AA576" s="136">
        <f t="shared" ref="AA576" si="122">X576*Y576*Z576</f>
        <v>0</v>
      </c>
      <c r="AB576" s="111"/>
      <c r="AC576" s="366"/>
      <c r="AD576" s="226">
        <f t="shared" si="101"/>
        <v>6898</v>
      </c>
      <c r="AE576" s="350"/>
    </row>
    <row r="577" spans="1:31" s="144" customFormat="1" ht="192" outlineLevel="3" thickBot="1" x14ac:dyDescent="0.25">
      <c r="A577" s="200" t="s">
        <v>1347</v>
      </c>
      <c r="B577" s="147"/>
      <c r="C577" s="194"/>
      <c r="D577" s="414"/>
      <c r="E577" s="337" t="s">
        <v>279</v>
      </c>
      <c r="F577" s="337" t="s">
        <v>1348</v>
      </c>
      <c r="G577" s="337" t="s">
        <v>1338</v>
      </c>
      <c r="H577" s="148" t="s">
        <v>238</v>
      </c>
      <c r="I577" s="149">
        <v>1</v>
      </c>
      <c r="J577" s="150" t="s">
        <v>675</v>
      </c>
      <c r="K577" s="130" t="s">
        <v>682</v>
      </c>
      <c r="L577" s="152">
        <v>1</v>
      </c>
      <c r="M577" s="153">
        <f t="shared" si="120"/>
        <v>1</v>
      </c>
      <c r="N577" s="133" t="s">
        <v>291</v>
      </c>
      <c r="O577" s="155" t="s">
        <v>242</v>
      </c>
      <c r="P577" s="152">
        <v>5</v>
      </c>
      <c r="Q577" s="156">
        <f t="shared" si="121"/>
        <v>5</v>
      </c>
      <c r="R577" s="428"/>
      <c r="S577" s="428"/>
      <c r="T577" s="133"/>
      <c r="U577" s="405"/>
      <c r="V577" s="135"/>
      <c r="W577" s="133"/>
      <c r="X577" s="405"/>
      <c r="Y577" s="405"/>
      <c r="Z577" s="135"/>
      <c r="AA577" s="136"/>
      <c r="AB577" s="111"/>
      <c r="AC577" s="366"/>
      <c r="AD577" s="226">
        <f t="shared" si="101"/>
        <v>6899</v>
      </c>
      <c r="AE577" s="350"/>
    </row>
    <row r="578" spans="1:31" s="144" customFormat="1" ht="141" outlineLevel="3" thickBot="1" x14ac:dyDescent="0.25">
      <c r="A578" s="200" t="s">
        <v>1349</v>
      </c>
      <c r="B578" s="147" t="s">
        <v>1350</v>
      </c>
      <c r="C578" s="194"/>
      <c r="D578" s="414" t="s">
        <v>287</v>
      </c>
      <c r="E578" s="337" t="s">
        <v>288</v>
      </c>
      <c r="F578" s="337" t="s">
        <v>301</v>
      </c>
      <c r="G578" s="337" t="s">
        <v>1344</v>
      </c>
      <c r="H578" s="148" t="s">
        <v>238</v>
      </c>
      <c r="I578" s="149">
        <v>1</v>
      </c>
      <c r="J578" s="150" t="s">
        <v>784</v>
      </c>
      <c r="K578" s="130" t="s">
        <v>682</v>
      </c>
      <c r="L578" s="152">
        <v>1</v>
      </c>
      <c r="M578" s="153">
        <f t="shared" si="120"/>
        <v>1</v>
      </c>
      <c r="N578" s="133" t="s">
        <v>291</v>
      </c>
      <c r="O578" s="155" t="s">
        <v>242</v>
      </c>
      <c r="P578" s="152">
        <v>5</v>
      </c>
      <c r="Q578" s="156">
        <f t="shared" si="121"/>
        <v>5</v>
      </c>
      <c r="R578" s="428"/>
      <c r="S578" s="428"/>
      <c r="T578" s="133"/>
      <c r="U578" s="405"/>
      <c r="V578" s="135"/>
      <c r="W578" s="133"/>
      <c r="X578" s="405"/>
      <c r="Y578" s="405"/>
      <c r="Z578" s="135"/>
      <c r="AA578" s="136"/>
      <c r="AB578" s="111"/>
      <c r="AC578" s="366"/>
      <c r="AD578" s="226">
        <f t="shared" si="101"/>
        <v>6900</v>
      </c>
      <c r="AE578" s="350"/>
    </row>
    <row r="579" spans="1:31" s="144" customFormat="1" ht="268.5" outlineLevel="3" thickBot="1" x14ac:dyDescent="0.25">
      <c r="A579" s="200" t="s">
        <v>1351</v>
      </c>
      <c r="B579" s="147"/>
      <c r="C579" s="194"/>
      <c r="D579" s="414"/>
      <c r="E579" s="337" t="s">
        <v>293</v>
      </c>
      <c r="F579" s="337" t="s">
        <v>1352</v>
      </c>
      <c r="G579" s="337" t="s">
        <v>1344</v>
      </c>
      <c r="H579" s="148" t="s">
        <v>238</v>
      </c>
      <c r="I579" s="149">
        <v>1</v>
      </c>
      <c r="J579" s="150" t="s">
        <v>784</v>
      </c>
      <c r="K579" s="130" t="s">
        <v>682</v>
      </c>
      <c r="L579" s="152">
        <v>1</v>
      </c>
      <c r="M579" s="153">
        <f t="shared" si="120"/>
        <v>1</v>
      </c>
      <c r="N579" s="133" t="s">
        <v>291</v>
      </c>
      <c r="O579" s="155" t="s">
        <v>242</v>
      </c>
      <c r="P579" s="152">
        <v>5</v>
      </c>
      <c r="Q579" s="156">
        <f t="shared" si="121"/>
        <v>5</v>
      </c>
      <c r="R579" s="428"/>
      <c r="S579" s="428"/>
      <c r="T579" s="133"/>
      <c r="U579" s="405"/>
      <c r="V579" s="135"/>
      <c r="W579" s="133"/>
      <c r="X579" s="405"/>
      <c r="Y579" s="405"/>
      <c r="Z579" s="135"/>
      <c r="AA579" s="136"/>
      <c r="AB579" s="111"/>
      <c r="AC579" s="366"/>
      <c r="AD579" s="226">
        <f t="shared" si="101"/>
        <v>6901</v>
      </c>
      <c r="AE579" s="350"/>
    </row>
    <row r="580" spans="1:31" s="144" customFormat="1" ht="153.75" outlineLevel="3" thickBot="1" x14ac:dyDescent="0.25">
      <c r="A580" s="200" t="s">
        <v>1353</v>
      </c>
      <c r="B580" s="147" t="s">
        <v>309</v>
      </c>
      <c r="C580" s="194"/>
      <c r="D580" s="414" t="s">
        <v>311</v>
      </c>
      <c r="E580" s="337" t="s">
        <v>300</v>
      </c>
      <c r="F580" s="337" t="s">
        <v>289</v>
      </c>
      <c r="G580" s="337" t="s">
        <v>1344</v>
      </c>
      <c r="H580" s="148" t="s">
        <v>238</v>
      </c>
      <c r="I580" s="149">
        <v>1</v>
      </c>
      <c r="J580" s="150" t="s">
        <v>784</v>
      </c>
      <c r="K580" s="130" t="s">
        <v>682</v>
      </c>
      <c r="L580" s="152">
        <v>1</v>
      </c>
      <c r="M580" s="153">
        <f t="shared" si="120"/>
        <v>1</v>
      </c>
      <c r="N580" s="133" t="s">
        <v>291</v>
      </c>
      <c r="O580" s="155" t="s">
        <v>242</v>
      </c>
      <c r="P580" s="152">
        <v>5</v>
      </c>
      <c r="Q580" s="156">
        <f t="shared" si="121"/>
        <v>5</v>
      </c>
      <c r="R580" s="428"/>
      <c r="S580" s="428"/>
      <c r="T580" s="133"/>
      <c r="U580" s="405"/>
      <c r="V580" s="135"/>
      <c r="W580" s="133"/>
      <c r="X580" s="405"/>
      <c r="Y580" s="405"/>
      <c r="Z580" s="135"/>
      <c r="AA580" s="136"/>
      <c r="AB580" s="111"/>
      <c r="AC580" s="358"/>
      <c r="AD580" s="226">
        <f t="shared" si="101"/>
        <v>6902</v>
      </c>
      <c r="AE580" s="358"/>
    </row>
    <row r="581" spans="1:31" s="144" customFormat="1" ht="268.5" outlineLevel="3" thickBot="1" x14ac:dyDescent="0.25">
      <c r="A581" s="200" t="s">
        <v>1354</v>
      </c>
      <c r="B581" s="147"/>
      <c r="C581" s="194"/>
      <c r="D581" s="414"/>
      <c r="E581" s="337" t="s">
        <v>393</v>
      </c>
      <c r="F581" s="337" t="s">
        <v>1355</v>
      </c>
      <c r="G581" s="337" t="s">
        <v>1344</v>
      </c>
      <c r="H581" s="148" t="s">
        <v>238</v>
      </c>
      <c r="I581" s="149">
        <v>1</v>
      </c>
      <c r="J581" s="150" t="s">
        <v>784</v>
      </c>
      <c r="K581" s="130" t="s">
        <v>682</v>
      </c>
      <c r="L581" s="152">
        <v>1</v>
      </c>
      <c r="M581" s="153">
        <f t="shared" si="120"/>
        <v>1</v>
      </c>
      <c r="N581" s="133" t="s">
        <v>291</v>
      </c>
      <c r="O581" s="155" t="s">
        <v>242</v>
      </c>
      <c r="P581" s="152">
        <v>5</v>
      </c>
      <c r="Q581" s="156">
        <f t="shared" si="121"/>
        <v>5</v>
      </c>
      <c r="R581" s="428"/>
      <c r="S581" s="428"/>
      <c r="T581" s="133"/>
      <c r="U581" s="405"/>
      <c r="V581" s="135"/>
      <c r="W581" s="133"/>
      <c r="X581" s="405"/>
      <c r="Y581" s="405"/>
      <c r="Z581" s="135"/>
      <c r="AA581" s="136">
        <f>X581*Y581*Z581</f>
        <v>0</v>
      </c>
      <c r="AB581" s="111"/>
      <c r="AC581" s="366"/>
      <c r="AD581" s="226">
        <f t="shared" si="101"/>
        <v>6903</v>
      </c>
      <c r="AE581" s="350"/>
    </row>
    <row r="582" spans="1:31" s="144" customFormat="1" ht="115.5" outlineLevel="3" thickBot="1" x14ac:dyDescent="0.25">
      <c r="A582" s="200" t="s">
        <v>1356</v>
      </c>
      <c r="B582" s="147" t="s">
        <v>323</v>
      </c>
      <c r="C582" s="194"/>
      <c r="D582" s="414" t="s">
        <v>325</v>
      </c>
      <c r="E582" s="337" t="s">
        <v>326</v>
      </c>
      <c r="F582" s="337" t="s">
        <v>327</v>
      </c>
      <c r="G582" s="337" t="s">
        <v>1344</v>
      </c>
      <c r="H582" s="148" t="s">
        <v>238</v>
      </c>
      <c r="I582" s="149">
        <v>1</v>
      </c>
      <c r="J582" s="150" t="s">
        <v>784</v>
      </c>
      <c r="K582" s="130" t="s">
        <v>682</v>
      </c>
      <c r="L582" s="152">
        <v>1</v>
      </c>
      <c r="M582" s="153">
        <f t="shared" si="120"/>
        <v>1</v>
      </c>
      <c r="N582" s="133" t="s">
        <v>291</v>
      </c>
      <c r="O582" s="155" t="s">
        <v>242</v>
      </c>
      <c r="P582" s="152">
        <v>5</v>
      </c>
      <c r="Q582" s="156">
        <f t="shared" si="121"/>
        <v>5</v>
      </c>
      <c r="R582" s="428"/>
      <c r="S582" s="428"/>
      <c r="T582" s="133"/>
      <c r="U582" s="405"/>
      <c r="V582" s="135"/>
      <c r="W582" s="133"/>
      <c r="X582" s="405"/>
      <c r="Y582" s="405"/>
      <c r="Z582" s="135"/>
      <c r="AA582" s="136">
        <f>X582*Y582*Z582</f>
        <v>0</v>
      </c>
      <c r="AB582" s="111"/>
      <c r="AC582" s="366"/>
      <c r="AD582" s="226">
        <f t="shared" ref="AD582:AD645" si="123">VALUE(RIGHT((IF(A582="",0,A582)),5))</f>
        <v>6904</v>
      </c>
      <c r="AE582" s="350"/>
    </row>
    <row r="583" spans="1:31" s="144" customFormat="1" ht="141" outlineLevel="3" thickBot="1" x14ac:dyDescent="0.25">
      <c r="A583" s="200" t="s">
        <v>1357</v>
      </c>
      <c r="B583" s="147"/>
      <c r="C583" s="194"/>
      <c r="D583" s="414"/>
      <c r="E583" s="337" t="s">
        <v>330</v>
      </c>
      <c r="F583" s="337" t="s">
        <v>1358</v>
      </c>
      <c r="G583" s="337" t="s">
        <v>1344</v>
      </c>
      <c r="H583" s="148" t="s">
        <v>238</v>
      </c>
      <c r="I583" s="149">
        <v>1</v>
      </c>
      <c r="J583" s="150" t="s">
        <v>784</v>
      </c>
      <c r="K583" s="130" t="s">
        <v>682</v>
      </c>
      <c r="L583" s="152">
        <v>1</v>
      </c>
      <c r="M583" s="153">
        <f t="shared" si="120"/>
        <v>1</v>
      </c>
      <c r="N583" s="133" t="s">
        <v>291</v>
      </c>
      <c r="O583" s="155" t="s">
        <v>242</v>
      </c>
      <c r="P583" s="152">
        <v>5</v>
      </c>
      <c r="Q583" s="156">
        <f t="shared" si="121"/>
        <v>5</v>
      </c>
      <c r="R583" s="428"/>
      <c r="S583" s="428"/>
      <c r="T583" s="133"/>
      <c r="U583" s="405"/>
      <c r="V583" s="135"/>
      <c r="W583" s="133"/>
      <c r="X583" s="405"/>
      <c r="Y583" s="405"/>
      <c r="Z583" s="135"/>
      <c r="AA583" s="136">
        <f>X583*Y583*Z583</f>
        <v>0</v>
      </c>
      <c r="AB583" s="111"/>
      <c r="AC583" s="366"/>
      <c r="AD583" s="226">
        <f t="shared" si="123"/>
        <v>6905</v>
      </c>
      <c r="AE583" s="350"/>
    </row>
    <row r="584" spans="1:31" s="144" customFormat="1" ht="128.25" outlineLevel="3" thickBot="1" x14ac:dyDescent="0.25">
      <c r="A584" s="200" t="s">
        <v>1359</v>
      </c>
      <c r="B584" s="147" t="s">
        <v>334</v>
      </c>
      <c r="C584" s="194"/>
      <c r="D584" s="414" t="s">
        <v>1360</v>
      </c>
      <c r="E584" s="337" t="s">
        <v>288</v>
      </c>
      <c r="F584" s="337" t="s">
        <v>337</v>
      </c>
      <c r="G584" s="337" t="s">
        <v>1338</v>
      </c>
      <c r="H584" s="148" t="s">
        <v>238</v>
      </c>
      <c r="I584" s="149">
        <v>2</v>
      </c>
      <c r="J584" s="150" t="s">
        <v>675</v>
      </c>
      <c r="K584" s="151" t="s">
        <v>338</v>
      </c>
      <c r="L584" s="152">
        <v>1</v>
      </c>
      <c r="M584" s="153">
        <f t="shared" si="120"/>
        <v>2</v>
      </c>
      <c r="N584" s="133" t="s">
        <v>291</v>
      </c>
      <c r="O584" s="155" t="s">
        <v>242</v>
      </c>
      <c r="P584" s="152">
        <v>5</v>
      </c>
      <c r="Q584" s="156">
        <f t="shared" si="121"/>
        <v>10</v>
      </c>
      <c r="R584" s="428"/>
      <c r="S584" s="428"/>
      <c r="T584" s="133"/>
      <c r="U584" s="405"/>
      <c r="V584" s="135"/>
      <c r="W584" s="133"/>
      <c r="X584" s="405"/>
      <c r="Y584" s="405"/>
      <c r="Z584" s="135"/>
      <c r="AA584" s="136">
        <f t="shared" ref="AA584" si="124">X584*Y584*Z584</f>
        <v>0</v>
      </c>
      <c r="AB584" s="111"/>
      <c r="AC584" s="366"/>
      <c r="AD584" s="226">
        <f t="shared" si="123"/>
        <v>6906</v>
      </c>
      <c r="AE584" s="350"/>
    </row>
    <row r="585" spans="1:31" s="144" customFormat="1" ht="153.75" outlineLevel="3" thickBot="1" x14ac:dyDescent="0.25">
      <c r="A585" s="200" t="s">
        <v>1361</v>
      </c>
      <c r="B585" s="147"/>
      <c r="C585" s="194"/>
      <c r="D585" s="414"/>
      <c r="E585" s="337" t="s">
        <v>340</v>
      </c>
      <c r="F585" s="337" t="s">
        <v>1362</v>
      </c>
      <c r="G585" s="337" t="s">
        <v>1344</v>
      </c>
      <c r="H585" s="148" t="s">
        <v>238</v>
      </c>
      <c r="I585" s="149">
        <v>1</v>
      </c>
      <c r="J585" s="150" t="s">
        <v>784</v>
      </c>
      <c r="K585" s="130" t="s">
        <v>682</v>
      </c>
      <c r="L585" s="152">
        <v>1</v>
      </c>
      <c r="M585" s="153">
        <f t="shared" si="120"/>
        <v>1</v>
      </c>
      <c r="N585" s="133" t="s">
        <v>291</v>
      </c>
      <c r="O585" s="155" t="s">
        <v>242</v>
      </c>
      <c r="P585" s="152">
        <v>5</v>
      </c>
      <c r="Q585" s="156">
        <f t="shared" si="121"/>
        <v>5</v>
      </c>
      <c r="R585" s="428"/>
      <c r="S585" s="428"/>
      <c r="T585" s="133"/>
      <c r="U585" s="405"/>
      <c r="V585" s="135"/>
      <c r="W585" s="133"/>
      <c r="X585" s="405"/>
      <c r="Y585" s="405"/>
      <c r="Z585" s="135"/>
      <c r="AA585" s="136"/>
      <c r="AB585" s="111"/>
      <c r="AC585" s="366"/>
      <c r="AD585" s="226">
        <f t="shared" si="123"/>
        <v>6907</v>
      </c>
      <c r="AE585" s="350"/>
    </row>
    <row r="586" spans="1:31" s="144" customFormat="1" ht="115.5" outlineLevel="3" thickBot="1" x14ac:dyDescent="0.25">
      <c r="A586" s="200" t="s">
        <v>1363</v>
      </c>
      <c r="B586" s="147" t="s">
        <v>378</v>
      </c>
      <c r="C586" s="194"/>
      <c r="D586" s="414" t="s">
        <v>1364</v>
      </c>
      <c r="E586" s="337" t="s">
        <v>381</v>
      </c>
      <c r="F586" s="337" t="s">
        <v>327</v>
      </c>
      <c r="G586" s="337" t="s">
        <v>1344</v>
      </c>
      <c r="H586" s="148" t="s">
        <v>238</v>
      </c>
      <c r="I586" s="149">
        <v>1</v>
      </c>
      <c r="J586" s="150" t="s">
        <v>784</v>
      </c>
      <c r="K586" s="130" t="s">
        <v>682</v>
      </c>
      <c r="L586" s="152">
        <v>1</v>
      </c>
      <c r="M586" s="153">
        <f t="shared" si="120"/>
        <v>1</v>
      </c>
      <c r="N586" s="133" t="s">
        <v>291</v>
      </c>
      <c r="O586" s="155" t="s">
        <v>242</v>
      </c>
      <c r="P586" s="152">
        <v>5</v>
      </c>
      <c r="Q586" s="156">
        <f t="shared" si="121"/>
        <v>5</v>
      </c>
      <c r="R586" s="428"/>
      <c r="S586" s="428"/>
      <c r="T586" s="133"/>
      <c r="U586" s="405"/>
      <c r="V586" s="135"/>
      <c r="W586" s="133"/>
      <c r="X586" s="405"/>
      <c r="Y586" s="405"/>
      <c r="Z586" s="135"/>
      <c r="AA586" s="136">
        <f t="shared" ref="AA586" si="125">X586*Y586*Z586</f>
        <v>0</v>
      </c>
      <c r="AB586" s="111"/>
      <c r="AC586" s="366"/>
      <c r="AD586" s="226">
        <f t="shared" si="123"/>
        <v>6908</v>
      </c>
      <c r="AE586" s="350"/>
    </row>
    <row r="587" spans="1:31" s="144" customFormat="1" ht="141" outlineLevel="3" thickBot="1" x14ac:dyDescent="0.25">
      <c r="A587" s="200" t="s">
        <v>1365</v>
      </c>
      <c r="B587" s="147"/>
      <c r="C587" s="194"/>
      <c r="D587" s="414"/>
      <c r="E587" s="337" t="s">
        <v>384</v>
      </c>
      <c r="F587" s="337" t="s">
        <v>1366</v>
      </c>
      <c r="G587" s="337" t="s">
        <v>1344</v>
      </c>
      <c r="H587" s="148" t="s">
        <v>238</v>
      </c>
      <c r="I587" s="149">
        <v>1</v>
      </c>
      <c r="J587" s="150" t="s">
        <v>784</v>
      </c>
      <c r="K587" s="130" t="s">
        <v>682</v>
      </c>
      <c r="L587" s="152">
        <v>1</v>
      </c>
      <c r="M587" s="153">
        <f t="shared" si="120"/>
        <v>1</v>
      </c>
      <c r="N587" s="133" t="s">
        <v>291</v>
      </c>
      <c r="O587" s="155" t="s">
        <v>242</v>
      </c>
      <c r="P587" s="152">
        <v>5</v>
      </c>
      <c r="Q587" s="156">
        <f t="shared" si="121"/>
        <v>5</v>
      </c>
      <c r="R587" s="428"/>
      <c r="S587" s="428"/>
      <c r="T587" s="133"/>
      <c r="U587" s="405"/>
      <c r="V587" s="135"/>
      <c r="W587" s="133"/>
      <c r="X587" s="405"/>
      <c r="Y587" s="405"/>
      <c r="Z587" s="135"/>
      <c r="AA587" s="136"/>
      <c r="AB587" s="111"/>
      <c r="AC587" s="366"/>
      <c r="AD587" s="226">
        <f t="shared" si="123"/>
        <v>6909</v>
      </c>
      <c r="AE587" s="350"/>
    </row>
    <row r="588" spans="1:31" s="144" customFormat="1" ht="141" outlineLevel="3" thickBot="1" x14ac:dyDescent="0.25">
      <c r="A588" s="200" t="s">
        <v>1367</v>
      </c>
      <c r="B588" s="147" t="s">
        <v>388</v>
      </c>
      <c r="C588" s="194"/>
      <c r="D588" s="414" t="s">
        <v>390</v>
      </c>
      <c r="E588" s="337" t="s">
        <v>300</v>
      </c>
      <c r="F588" s="337" t="s">
        <v>391</v>
      </c>
      <c r="G588" s="337" t="s">
        <v>1344</v>
      </c>
      <c r="H588" s="148" t="s">
        <v>238</v>
      </c>
      <c r="I588" s="149">
        <v>1</v>
      </c>
      <c r="J588" s="150" t="s">
        <v>784</v>
      </c>
      <c r="K588" s="130" t="s">
        <v>682</v>
      </c>
      <c r="L588" s="152">
        <v>1</v>
      </c>
      <c r="M588" s="153">
        <f t="shared" si="120"/>
        <v>1</v>
      </c>
      <c r="N588" s="133" t="s">
        <v>291</v>
      </c>
      <c r="O588" s="155" t="s">
        <v>242</v>
      </c>
      <c r="P588" s="152">
        <v>5</v>
      </c>
      <c r="Q588" s="156">
        <f t="shared" si="121"/>
        <v>5</v>
      </c>
      <c r="R588" s="428"/>
      <c r="S588" s="428"/>
      <c r="T588" s="133"/>
      <c r="U588" s="405"/>
      <c r="V588" s="135"/>
      <c r="W588" s="133"/>
      <c r="X588" s="405"/>
      <c r="Y588" s="405"/>
      <c r="Z588" s="135"/>
      <c r="AA588" s="136">
        <f t="shared" ref="AA588" si="126">X588*Y588*Z588</f>
        <v>0</v>
      </c>
      <c r="AB588" s="111"/>
      <c r="AC588" s="366"/>
      <c r="AD588" s="226">
        <f t="shared" si="123"/>
        <v>6910</v>
      </c>
      <c r="AE588" s="350"/>
    </row>
    <row r="589" spans="1:31" s="144" customFormat="1" ht="217.5" outlineLevel="3" thickBot="1" x14ac:dyDescent="0.25">
      <c r="A589" s="200" t="s">
        <v>1368</v>
      </c>
      <c r="B589" s="147"/>
      <c r="C589" s="194"/>
      <c r="D589" s="414"/>
      <c r="E589" s="337" t="s">
        <v>393</v>
      </c>
      <c r="F589" s="337" t="s">
        <v>394</v>
      </c>
      <c r="G589" s="337" t="s">
        <v>1344</v>
      </c>
      <c r="H589" s="148" t="s">
        <v>238</v>
      </c>
      <c r="I589" s="149">
        <v>1</v>
      </c>
      <c r="J589" s="150" t="s">
        <v>784</v>
      </c>
      <c r="K589" s="130" t="s">
        <v>682</v>
      </c>
      <c r="L589" s="152">
        <v>1</v>
      </c>
      <c r="M589" s="153">
        <f t="shared" si="120"/>
        <v>1</v>
      </c>
      <c r="N589" s="133" t="s">
        <v>291</v>
      </c>
      <c r="O589" s="155" t="s">
        <v>242</v>
      </c>
      <c r="P589" s="152">
        <v>5</v>
      </c>
      <c r="Q589" s="156">
        <f t="shared" si="121"/>
        <v>5</v>
      </c>
      <c r="R589" s="428"/>
      <c r="S589" s="428"/>
      <c r="T589" s="133"/>
      <c r="U589" s="405"/>
      <c r="V589" s="135"/>
      <c r="W589" s="133"/>
      <c r="X589" s="405"/>
      <c r="Y589" s="405"/>
      <c r="Z589" s="135"/>
      <c r="AA589" s="136"/>
      <c r="AB589" s="111"/>
      <c r="AC589" s="366"/>
      <c r="AD589" s="226">
        <f t="shared" si="123"/>
        <v>6911</v>
      </c>
      <c r="AE589" s="350"/>
    </row>
    <row r="590" spans="1:31" s="144" customFormat="1" ht="192" outlineLevel="3" thickBot="1" x14ac:dyDescent="0.25">
      <c r="A590" s="200" t="s">
        <v>1369</v>
      </c>
      <c r="B590" s="147" t="s">
        <v>396</v>
      </c>
      <c r="C590" s="194"/>
      <c r="D590" s="414" t="s">
        <v>397</v>
      </c>
      <c r="E590" s="337" t="s">
        <v>398</v>
      </c>
      <c r="F590" s="337" t="s">
        <v>399</v>
      </c>
      <c r="G590" s="337" t="s">
        <v>1344</v>
      </c>
      <c r="H590" s="148" t="s">
        <v>238</v>
      </c>
      <c r="I590" s="149">
        <v>1</v>
      </c>
      <c r="J590" s="150" t="s">
        <v>784</v>
      </c>
      <c r="K590" s="130" t="s">
        <v>682</v>
      </c>
      <c r="L590" s="152">
        <v>1</v>
      </c>
      <c r="M590" s="153">
        <f t="shared" si="120"/>
        <v>1</v>
      </c>
      <c r="N590" s="133" t="s">
        <v>291</v>
      </c>
      <c r="O590" s="155" t="s">
        <v>242</v>
      </c>
      <c r="P590" s="152">
        <v>5</v>
      </c>
      <c r="Q590" s="156">
        <f t="shared" si="121"/>
        <v>5</v>
      </c>
      <c r="R590" s="428"/>
      <c r="S590" s="428"/>
      <c r="T590" s="133"/>
      <c r="U590" s="405"/>
      <c r="V590" s="135"/>
      <c r="W590" s="133"/>
      <c r="X590" s="405"/>
      <c r="Y590" s="405"/>
      <c r="Z590" s="135"/>
      <c r="AA590" s="136">
        <f t="shared" ref="AA590" si="127">X590*Y590*Z590</f>
        <v>0</v>
      </c>
      <c r="AB590" s="111"/>
      <c r="AC590" s="366"/>
      <c r="AD590" s="226">
        <f t="shared" si="123"/>
        <v>6912</v>
      </c>
      <c r="AE590" s="350"/>
    </row>
    <row r="591" spans="1:31" s="144" customFormat="1" ht="153.75" outlineLevel="3" thickBot="1" x14ac:dyDescent="0.25">
      <c r="A591" s="200" t="s">
        <v>1370</v>
      </c>
      <c r="B591" s="147"/>
      <c r="C591" s="194"/>
      <c r="D591" s="414"/>
      <c r="E591" s="337" t="s">
        <v>340</v>
      </c>
      <c r="F591" s="337" t="s">
        <v>1040</v>
      </c>
      <c r="G591" s="337" t="s">
        <v>1344</v>
      </c>
      <c r="H591" s="148" t="s">
        <v>238</v>
      </c>
      <c r="I591" s="149">
        <v>1</v>
      </c>
      <c r="J591" s="150" t="s">
        <v>784</v>
      </c>
      <c r="K591" s="130" t="s">
        <v>682</v>
      </c>
      <c r="L591" s="152">
        <v>1</v>
      </c>
      <c r="M591" s="153">
        <f t="shared" si="120"/>
        <v>1</v>
      </c>
      <c r="N591" s="133" t="s">
        <v>291</v>
      </c>
      <c r="O591" s="155" t="s">
        <v>242</v>
      </c>
      <c r="P591" s="152">
        <v>5</v>
      </c>
      <c r="Q591" s="156">
        <f t="shared" si="121"/>
        <v>5</v>
      </c>
      <c r="R591" s="428"/>
      <c r="S591" s="428"/>
      <c r="T591" s="133"/>
      <c r="U591" s="405"/>
      <c r="V591" s="135"/>
      <c r="W591" s="133"/>
      <c r="X591" s="405"/>
      <c r="Y591" s="405"/>
      <c r="Z591" s="135"/>
      <c r="AA591" s="136"/>
      <c r="AB591" s="111"/>
      <c r="AC591" s="366"/>
      <c r="AD591" s="226">
        <f t="shared" si="123"/>
        <v>6913</v>
      </c>
      <c r="AE591" s="350"/>
    </row>
    <row r="592" spans="1:31" s="144" customFormat="1" ht="179.25" outlineLevel="3" thickBot="1" x14ac:dyDescent="0.25">
      <c r="A592" s="200" t="s">
        <v>1371</v>
      </c>
      <c r="B592" s="147" t="s">
        <v>404</v>
      </c>
      <c r="C592" s="194"/>
      <c r="D592" s="414" t="s">
        <v>406</v>
      </c>
      <c r="E592" s="337" t="s">
        <v>407</v>
      </c>
      <c r="F592" s="337" t="s">
        <v>408</v>
      </c>
      <c r="G592" s="337" t="s">
        <v>1338</v>
      </c>
      <c r="H592" s="148" t="s">
        <v>238</v>
      </c>
      <c r="I592" s="149">
        <v>1</v>
      </c>
      <c r="J592" s="150" t="s">
        <v>675</v>
      </c>
      <c r="K592" s="151" t="s">
        <v>409</v>
      </c>
      <c r="L592" s="152">
        <v>1</v>
      </c>
      <c r="M592" s="153">
        <f t="shared" si="120"/>
        <v>1</v>
      </c>
      <c r="N592" s="133" t="s">
        <v>291</v>
      </c>
      <c r="O592" s="155" t="s">
        <v>242</v>
      </c>
      <c r="P592" s="152">
        <v>5</v>
      </c>
      <c r="Q592" s="156">
        <f t="shared" si="121"/>
        <v>5</v>
      </c>
      <c r="R592" s="428"/>
      <c r="S592" s="428"/>
      <c r="T592" s="133"/>
      <c r="U592" s="405"/>
      <c r="V592" s="135"/>
      <c r="W592" s="133"/>
      <c r="X592" s="405"/>
      <c r="Y592" s="405"/>
      <c r="Z592" s="135"/>
      <c r="AA592" s="136"/>
      <c r="AB592" s="111"/>
      <c r="AC592" s="366"/>
      <c r="AD592" s="226">
        <f t="shared" si="123"/>
        <v>6914</v>
      </c>
      <c r="AE592" s="350"/>
    </row>
    <row r="593" spans="1:31" s="144" customFormat="1" ht="128.25" outlineLevel="3" thickBot="1" x14ac:dyDescent="0.25">
      <c r="A593" s="200" t="s">
        <v>1372</v>
      </c>
      <c r="B593" s="147"/>
      <c r="C593" s="194"/>
      <c r="D593" s="414"/>
      <c r="E593" s="337" t="s">
        <v>279</v>
      </c>
      <c r="F593" s="337" t="s">
        <v>411</v>
      </c>
      <c r="G593" s="337" t="s">
        <v>1344</v>
      </c>
      <c r="H593" s="148" t="s">
        <v>238</v>
      </c>
      <c r="I593" s="149">
        <v>1</v>
      </c>
      <c r="J593" s="150" t="s">
        <v>784</v>
      </c>
      <c r="K593" s="130" t="s">
        <v>682</v>
      </c>
      <c r="L593" s="152">
        <v>1</v>
      </c>
      <c r="M593" s="153">
        <f t="shared" si="120"/>
        <v>1</v>
      </c>
      <c r="N593" s="133" t="s">
        <v>291</v>
      </c>
      <c r="O593" s="155" t="s">
        <v>242</v>
      </c>
      <c r="P593" s="152">
        <v>5</v>
      </c>
      <c r="Q593" s="156">
        <f t="shared" si="121"/>
        <v>5</v>
      </c>
      <c r="R593" s="428"/>
      <c r="S593" s="428"/>
      <c r="T593" s="133"/>
      <c r="U593" s="405"/>
      <c r="V593" s="135"/>
      <c r="W593" s="133"/>
      <c r="X593" s="405"/>
      <c r="Y593" s="405"/>
      <c r="Z593" s="135"/>
      <c r="AA593" s="136"/>
      <c r="AB593" s="111"/>
      <c r="AC593" s="366"/>
      <c r="AD593" s="226">
        <f t="shared" si="123"/>
        <v>6915</v>
      </c>
      <c r="AE593" s="350"/>
    </row>
    <row r="594" spans="1:31" s="144" customFormat="1" ht="153.75" outlineLevel="3" thickBot="1" x14ac:dyDescent="0.25">
      <c r="A594" s="200" t="s">
        <v>1373</v>
      </c>
      <c r="B594" s="147" t="s">
        <v>414</v>
      </c>
      <c r="C594" s="194"/>
      <c r="D594" s="414" t="s">
        <v>416</v>
      </c>
      <c r="E594" s="337" t="s">
        <v>417</v>
      </c>
      <c r="F594" s="337" t="s">
        <v>418</v>
      </c>
      <c r="G594" s="337" t="s">
        <v>1344</v>
      </c>
      <c r="H594" s="148" t="s">
        <v>238</v>
      </c>
      <c r="I594" s="149">
        <v>1</v>
      </c>
      <c r="J594" s="150" t="s">
        <v>784</v>
      </c>
      <c r="K594" s="130" t="s">
        <v>682</v>
      </c>
      <c r="L594" s="152">
        <v>1</v>
      </c>
      <c r="M594" s="153">
        <f t="shared" si="120"/>
        <v>1</v>
      </c>
      <c r="N594" s="133" t="s">
        <v>291</v>
      </c>
      <c r="O594" s="155" t="s">
        <v>242</v>
      </c>
      <c r="P594" s="152">
        <v>5</v>
      </c>
      <c r="Q594" s="156">
        <f t="shared" si="121"/>
        <v>5</v>
      </c>
      <c r="R594" s="428"/>
      <c r="S594" s="428"/>
      <c r="T594" s="133"/>
      <c r="U594" s="405"/>
      <c r="V594" s="135"/>
      <c r="W594" s="133"/>
      <c r="X594" s="405"/>
      <c r="Y594" s="405"/>
      <c r="Z594" s="135"/>
      <c r="AA594" s="136">
        <f t="shared" ref="AA594" si="128">X594*Y594*Z594</f>
        <v>0</v>
      </c>
      <c r="AB594" s="111"/>
      <c r="AC594" s="366"/>
      <c r="AD594" s="226">
        <f t="shared" si="123"/>
        <v>6916</v>
      </c>
      <c r="AE594" s="350"/>
    </row>
    <row r="595" spans="1:31" s="144" customFormat="1" ht="230.25" outlineLevel="3" thickBot="1" x14ac:dyDescent="0.25">
      <c r="A595" s="200" t="s">
        <v>1374</v>
      </c>
      <c r="B595" s="147"/>
      <c r="C595" s="194"/>
      <c r="D595" s="414"/>
      <c r="E595" s="337" t="s">
        <v>393</v>
      </c>
      <c r="F595" s="337" t="s">
        <v>1226</v>
      </c>
      <c r="G595" s="337" t="s">
        <v>1344</v>
      </c>
      <c r="H595" s="148" t="s">
        <v>238</v>
      </c>
      <c r="I595" s="149">
        <v>1</v>
      </c>
      <c r="J595" s="150" t="s">
        <v>784</v>
      </c>
      <c r="K595" s="130" t="s">
        <v>682</v>
      </c>
      <c r="L595" s="152">
        <v>1</v>
      </c>
      <c r="M595" s="153">
        <f t="shared" si="120"/>
        <v>1</v>
      </c>
      <c r="N595" s="133" t="s">
        <v>291</v>
      </c>
      <c r="O595" s="155" t="s">
        <v>242</v>
      </c>
      <c r="P595" s="152">
        <v>5</v>
      </c>
      <c r="Q595" s="156">
        <f t="shared" si="121"/>
        <v>5</v>
      </c>
      <c r="R595" s="428"/>
      <c r="S595" s="428"/>
      <c r="T595" s="133"/>
      <c r="U595" s="405"/>
      <c r="V595" s="135"/>
      <c r="W595" s="133"/>
      <c r="X595" s="405"/>
      <c r="Y595" s="405"/>
      <c r="Z595" s="135"/>
      <c r="AA595" s="136"/>
      <c r="AB595" s="111"/>
      <c r="AC595" s="366"/>
      <c r="AD595" s="226">
        <f t="shared" si="123"/>
        <v>6917</v>
      </c>
      <c r="AE595" s="350"/>
    </row>
    <row r="596" spans="1:31" s="144" customFormat="1" ht="153.75" outlineLevel="3" thickBot="1" x14ac:dyDescent="0.25">
      <c r="A596" s="200" t="s">
        <v>1375</v>
      </c>
      <c r="B596" s="147" t="s">
        <v>422</v>
      </c>
      <c r="C596" s="194"/>
      <c r="D596" s="414" t="s">
        <v>1376</v>
      </c>
      <c r="E596" s="337" t="s">
        <v>425</v>
      </c>
      <c r="F596" s="337" t="s">
        <v>418</v>
      </c>
      <c r="G596" s="337" t="s">
        <v>1344</v>
      </c>
      <c r="H596" s="148" t="s">
        <v>238</v>
      </c>
      <c r="I596" s="149">
        <v>1</v>
      </c>
      <c r="J596" s="150" t="s">
        <v>784</v>
      </c>
      <c r="K596" s="130" t="s">
        <v>682</v>
      </c>
      <c r="L596" s="152">
        <v>1</v>
      </c>
      <c r="M596" s="153">
        <f t="shared" si="120"/>
        <v>1</v>
      </c>
      <c r="N596" s="133" t="s">
        <v>291</v>
      </c>
      <c r="O596" s="155" t="s">
        <v>242</v>
      </c>
      <c r="P596" s="152">
        <v>5</v>
      </c>
      <c r="Q596" s="156">
        <f t="shared" si="121"/>
        <v>5</v>
      </c>
      <c r="R596" s="428"/>
      <c r="S596" s="428"/>
      <c r="T596" s="133"/>
      <c r="U596" s="405"/>
      <c r="V596" s="135"/>
      <c r="W596" s="133"/>
      <c r="X596" s="405"/>
      <c r="Y596" s="405"/>
      <c r="Z596" s="135"/>
      <c r="AA596" s="136">
        <f t="shared" ref="AA596" si="129">X596*Y596*Z596</f>
        <v>0</v>
      </c>
      <c r="AB596" s="111"/>
      <c r="AC596" s="366"/>
      <c r="AD596" s="226">
        <f t="shared" si="123"/>
        <v>6918</v>
      </c>
      <c r="AE596" s="350"/>
    </row>
    <row r="597" spans="1:31" s="144" customFormat="1" ht="217.5" outlineLevel="3" thickBot="1" x14ac:dyDescent="0.25">
      <c r="A597" s="200" t="s">
        <v>1377</v>
      </c>
      <c r="B597" s="147"/>
      <c r="C597" s="194"/>
      <c r="D597" s="414"/>
      <c r="E597" s="337" t="s">
        <v>340</v>
      </c>
      <c r="F597" s="337" t="s">
        <v>1378</v>
      </c>
      <c r="G597" s="337" t="s">
        <v>1344</v>
      </c>
      <c r="H597" s="148" t="s">
        <v>238</v>
      </c>
      <c r="I597" s="149">
        <v>1</v>
      </c>
      <c r="J597" s="150" t="s">
        <v>784</v>
      </c>
      <c r="K597" s="130" t="s">
        <v>682</v>
      </c>
      <c r="L597" s="152">
        <v>1</v>
      </c>
      <c r="M597" s="153">
        <f t="shared" si="120"/>
        <v>1</v>
      </c>
      <c r="N597" s="133" t="s">
        <v>291</v>
      </c>
      <c r="O597" s="155" t="s">
        <v>242</v>
      </c>
      <c r="P597" s="152">
        <v>5</v>
      </c>
      <c r="Q597" s="156">
        <f t="shared" si="121"/>
        <v>5</v>
      </c>
      <c r="R597" s="428"/>
      <c r="S597" s="428"/>
      <c r="T597" s="133"/>
      <c r="U597" s="405"/>
      <c r="V597" s="135"/>
      <c r="W597" s="133"/>
      <c r="X597" s="405"/>
      <c r="Y597" s="405"/>
      <c r="Z597" s="135"/>
      <c r="AA597" s="136"/>
      <c r="AB597" s="111"/>
      <c r="AC597" s="366"/>
      <c r="AD597" s="226">
        <f t="shared" si="123"/>
        <v>6919</v>
      </c>
      <c r="AE597" s="350"/>
    </row>
    <row r="598" spans="1:31" s="144" customFormat="1" ht="153.75" outlineLevel="3" thickBot="1" x14ac:dyDescent="0.25">
      <c r="A598" s="200" t="s">
        <v>1379</v>
      </c>
      <c r="B598" s="147" t="s">
        <v>456</v>
      </c>
      <c r="C598" s="194"/>
      <c r="D598" s="414" t="s">
        <v>458</v>
      </c>
      <c r="E598" s="337" t="s">
        <v>459</v>
      </c>
      <c r="F598" s="337" t="s">
        <v>418</v>
      </c>
      <c r="G598" s="337" t="s">
        <v>1344</v>
      </c>
      <c r="H598" s="148" t="s">
        <v>238</v>
      </c>
      <c r="I598" s="149">
        <v>1</v>
      </c>
      <c r="J598" s="150" t="s">
        <v>784</v>
      </c>
      <c r="K598" s="130" t="s">
        <v>682</v>
      </c>
      <c r="L598" s="152">
        <v>1</v>
      </c>
      <c r="M598" s="153">
        <f t="shared" si="120"/>
        <v>1</v>
      </c>
      <c r="N598" s="133" t="s">
        <v>291</v>
      </c>
      <c r="O598" s="155" t="s">
        <v>242</v>
      </c>
      <c r="P598" s="152">
        <v>5</v>
      </c>
      <c r="Q598" s="156">
        <f t="shared" si="121"/>
        <v>5</v>
      </c>
      <c r="R598" s="428"/>
      <c r="S598" s="428"/>
      <c r="T598" s="133"/>
      <c r="U598" s="405"/>
      <c r="V598" s="135"/>
      <c r="W598" s="133"/>
      <c r="X598" s="405"/>
      <c r="Y598" s="405"/>
      <c r="Z598" s="135"/>
      <c r="AA598" s="136"/>
      <c r="AB598" s="111"/>
      <c r="AC598" s="366"/>
      <c r="AD598" s="226">
        <f t="shared" si="123"/>
        <v>6920</v>
      </c>
      <c r="AE598" s="350"/>
    </row>
    <row r="599" spans="1:31" s="144" customFormat="1" ht="217.5" outlineLevel="3" thickBot="1" x14ac:dyDescent="0.25">
      <c r="A599" s="200" t="s">
        <v>1380</v>
      </c>
      <c r="B599" s="147"/>
      <c r="C599" s="194"/>
      <c r="D599" s="414"/>
      <c r="E599" s="337" t="s">
        <v>330</v>
      </c>
      <c r="F599" s="337" t="s">
        <v>461</v>
      </c>
      <c r="G599" s="337" t="s">
        <v>1344</v>
      </c>
      <c r="H599" s="148" t="s">
        <v>238</v>
      </c>
      <c r="I599" s="149">
        <v>1</v>
      </c>
      <c r="J599" s="150" t="s">
        <v>784</v>
      </c>
      <c r="K599" s="130" t="s">
        <v>682</v>
      </c>
      <c r="L599" s="152">
        <v>1</v>
      </c>
      <c r="M599" s="153">
        <f t="shared" si="120"/>
        <v>1</v>
      </c>
      <c r="N599" s="133" t="s">
        <v>291</v>
      </c>
      <c r="O599" s="155" t="s">
        <v>242</v>
      </c>
      <c r="P599" s="152">
        <v>5</v>
      </c>
      <c r="Q599" s="156">
        <f t="shared" si="121"/>
        <v>5</v>
      </c>
      <c r="R599" s="428"/>
      <c r="S599" s="428"/>
      <c r="T599" s="133"/>
      <c r="U599" s="405"/>
      <c r="V599" s="135"/>
      <c r="W599" s="133"/>
      <c r="X599" s="405"/>
      <c r="Y599" s="405"/>
      <c r="Z599" s="135"/>
      <c r="AA599" s="136"/>
      <c r="AB599" s="111"/>
      <c r="AC599" s="366"/>
      <c r="AD599" s="226">
        <f t="shared" si="123"/>
        <v>6921</v>
      </c>
      <c r="AE599" s="350"/>
    </row>
    <row r="600" spans="1:31" s="144" customFormat="1" ht="115.5" outlineLevel="3" thickBot="1" x14ac:dyDescent="0.25">
      <c r="A600" s="200" t="s">
        <v>1381</v>
      </c>
      <c r="B600" s="147" t="s">
        <v>463</v>
      </c>
      <c r="C600" s="194"/>
      <c r="D600" s="414" t="s">
        <v>1382</v>
      </c>
      <c r="E600" s="337" t="s">
        <v>425</v>
      </c>
      <c r="F600" s="337" t="s">
        <v>337</v>
      </c>
      <c r="G600" s="337" t="s">
        <v>1338</v>
      </c>
      <c r="H600" s="148" t="s">
        <v>238</v>
      </c>
      <c r="I600" s="149">
        <v>2</v>
      </c>
      <c r="J600" s="150" t="s">
        <v>675</v>
      </c>
      <c r="K600" s="130" t="s">
        <v>682</v>
      </c>
      <c r="L600" s="152">
        <v>1</v>
      </c>
      <c r="M600" s="153">
        <f t="shared" si="120"/>
        <v>2</v>
      </c>
      <c r="N600" s="133" t="s">
        <v>291</v>
      </c>
      <c r="O600" s="155" t="s">
        <v>242</v>
      </c>
      <c r="P600" s="152">
        <v>5</v>
      </c>
      <c r="Q600" s="156">
        <f t="shared" si="121"/>
        <v>10</v>
      </c>
      <c r="R600" s="428"/>
      <c r="S600" s="428"/>
      <c r="T600" s="133"/>
      <c r="U600" s="405"/>
      <c r="V600" s="135"/>
      <c r="W600" s="133"/>
      <c r="X600" s="405"/>
      <c r="Y600" s="405"/>
      <c r="Z600" s="135"/>
      <c r="AA600" s="136">
        <f t="shared" ref="AA600" si="130">X600*Y600*Z600</f>
        <v>0</v>
      </c>
      <c r="AB600" s="111"/>
      <c r="AC600" s="366"/>
      <c r="AD600" s="226">
        <f t="shared" si="123"/>
        <v>6922</v>
      </c>
      <c r="AE600" s="350"/>
    </row>
    <row r="601" spans="1:31" s="144" customFormat="1" ht="153.75" outlineLevel="3" thickBot="1" x14ac:dyDescent="0.25">
      <c r="A601" s="200" t="s">
        <v>1383</v>
      </c>
      <c r="B601" s="147"/>
      <c r="C601" s="194"/>
      <c r="D601" s="414"/>
      <c r="E601" s="337" t="s">
        <v>340</v>
      </c>
      <c r="F601" s="337" t="s">
        <v>418</v>
      </c>
      <c r="G601" s="337" t="s">
        <v>1344</v>
      </c>
      <c r="H601" s="148" t="s">
        <v>238</v>
      </c>
      <c r="I601" s="149">
        <v>1</v>
      </c>
      <c r="J601" s="150" t="s">
        <v>784</v>
      </c>
      <c r="K601" s="130" t="s">
        <v>682</v>
      </c>
      <c r="L601" s="152">
        <v>1</v>
      </c>
      <c r="M601" s="153">
        <f t="shared" si="120"/>
        <v>1</v>
      </c>
      <c r="N601" s="133" t="s">
        <v>291</v>
      </c>
      <c r="O601" s="155" t="s">
        <v>242</v>
      </c>
      <c r="P601" s="152">
        <v>5</v>
      </c>
      <c r="Q601" s="156">
        <f t="shared" si="121"/>
        <v>5</v>
      </c>
      <c r="R601" s="428"/>
      <c r="S601" s="428"/>
      <c r="T601" s="133"/>
      <c r="U601" s="405"/>
      <c r="V601" s="135"/>
      <c r="W601" s="133"/>
      <c r="X601" s="405"/>
      <c r="Y601" s="405"/>
      <c r="Z601" s="135"/>
      <c r="AA601" s="136"/>
      <c r="AB601" s="111"/>
      <c r="AC601" s="366"/>
      <c r="AD601" s="226">
        <f t="shared" si="123"/>
        <v>6923</v>
      </c>
      <c r="AE601" s="350"/>
    </row>
    <row r="602" spans="1:31" s="144" customFormat="1" ht="21" outlineLevel="2" thickBot="1" x14ac:dyDescent="0.25">
      <c r="A602" s="200"/>
      <c r="B602" s="145" t="s">
        <v>469</v>
      </c>
      <c r="C602" s="193"/>
      <c r="D602" s="146"/>
      <c r="E602" s="146"/>
      <c r="F602" s="146"/>
      <c r="G602" s="146"/>
      <c r="H602" s="146"/>
      <c r="I602" s="146"/>
      <c r="J602" s="146"/>
      <c r="K602" s="146"/>
      <c r="L602" s="146"/>
      <c r="M602" s="146"/>
      <c r="N602" s="118"/>
      <c r="O602" s="146"/>
      <c r="P602" s="146"/>
      <c r="Q602" s="146"/>
      <c r="R602" s="118"/>
      <c r="S602" s="118"/>
      <c r="T602" s="118"/>
      <c r="U602" s="118"/>
      <c r="V602" s="118"/>
      <c r="W602" s="118"/>
      <c r="X602" s="118"/>
      <c r="Y602" s="118"/>
      <c r="Z602" s="118"/>
      <c r="AA602" s="118"/>
      <c r="AB602" s="119"/>
      <c r="AC602" s="366"/>
      <c r="AD602" s="226">
        <f t="shared" si="123"/>
        <v>0</v>
      </c>
      <c r="AE602" s="350"/>
    </row>
    <row r="603" spans="1:31" s="144" customFormat="1" ht="115.5" outlineLevel="3" thickBot="1" x14ac:dyDescent="0.25">
      <c r="A603" s="200" t="s">
        <v>1384</v>
      </c>
      <c r="B603" s="147" t="s">
        <v>471</v>
      </c>
      <c r="C603" s="194"/>
      <c r="D603" s="414" t="s">
        <v>473</v>
      </c>
      <c r="E603" s="337" t="s">
        <v>474</v>
      </c>
      <c r="F603" s="337" t="s">
        <v>1243</v>
      </c>
      <c r="G603" s="337" t="s">
        <v>1344</v>
      </c>
      <c r="H603" s="148" t="s">
        <v>238</v>
      </c>
      <c r="I603" s="149">
        <v>1</v>
      </c>
      <c r="J603" s="150" t="s">
        <v>784</v>
      </c>
      <c r="K603" s="130" t="s">
        <v>682</v>
      </c>
      <c r="L603" s="152">
        <v>1</v>
      </c>
      <c r="M603" s="153">
        <f t="shared" ref="M603:M625" si="131">I603*L603</f>
        <v>1</v>
      </c>
      <c r="N603" s="133" t="s">
        <v>291</v>
      </c>
      <c r="O603" s="155" t="s">
        <v>242</v>
      </c>
      <c r="P603" s="152">
        <v>5</v>
      </c>
      <c r="Q603" s="156">
        <f t="shared" ref="Q603:Q619" si="132">I603*L603*P603</f>
        <v>5</v>
      </c>
      <c r="R603" s="428"/>
      <c r="S603" s="428"/>
      <c r="T603" s="133"/>
      <c r="U603" s="405"/>
      <c r="V603" s="135"/>
      <c r="W603" s="133"/>
      <c r="X603" s="405"/>
      <c r="Y603" s="405"/>
      <c r="Z603" s="135"/>
      <c r="AA603" s="136"/>
      <c r="AB603" s="111"/>
      <c r="AC603" s="366"/>
      <c r="AD603" s="226">
        <f t="shared" si="123"/>
        <v>6924</v>
      </c>
      <c r="AE603" s="350"/>
    </row>
    <row r="604" spans="1:31" s="144" customFormat="1" ht="128.25" outlineLevel="3" thickBot="1" x14ac:dyDescent="0.25">
      <c r="A604" s="200" t="s">
        <v>1385</v>
      </c>
      <c r="B604" s="147"/>
      <c r="C604" s="194"/>
      <c r="D604" s="414"/>
      <c r="E604" s="337" t="s">
        <v>478</v>
      </c>
      <c r="F604" s="337" t="s">
        <v>1063</v>
      </c>
      <c r="G604" s="337" t="s">
        <v>1344</v>
      </c>
      <c r="H604" s="148" t="s">
        <v>238</v>
      </c>
      <c r="I604" s="149">
        <v>1</v>
      </c>
      <c r="J604" s="150" t="s">
        <v>784</v>
      </c>
      <c r="K604" s="130" t="s">
        <v>682</v>
      </c>
      <c r="L604" s="152">
        <v>1</v>
      </c>
      <c r="M604" s="153">
        <f t="shared" si="131"/>
        <v>1</v>
      </c>
      <c r="N604" s="133" t="s">
        <v>291</v>
      </c>
      <c r="O604" s="155" t="s">
        <v>242</v>
      </c>
      <c r="P604" s="152">
        <v>5</v>
      </c>
      <c r="Q604" s="156">
        <f t="shared" si="132"/>
        <v>5</v>
      </c>
      <c r="R604" s="428"/>
      <c r="S604" s="428"/>
      <c r="T604" s="133"/>
      <c r="U604" s="405"/>
      <c r="V604" s="135"/>
      <c r="W604" s="133"/>
      <c r="X604" s="405"/>
      <c r="Y604" s="405"/>
      <c r="Z604" s="135"/>
      <c r="AA604" s="136"/>
      <c r="AB604" s="111"/>
      <c r="AC604" s="358"/>
      <c r="AD604" s="226">
        <f t="shared" si="123"/>
        <v>6925</v>
      </c>
      <c r="AE604" s="358"/>
    </row>
    <row r="605" spans="1:31" s="144" customFormat="1" ht="128.25" outlineLevel="3" thickBot="1" x14ac:dyDescent="0.25">
      <c r="A605" s="200" t="s">
        <v>1386</v>
      </c>
      <c r="B605" s="147"/>
      <c r="C605" s="194"/>
      <c r="D605" s="414"/>
      <c r="E605" s="337" t="s">
        <v>852</v>
      </c>
      <c r="F605" s="337" t="s">
        <v>482</v>
      </c>
      <c r="G605" s="337" t="s">
        <v>1338</v>
      </c>
      <c r="H605" s="148" t="s">
        <v>238</v>
      </c>
      <c r="I605" s="149">
        <v>1</v>
      </c>
      <c r="J605" s="150" t="s">
        <v>675</v>
      </c>
      <c r="K605" s="151" t="s">
        <v>338</v>
      </c>
      <c r="L605" s="152">
        <v>2</v>
      </c>
      <c r="M605" s="153">
        <f t="shared" si="131"/>
        <v>2</v>
      </c>
      <c r="N605" s="133" t="s">
        <v>291</v>
      </c>
      <c r="O605" s="155" t="s">
        <v>242</v>
      </c>
      <c r="P605" s="152">
        <v>5</v>
      </c>
      <c r="Q605" s="156">
        <f t="shared" si="132"/>
        <v>10</v>
      </c>
      <c r="R605" s="428"/>
      <c r="S605" s="428"/>
      <c r="T605" s="133"/>
      <c r="U605" s="405"/>
      <c r="V605" s="135"/>
      <c r="W605" s="133"/>
      <c r="X605" s="405"/>
      <c r="Y605" s="405"/>
      <c r="Z605" s="135"/>
      <c r="AA605" s="136">
        <f>X605*Y605*Z605</f>
        <v>0</v>
      </c>
      <c r="AB605" s="111"/>
      <c r="AC605" s="366"/>
      <c r="AD605" s="226">
        <f t="shared" si="123"/>
        <v>6926</v>
      </c>
      <c r="AE605" s="350"/>
    </row>
    <row r="606" spans="1:31" s="144" customFormat="1" ht="128.25" outlineLevel="3" thickBot="1" x14ac:dyDescent="0.25">
      <c r="A606" s="200" t="s">
        <v>1387</v>
      </c>
      <c r="B606" s="147" t="s">
        <v>485</v>
      </c>
      <c r="C606" s="194"/>
      <c r="D606" s="414" t="s">
        <v>487</v>
      </c>
      <c r="E606" s="337" t="s">
        <v>300</v>
      </c>
      <c r="F606" s="337" t="s">
        <v>1388</v>
      </c>
      <c r="G606" s="337" t="s">
        <v>1338</v>
      </c>
      <c r="H606" s="148" t="s">
        <v>238</v>
      </c>
      <c r="I606" s="149">
        <v>1</v>
      </c>
      <c r="J606" s="150" t="s">
        <v>675</v>
      </c>
      <c r="K606" s="151" t="s">
        <v>338</v>
      </c>
      <c r="L606" s="152">
        <v>1</v>
      </c>
      <c r="M606" s="153">
        <f t="shared" si="131"/>
        <v>1</v>
      </c>
      <c r="N606" s="133" t="s">
        <v>291</v>
      </c>
      <c r="O606" s="155" t="s">
        <v>242</v>
      </c>
      <c r="P606" s="152">
        <v>5</v>
      </c>
      <c r="Q606" s="156">
        <f t="shared" si="132"/>
        <v>5</v>
      </c>
      <c r="R606" s="428"/>
      <c r="S606" s="428"/>
      <c r="T606" s="133"/>
      <c r="U606" s="405"/>
      <c r="V606" s="135"/>
      <c r="W606" s="133"/>
      <c r="X606" s="405"/>
      <c r="Y606" s="405"/>
      <c r="Z606" s="135"/>
      <c r="AA606" s="136"/>
      <c r="AB606" s="111"/>
      <c r="AC606" s="366"/>
      <c r="AD606" s="226">
        <f t="shared" si="123"/>
        <v>6927</v>
      </c>
      <c r="AE606" s="350"/>
    </row>
    <row r="607" spans="1:31" s="144" customFormat="1" ht="115.5" outlineLevel="3" thickBot="1" x14ac:dyDescent="0.25">
      <c r="A607" s="200" t="s">
        <v>1389</v>
      </c>
      <c r="B607" s="147"/>
      <c r="C607" s="194"/>
      <c r="D607" s="414"/>
      <c r="E607" s="337" t="s">
        <v>393</v>
      </c>
      <c r="F607" s="337" t="s">
        <v>1067</v>
      </c>
      <c r="G607" s="337" t="s">
        <v>1344</v>
      </c>
      <c r="H607" s="148" t="s">
        <v>238</v>
      </c>
      <c r="I607" s="149">
        <v>1</v>
      </c>
      <c r="J607" s="150" t="s">
        <v>784</v>
      </c>
      <c r="K607" s="130" t="s">
        <v>682</v>
      </c>
      <c r="L607" s="152">
        <v>1</v>
      </c>
      <c r="M607" s="153">
        <f t="shared" si="131"/>
        <v>1</v>
      </c>
      <c r="N607" s="133" t="s">
        <v>291</v>
      </c>
      <c r="O607" s="155" t="s">
        <v>242</v>
      </c>
      <c r="P607" s="152">
        <v>5</v>
      </c>
      <c r="Q607" s="156">
        <f t="shared" si="132"/>
        <v>5</v>
      </c>
      <c r="R607" s="428"/>
      <c r="S607" s="428"/>
      <c r="T607" s="133"/>
      <c r="U607" s="405"/>
      <c r="V607" s="135"/>
      <c r="W607" s="133"/>
      <c r="X607" s="405"/>
      <c r="Y607" s="405"/>
      <c r="Z607" s="135"/>
      <c r="AA607" s="136"/>
      <c r="AB607" s="111"/>
      <c r="AC607" s="366"/>
      <c r="AD607" s="226">
        <f t="shared" si="123"/>
        <v>6928</v>
      </c>
      <c r="AE607" s="350"/>
    </row>
    <row r="608" spans="1:31" s="144" customFormat="1" ht="128.25" outlineLevel="3" thickBot="1" x14ac:dyDescent="0.25">
      <c r="A608" s="200" t="s">
        <v>1390</v>
      </c>
      <c r="B608" s="147" t="s">
        <v>492</v>
      </c>
      <c r="C608" s="194"/>
      <c r="D608" s="414" t="s">
        <v>487</v>
      </c>
      <c r="E608" s="337" t="s">
        <v>300</v>
      </c>
      <c r="F608" s="337" t="s">
        <v>1388</v>
      </c>
      <c r="G608" s="337" t="s">
        <v>1338</v>
      </c>
      <c r="H608" s="148" t="s">
        <v>238</v>
      </c>
      <c r="I608" s="149">
        <v>1</v>
      </c>
      <c r="J608" s="150" t="s">
        <v>675</v>
      </c>
      <c r="K608" s="151" t="s">
        <v>338</v>
      </c>
      <c r="L608" s="152">
        <v>1</v>
      </c>
      <c r="M608" s="153">
        <f t="shared" si="131"/>
        <v>1</v>
      </c>
      <c r="N608" s="133" t="s">
        <v>291</v>
      </c>
      <c r="O608" s="155" t="s">
        <v>242</v>
      </c>
      <c r="P608" s="152">
        <v>5</v>
      </c>
      <c r="Q608" s="156">
        <f t="shared" si="132"/>
        <v>5</v>
      </c>
      <c r="R608" s="428"/>
      <c r="S608" s="428"/>
      <c r="T608" s="133"/>
      <c r="U608" s="405"/>
      <c r="V608" s="135"/>
      <c r="W608" s="133"/>
      <c r="X608" s="405"/>
      <c r="Y608" s="405"/>
      <c r="Z608" s="135"/>
      <c r="AA608" s="136">
        <f t="shared" ref="AA608" si="133">X608*Y608*Z608</f>
        <v>0</v>
      </c>
      <c r="AB608" s="111"/>
      <c r="AC608" s="366"/>
      <c r="AD608" s="226">
        <f t="shared" si="123"/>
        <v>6929</v>
      </c>
      <c r="AE608" s="350"/>
    </row>
    <row r="609" spans="1:31" s="144" customFormat="1" ht="115.5" outlineLevel="3" thickBot="1" x14ac:dyDescent="0.25">
      <c r="A609" s="200" t="s">
        <v>1391</v>
      </c>
      <c r="B609" s="147"/>
      <c r="C609" s="194"/>
      <c r="D609" s="414"/>
      <c r="E609" s="337" t="s">
        <v>393</v>
      </c>
      <c r="F609" s="337" t="s">
        <v>1392</v>
      </c>
      <c r="G609" s="337" t="s">
        <v>1344</v>
      </c>
      <c r="H609" s="148" t="s">
        <v>238</v>
      </c>
      <c r="I609" s="149">
        <v>1</v>
      </c>
      <c r="J609" s="150" t="s">
        <v>784</v>
      </c>
      <c r="K609" s="130" t="s">
        <v>682</v>
      </c>
      <c r="L609" s="152">
        <v>1</v>
      </c>
      <c r="M609" s="153">
        <f t="shared" si="131"/>
        <v>1</v>
      </c>
      <c r="N609" s="133" t="s">
        <v>291</v>
      </c>
      <c r="O609" s="155" t="s">
        <v>242</v>
      </c>
      <c r="P609" s="152">
        <v>5</v>
      </c>
      <c r="Q609" s="156">
        <f t="shared" si="132"/>
        <v>5</v>
      </c>
      <c r="R609" s="428"/>
      <c r="S609" s="428"/>
      <c r="T609" s="133"/>
      <c r="U609" s="405"/>
      <c r="V609" s="135"/>
      <c r="W609" s="133"/>
      <c r="X609" s="405"/>
      <c r="Y609" s="405"/>
      <c r="Z609" s="135"/>
      <c r="AA609" s="136"/>
      <c r="AB609" s="111"/>
      <c r="AC609" s="366"/>
      <c r="AD609" s="226">
        <f t="shared" si="123"/>
        <v>6930</v>
      </c>
      <c r="AE609" s="350"/>
    </row>
    <row r="610" spans="1:31" s="144" customFormat="1" ht="217.5" outlineLevel="3" thickBot="1" x14ac:dyDescent="0.25">
      <c r="A610" s="200" t="s">
        <v>1393</v>
      </c>
      <c r="B610" s="147" t="s">
        <v>498</v>
      </c>
      <c r="C610" s="194"/>
      <c r="D610" s="414" t="s">
        <v>500</v>
      </c>
      <c r="E610" s="337" t="s">
        <v>300</v>
      </c>
      <c r="F610" s="337" t="s">
        <v>1071</v>
      </c>
      <c r="G610" s="337" t="s">
        <v>1344</v>
      </c>
      <c r="H610" s="148" t="s">
        <v>238</v>
      </c>
      <c r="I610" s="149">
        <v>1</v>
      </c>
      <c r="J610" s="150" t="s">
        <v>784</v>
      </c>
      <c r="K610" s="130" t="s">
        <v>682</v>
      </c>
      <c r="L610" s="152">
        <v>1</v>
      </c>
      <c r="M610" s="153">
        <f t="shared" si="131"/>
        <v>1</v>
      </c>
      <c r="N610" s="133" t="s">
        <v>291</v>
      </c>
      <c r="O610" s="155" t="s">
        <v>242</v>
      </c>
      <c r="P610" s="152">
        <v>5</v>
      </c>
      <c r="Q610" s="156">
        <f t="shared" si="132"/>
        <v>5</v>
      </c>
      <c r="R610" s="428"/>
      <c r="S610" s="428"/>
      <c r="T610" s="133"/>
      <c r="U610" s="405"/>
      <c r="V610" s="135"/>
      <c r="W610" s="133"/>
      <c r="X610" s="405"/>
      <c r="Y610" s="405"/>
      <c r="Z610" s="135"/>
      <c r="AA610" s="136">
        <f t="shared" ref="AA610" si="134">X610*Y610*Z610</f>
        <v>0</v>
      </c>
      <c r="AB610" s="111"/>
      <c r="AC610" s="366"/>
      <c r="AD610" s="226">
        <f t="shared" si="123"/>
        <v>6931</v>
      </c>
      <c r="AE610" s="350"/>
    </row>
    <row r="611" spans="1:31" s="144" customFormat="1" ht="217.5" outlineLevel="3" thickBot="1" x14ac:dyDescent="0.25">
      <c r="A611" s="200" t="s">
        <v>1394</v>
      </c>
      <c r="B611" s="147"/>
      <c r="C611" s="194"/>
      <c r="D611" s="414"/>
      <c r="E611" s="337" t="s">
        <v>393</v>
      </c>
      <c r="F611" s="337" t="s">
        <v>1071</v>
      </c>
      <c r="G611" s="337" t="s">
        <v>1344</v>
      </c>
      <c r="H611" s="148" t="s">
        <v>238</v>
      </c>
      <c r="I611" s="149">
        <v>1</v>
      </c>
      <c r="J611" s="150" t="s">
        <v>784</v>
      </c>
      <c r="K611" s="130" t="s">
        <v>682</v>
      </c>
      <c r="L611" s="152">
        <v>1</v>
      </c>
      <c r="M611" s="153">
        <f t="shared" si="131"/>
        <v>1</v>
      </c>
      <c r="N611" s="133" t="s">
        <v>291</v>
      </c>
      <c r="O611" s="155" t="s">
        <v>242</v>
      </c>
      <c r="P611" s="152">
        <v>5</v>
      </c>
      <c r="Q611" s="156">
        <f t="shared" si="132"/>
        <v>5</v>
      </c>
      <c r="R611" s="428"/>
      <c r="S611" s="428"/>
      <c r="T611" s="133"/>
      <c r="U611" s="405"/>
      <c r="V611" s="135"/>
      <c r="W611" s="133"/>
      <c r="X611" s="405"/>
      <c r="Y611" s="405"/>
      <c r="Z611" s="135"/>
      <c r="AA611" s="136"/>
      <c r="AB611" s="111"/>
      <c r="AC611" s="366"/>
      <c r="AD611" s="226">
        <f t="shared" si="123"/>
        <v>6932</v>
      </c>
      <c r="AE611" s="350"/>
    </row>
    <row r="612" spans="1:31" s="144" customFormat="1" ht="230.25" outlineLevel="3" thickBot="1" x14ac:dyDescent="0.25">
      <c r="A612" s="200" t="s">
        <v>1395</v>
      </c>
      <c r="B612" s="147" t="s">
        <v>506</v>
      </c>
      <c r="C612" s="194"/>
      <c r="D612" s="414" t="s">
        <v>508</v>
      </c>
      <c r="E612" s="337" t="s">
        <v>300</v>
      </c>
      <c r="F612" s="337" t="s">
        <v>1253</v>
      </c>
      <c r="G612" s="337" t="s">
        <v>1344</v>
      </c>
      <c r="H612" s="148" t="s">
        <v>238</v>
      </c>
      <c r="I612" s="149">
        <v>1</v>
      </c>
      <c r="J612" s="150" t="s">
        <v>784</v>
      </c>
      <c r="K612" s="130" t="s">
        <v>682</v>
      </c>
      <c r="L612" s="152">
        <v>1</v>
      </c>
      <c r="M612" s="153">
        <f t="shared" si="131"/>
        <v>1</v>
      </c>
      <c r="N612" s="133" t="s">
        <v>291</v>
      </c>
      <c r="O612" s="155" t="s">
        <v>242</v>
      </c>
      <c r="P612" s="152">
        <v>5</v>
      </c>
      <c r="Q612" s="156">
        <f t="shared" si="132"/>
        <v>5</v>
      </c>
      <c r="R612" s="428"/>
      <c r="S612" s="428"/>
      <c r="T612" s="133"/>
      <c r="U612" s="405"/>
      <c r="V612" s="135"/>
      <c r="W612" s="133"/>
      <c r="X612" s="405"/>
      <c r="Y612" s="405"/>
      <c r="Z612" s="135"/>
      <c r="AA612" s="136">
        <f t="shared" ref="AA612" si="135">X612*Y612*Z612</f>
        <v>0</v>
      </c>
      <c r="AB612" s="111"/>
      <c r="AC612" s="366"/>
      <c r="AD612" s="226">
        <f t="shared" si="123"/>
        <v>6933</v>
      </c>
      <c r="AE612" s="350"/>
    </row>
    <row r="613" spans="1:31" s="144" customFormat="1" ht="230.25" outlineLevel="3" thickBot="1" x14ac:dyDescent="0.25">
      <c r="A613" s="200" t="s">
        <v>1396</v>
      </c>
      <c r="B613" s="147"/>
      <c r="C613" s="194"/>
      <c r="D613" s="414"/>
      <c r="E613" s="337" t="s">
        <v>393</v>
      </c>
      <c r="F613" s="337" t="s">
        <v>1253</v>
      </c>
      <c r="G613" s="337" t="s">
        <v>1344</v>
      </c>
      <c r="H613" s="148" t="s">
        <v>238</v>
      </c>
      <c r="I613" s="149">
        <v>1</v>
      </c>
      <c r="J613" s="150" t="s">
        <v>784</v>
      </c>
      <c r="K613" s="130" t="s">
        <v>682</v>
      </c>
      <c r="L613" s="152">
        <v>1</v>
      </c>
      <c r="M613" s="153">
        <f t="shared" si="131"/>
        <v>1</v>
      </c>
      <c r="N613" s="133" t="s">
        <v>291</v>
      </c>
      <c r="O613" s="155" t="s">
        <v>242</v>
      </c>
      <c r="P613" s="152">
        <v>5</v>
      </c>
      <c r="Q613" s="156">
        <f t="shared" si="132"/>
        <v>5</v>
      </c>
      <c r="R613" s="428"/>
      <c r="S613" s="428"/>
      <c r="T613" s="133"/>
      <c r="U613" s="405"/>
      <c r="V613" s="135"/>
      <c r="W613" s="133"/>
      <c r="X613" s="405"/>
      <c r="Y613" s="405"/>
      <c r="Z613" s="135"/>
      <c r="AA613" s="136"/>
      <c r="AB613" s="111"/>
      <c r="AC613" s="366"/>
      <c r="AD613" s="226">
        <f t="shared" si="123"/>
        <v>6934</v>
      </c>
      <c r="AE613" s="350"/>
    </row>
    <row r="614" spans="1:31" s="144" customFormat="1" ht="128.25" outlineLevel="3" thickBot="1" x14ac:dyDescent="0.25">
      <c r="A614" s="200" t="s">
        <v>1397</v>
      </c>
      <c r="B614" s="147" t="s">
        <v>513</v>
      </c>
      <c r="C614" s="194"/>
      <c r="D614" s="414" t="s">
        <v>515</v>
      </c>
      <c r="E614" s="337" t="s">
        <v>300</v>
      </c>
      <c r="F614" s="337" t="s">
        <v>866</v>
      </c>
      <c r="G614" s="337" t="s">
        <v>1338</v>
      </c>
      <c r="H614" s="148" t="s">
        <v>238</v>
      </c>
      <c r="I614" s="149">
        <v>1</v>
      </c>
      <c r="J614" s="150" t="s">
        <v>675</v>
      </c>
      <c r="K614" s="151" t="s">
        <v>338</v>
      </c>
      <c r="L614" s="152">
        <v>1</v>
      </c>
      <c r="M614" s="153">
        <f t="shared" si="131"/>
        <v>1</v>
      </c>
      <c r="N614" s="133" t="s">
        <v>291</v>
      </c>
      <c r="O614" s="155" t="s">
        <v>242</v>
      </c>
      <c r="P614" s="152">
        <v>5</v>
      </c>
      <c r="Q614" s="156">
        <f t="shared" si="132"/>
        <v>5</v>
      </c>
      <c r="R614" s="428"/>
      <c r="S614" s="428"/>
      <c r="T614" s="133"/>
      <c r="U614" s="405"/>
      <c r="V614" s="135"/>
      <c r="W614" s="133"/>
      <c r="X614" s="405"/>
      <c r="Y614" s="405"/>
      <c r="Z614" s="135"/>
      <c r="AA614" s="136">
        <f t="shared" ref="AA614" si="136">X614*Y614*Z614</f>
        <v>0</v>
      </c>
      <c r="AB614" s="111"/>
      <c r="AC614" s="366"/>
      <c r="AD614" s="226">
        <f t="shared" si="123"/>
        <v>6935</v>
      </c>
      <c r="AE614" s="350"/>
    </row>
    <row r="615" spans="1:31" s="144" customFormat="1" ht="128.25" outlineLevel="3" thickBot="1" x14ac:dyDescent="0.25">
      <c r="A615" s="200" t="s">
        <v>1398</v>
      </c>
      <c r="B615" s="147"/>
      <c r="C615" s="194"/>
      <c r="D615" s="414"/>
      <c r="E615" s="337" t="s">
        <v>393</v>
      </c>
      <c r="F615" s="337" t="s">
        <v>866</v>
      </c>
      <c r="G615" s="337" t="s">
        <v>1338</v>
      </c>
      <c r="H615" s="148" t="s">
        <v>238</v>
      </c>
      <c r="I615" s="149">
        <v>1</v>
      </c>
      <c r="J615" s="150" t="s">
        <v>675</v>
      </c>
      <c r="K615" s="151" t="s">
        <v>338</v>
      </c>
      <c r="L615" s="152">
        <v>1</v>
      </c>
      <c r="M615" s="153">
        <f t="shared" si="131"/>
        <v>1</v>
      </c>
      <c r="N615" s="133" t="s">
        <v>291</v>
      </c>
      <c r="O615" s="155" t="s">
        <v>242</v>
      </c>
      <c r="P615" s="152">
        <v>5</v>
      </c>
      <c r="Q615" s="156">
        <f t="shared" si="132"/>
        <v>5</v>
      </c>
      <c r="R615" s="428"/>
      <c r="S615" s="428"/>
      <c r="T615" s="133"/>
      <c r="U615" s="405"/>
      <c r="V615" s="135"/>
      <c r="W615" s="133"/>
      <c r="X615" s="405"/>
      <c r="Y615" s="405"/>
      <c r="Z615" s="135"/>
      <c r="AA615" s="136"/>
      <c r="AB615" s="111"/>
      <c r="AC615" s="366"/>
      <c r="AD615" s="226">
        <f t="shared" si="123"/>
        <v>6936</v>
      </c>
      <c r="AE615" s="350"/>
    </row>
    <row r="616" spans="1:31" s="144" customFormat="1" ht="128.25" outlineLevel="3" thickBot="1" x14ac:dyDescent="0.25">
      <c r="A616" s="200" t="s">
        <v>1399</v>
      </c>
      <c r="B616" s="147" t="s">
        <v>520</v>
      </c>
      <c r="C616" s="194"/>
      <c r="D616" s="414" t="s">
        <v>522</v>
      </c>
      <c r="E616" s="337" t="s">
        <v>275</v>
      </c>
      <c r="F616" s="337" t="s">
        <v>1078</v>
      </c>
      <c r="G616" s="337" t="s">
        <v>1338</v>
      </c>
      <c r="H616" s="148" t="s">
        <v>238</v>
      </c>
      <c r="I616" s="149">
        <v>1</v>
      </c>
      <c r="J616" s="150" t="s">
        <v>675</v>
      </c>
      <c r="K616" s="151" t="s">
        <v>338</v>
      </c>
      <c r="L616" s="152">
        <v>1</v>
      </c>
      <c r="M616" s="153">
        <f t="shared" si="131"/>
        <v>1</v>
      </c>
      <c r="N616" s="133" t="s">
        <v>291</v>
      </c>
      <c r="O616" s="155" t="s">
        <v>242</v>
      </c>
      <c r="P616" s="152">
        <v>5</v>
      </c>
      <c r="Q616" s="156">
        <f t="shared" si="132"/>
        <v>5</v>
      </c>
      <c r="R616" s="428"/>
      <c r="S616" s="428"/>
      <c r="T616" s="133"/>
      <c r="U616" s="405"/>
      <c r="V616" s="135"/>
      <c r="W616" s="133"/>
      <c r="X616" s="405"/>
      <c r="Y616" s="405"/>
      <c r="Z616" s="135"/>
      <c r="AA616" s="136"/>
      <c r="AB616" s="111"/>
      <c r="AC616" s="366"/>
      <c r="AD616" s="226">
        <f t="shared" si="123"/>
        <v>6937</v>
      </c>
      <c r="AE616" s="350"/>
    </row>
    <row r="617" spans="1:31" s="144" customFormat="1" ht="128.25" outlineLevel="3" thickBot="1" x14ac:dyDescent="0.25">
      <c r="A617" s="200" t="s">
        <v>1400</v>
      </c>
      <c r="B617" s="147"/>
      <c r="C617" s="194"/>
      <c r="D617" s="414"/>
      <c r="E617" s="337" t="s">
        <v>279</v>
      </c>
      <c r="F617" s="337" t="s">
        <v>1078</v>
      </c>
      <c r="G617" s="337" t="s">
        <v>1338</v>
      </c>
      <c r="H617" s="148" t="s">
        <v>238</v>
      </c>
      <c r="I617" s="149">
        <v>1</v>
      </c>
      <c r="J617" s="150" t="s">
        <v>675</v>
      </c>
      <c r="K617" s="151" t="s">
        <v>338</v>
      </c>
      <c r="L617" s="152">
        <v>1</v>
      </c>
      <c r="M617" s="153">
        <f t="shared" si="131"/>
        <v>1</v>
      </c>
      <c r="N617" s="133" t="s">
        <v>291</v>
      </c>
      <c r="O617" s="155" t="s">
        <v>242</v>
      </c>
      <c r="P617" s="152">
        <v>5</v>
      </c>
      <c r="Q617" s="156">
        <f t="shared" si="132"/>
        <v>5</v>
      </c>
      <c r="R617" s="428"/>
      <c r="S617" s="428"/>
      <c r="T617" s="133"/>
      <c r="U617" s="405"/>
      <c r="V617" s="135"/>
      <c r="W617" s="133"/>
      <c r="X617" s="405"/>
      <c r="Y617" s="405"/>
      <c r="Z617" s="135"/>
      <c r="AA617" s="136"/>
      <c r="AB617" s="111"/>
      <c r="AC617" s="366"/>
      <c r="AD617" s="226">
        <f t="shared" si="123"/>
        <v>6938</v>
      </c>
      <c r="AE617" s="350"/>
    </row>
    <row r="618" spans="1:31" s="144" customFormat="1" ht="128.25" outlineLevel="3" thickBot="1" x14ac:dyDescent="0.25">
      <c r="A618" s="200" t="s">
        <v>1401</v>
      </c>
      <c r="B618" s="147" t="s">
        <v>527</v>
      </c>
      <c r="C618" s="194"/>
      <c r="D618" s="414" t="s">
        <v>529</v>
      </c>
      <c r="E618" s="337" t="s">
        <v>300</v>
      </c>
      <c r="F618" s="337" t="s">
        <v>530</v>
      </c>
      <c r="G618" s="337" t="s">
        <v>1338</v>
      </c>
      <c r="H618" s="148" t="s">
        <v>238</v>
      </c>
      <c r="I618" s="149">
        <v>1</v>
      </c>
      <c r="J618" s="150" t="s">
        <v>675</v>
      </c>
      <c r="K618" s="151" t="s">
        <v>338</v>
      </c>
      <c r="L618" s="152">
        <v>1</v>
      </c>
      <c r="M618" s="153">
        <f t="shared" si="131"/>
        <v>1</v>
      </c>
      <c r="N618" s="133" t="s">
        <v>291</v>
      </c>
      <c r="O618" s="155" t="s">
        <v>242</v>
      </c>
      <c r="P618" s="152">
        <v>5</v>
      </c>
      <c r="Q618" s="156">
        <f t="shared" si="132"/>
        <v>5</v>
      </c>
      <c r="R618" s="428"/>
      <c r="S618" s="428"/>
      <c r="T618" s="133"/>
      <c r="U618" s="405"/>
      <c r="V618" s="135"/>
      <c r="W618" s="133"/>
      <c r="X618" s="405"/>
      <c r="Y618" s="405"/>
      <c r="Z618" s="135"/>
      <c r="AA618" s="136">
        <f t="shared" ref="AA618" si="137">X618*Y618*Z618</f>
        <v>0</v>
      </c>
      <c r="AB618" s="111"/>
      <c r="AC618" s="366"/>
      <c r="AD618" s="226">
        <f t="shared" si="123"/>
        <v>6939</v>
      </c>
      <c r="AE618" s="350"/>
    </row>
    <row r="619" spans="1:31" s="144" customFormat="1" ht="128.25" outlineLevel="3" thickBot="1" x14ac:dyDescent="0.25">
      <c r="A619" s="200" t="s">
        <v>1402</v>
      </c>
      <c r="B619" s="147"/>
      <c r="C619" s="194"/>
      <c r="D619" s="414"/>
      <c r="E619" s="337" t="s">
        <v>393</v>
      </c>
      <c r="F619" s="337" t="s">
        <v>530</v>
      </c>
      <c r="G619" s="337" t="s">
        <v>1338</v>
      </c>
      <c r="H619" s="148" t="s">
        <v>238</v>
      </c>
      <c r="I619" s="149">
        <v>1</v>
      </c>
      <c r="J619" s="150" t="s">
        <v>675</v>
      </c>
      <c r="K619" s="151" t="s">
        <v>338</v>
      </c>
      <c r="L619" s="152">
        <v>1</v>
      </c>
      <c r="M619" s="153">
        <f t="shared" si="131"/>
        <v>1</v>
      </c>
      <c r="N619" s="133" t="s">
        <v>291</v>
      </c>
      <c r="O619" s="155" t="s">
        <v>242</v>
      </c>
      <c r="P619" s="152">
        <v>5</v>
      </c>
      <c r="Q619" s="156">
        <f t="shared" si="132"/>
        <v>5</v>
      </c>
      <c r="R619" s="428"/>
      <c r="S619" s="428"/>
      <c r="T619" s="133"/>
      <c r="U619" s="405"/>
      <c r="V619" s="135"/>
      <c r="W619" s="133"/>
      <c r="X619" s="405"/>
      <c r="Y619" s="405"/>
      <c r="Z619" s="135"/>
      <c r="AA619" s="136"/>
      <c r="AB619" s="111"/>
      <c r="AC619" s="366"/>
      <c r="AD619" s="226">
        <f t="shared" si="123"/>
        <v>6940</v>
      </c>
      <c r="AE619" s="350"/>
    </row>
    <row r="620" spans="1:31" s="144" customFormat="1" ht="128.25" outlineLevel="3" thickBot="1" x14ac:dyDescent="0.25">
      <c r="A620" s="200" t="s">
        <v>1403</v>
      </c>
      <c r="B620" s="147" t="s">
        <v>533</v>
      </c>
      <c r="C620" s="194"/>
      <c r="D620" s="414" t="s">
        <v>535</v>
      </c>
      <c r="E620" s="337" t="s">
        <v>536</v>
      </c>
      <c r="F620" s="337" t="s">
        <v>874</v>
      </c>
      <c r="G620" s="337" t="s">
        <v>1338</v>
      </c>
      <c r="H620" s="148" t="s">
        <v>238</v>
      </c>
      <c r="I620" s="149">
        <v>1</v>
      </c>
      <c r="J620" s="150" t="s">
        <v>675</v>
      </c>
      <c r="K620" s="151" t="s">
        <v>338</v>
      </c>
      <c r="L620" s="152">
        <v>1</v>
      </c>
      <c r="M620" s="153">
        <f t="shared" si="131"/>
        <v>1</v>
      </c>
      <c r="N620" s="133" t="s">
        <v>291</v>
      </c>
      <c r="O620" s="155" t="s">
        <v>242</v>
      </c>
      <c r="P620" s="152">
        <v>5</v>
      </c>
      <c r="Q620" s="134">
        <f>P620*L620*I620</f>
        <v>5</v>
      </c>
      <c r="R620" s="428"/>
      <c r="S620" s="428"/>
      <c r="T620" s="133"/>
      <c r="U620" s="405"/>
      <c r="V620" s="135"/>
      <c r="W620" s="133"/>
      <c r="X620" s="405"/>
      <c r="Y620" s="405"/>
      <c r="Z620" s="135"/>
      <c r="AA620" s="136">
        <f t="shared" ref="AA620" si="138">X620*Y620*Z620</f>
        <v>0</v>
      </c>
      <c r="AB620" s="111"/>
      <c r="AC620" s="366"/>
      <c r="AD620" s="226">
        <f t="shared" si="123"/>
        <v>6941</v>
      </c>
      <c r="AE620" s="350"/>
    </row>
    <row r="621" spans="1:31" s="144" customFormat="1" ht="153.75" outlineLevel="3" thickBot="1" x14ac:dyDescent="0.25">
      <c r="A621" s="200" t="s">
        <v>1404</v>
      </c>
      <c r="B621" s="147"/>
      <c r="C621" s="194"/>
      <c r="D621" s="414"/>
      <c r="E621" s="337" t="s">
        <v>279</v>
      </c>
      <c r="F621" s="337" t="s">
        <v>539</v>
      </c>
      <c r="G621" s="337" t="s">
        <v>1338</v>
      </c>
      <c r="H621" s="148" t="s">
        <v>238</v>
      </c>
      <c r="I621" s="149">
        <v>1</v>
      </c>
      <c r="J621" s="150" t="s">
        <v>675</v>
      </c>
      <c r="K621" s="151" t="s">
        <v>338</v>
      </c>
      <c r="L621" s="152">
        <v>1</v>
      </c>
      <c r="M621" s="153">
        <f t="shared" si="131"/>
        <v>1</v>
      </c>
      <c r="N621" s="133" t="s">
        <v>291</v>
      </c>
      <c r="O621" s="155" t="s">
        <v>242</v>
      </c>
      <c r="P621" s="152">
        <v>5</v>
      </c>
      <c r="Q621" s="156">
        <f t="shared" ref="Q621:Q625" si="139">I621*L621*P621</f>
        <v>5</v>
      </c>
      <c r="R621" s="428"/>
      <c r="S621" s="428"/>
      <c r="T621" s="133"/>
      <c r="U621" s="405"/>
      <c r="V621" s="135"/>
      <c r="W621" s="133"/>
      <c r="X621" s="405"/>
      <c r="Y621" s="405"/>
      <c r="Z621" s="135"/>
      <c r="AA621" s="136"/>
      <c r="AB621" s="111"/>
      <c r="AC621" s="366"/>
      <c r="AD621" s="226">
        <f t="shared" si="123"/>
        <v>6942</v>
      </c>
      <c r="AE621" s="350"/>
    </row>
    <row r="622" spans="1:31" s="144" customFormat="1" ht="128.25" outlineLevel="3" thickBot="1" x14ac:dyDescent="0.25">
      <c r="A622" s="200" t="s">
        <v>1405</v>
      </c>
      <c r="B622" s="160" t="s">
        <v>541</v>
      </c>
      <c r="C622" s="195"/>
      <c r="D622" s="337" t="s">
        <v>877</v>
      </c>
      <c r="E622" s="337" t="s">
        <v>275</v>
      </c>
      <c r="F622" s="337" t="s">
        <v>878</v>
      </c>
      <c r="G622" s="337" t="s">
        <v>1338</v>
      </c>
      <c r="H622" s="148" t="s">
        <v>238</v>
      </c>
      <c r="I622" s="149">
        <v>1</v>
      </c>
      <c r="J622" s="150" t="s">
        <v>675</v>
      </c>
      <c r="K622" s="151" t="s">
        <v>338</v>
      </c>
      <c r="L622" s="152">
        <v>1</v>
      </c>
      <c r="M622" s="153">
        <f t="shared" si="131"/>
        <v>1</v>
      </c>
      <c r="N622" s="133" t="s">
        <v>291</v>
      </c>
      <c r="O622" s="155" t="s">
        <v>242</v>
      </c>
      <c r="P622" s="152">
        <v>5</v>
      </c>
      <c r="Q622" s="156">
        <f t="shared" si="139"/>
        <v>5</v>
      </c>
      <c r="R622" s="428"/>
      <c r="S622" s="428"/>
      <c r="T622" s="133"/>
      <c r="U622" s="405"/>
      <c r="V622" s="135"/>
      <c r="W622" s="133"/>
      <c r="X622" s="405"/>
      <c r="Y622" s="405"/>
      <c r="Z622" s="135"/>
      <c r="AA622" s="136">
        <f t="shared" ref="AA622" si="140">X622*Y622*Z622</f>
        <v>0</v>
      </c>
      <c r="AB622" s="111"/>
      <c r="AC622" s="366"/>
      <c r="AD622" s="226">
        <f t="shared" si="123"/>
        <v>6943</v>
      </c>
      <c r="AE622" s="350"/>
    </row>
    <row r="623" spans="1:31" s="144" customFormat="1" ht="128.25" outlineLevel="3" thickBot="1" x14ac:dyDescent="0.25">
      <c r="A623" s="200" t="s">
        <v>1406</v>
      </c>
      <c r="B623" s="160"/>
      <c r="C623" s="195"/>
      <c r="D623" s="337"/>
      <c r="E623" s="337" t="s">
        <v>279</v>
      </c>
      <c r="F623" s="337" t="s">
        <v>878</v>
      </c>
      <c r="G623" s="337" t="s">
        <v>1338</v>
      </c>
      <c r="H623" s="148" t="s">
        <v>238</v>
      </c>
      <c r="I623" s="149">
        <v>1</v>
      </c>
      <c r="J623" s="150" t="s">
        <v>675</v>
      </c>
      <c r="K623" s="151" t="s">
        <v>338</v>
      </c>
      <c r="L623" s="152">
        <v>1</v>
      </c>
      <c r="M623" s="153">
        <f t="shared" si="131"/>
        <v>1</v>
      </c>
      <c r="N623" s="133" t="s">
        <v>291</v>
      </c>
      <c r="O623" s="155" t="s">
        <v>242</v>
      </c>
      <c r="P623" s="152">
        <v>5</v>
      </c>
      <c r="Q623" s="156">
        <f t="shared" si="139"/>
        <v>5</v>
      </c>
      <c r="R623" s="428"/>
      <c r="S623" s="428"/>
      <c r="T623" s="133"/>
      <c r="U623" s="405"/>
      <c r="V623" s="135"/>
      <c r="W623" s="133"/>
      <c r="X623" s="405"/>
      <c r="Y623" s="405"/>
      <c r="Z623" s="135"/>
      <c r="AA623" s="136"/>
      <c r="AB623" s="111"/>
      <c r="AC623" s="366"/>
      <c r="AD623" s="226">
        <f t="shared" si="123"/>
        <v>6944</v>
      </c>
      <c r="AE623" s="350"/>
    </row>
    <row r="624" spans="1:31" s="144" customFormat="1" ht="115.5" outlineLevel="3" thickBot="1" x14ac:dyDescent="0.25">
      <c r="A624" s="200" t="s">
        <v>1407</v>
      </c>
      <c r="B624" s="147" t="s">
        <v>567</v>
      </c>
      <c r="C624" s="194"/>
      <c r="D624" s="414" t="s">
        <v>569</v>
      </c>
      <c r="E624" s="337" t="s">
        <v>300</v>
      </c>
      <c r="F624" s="337" t="s">
        <v>1093</v>
      </c>
      <c r="G624" s="337" t="s">
        <v>1344</v>
      </c>
      <c r="H624" s="148" t="s">
        <v>238</v>
      </c>
      <c r="I624" s="149">
        <v>1</v>
      </c>
      <c r="J624" s="150" t="s">
        <v>784</v>
      </c>
      <c r="K624" s="130" t="s">
        <v>682</v>
      </c>
      <c r="L624" s="152">
        <v>1</v>
      </c>
      <c r="M624" s="153">
        <f t="shared" si="131"/>
        <v>1</v>
      </c>
      <c r="N624" s="133" t="s">
        <v>291</v>
      </c>
      <c r="O624" s="155" t="s">
        <v>242</v>
      </c>
      <c r="P624" s="152">
        <v>5</v>
      </c>
      <c r="Q624" s="156">
        <f t="shared" si="139"/>
        <v>5</v>
      </c>
      <c r="R624" s="428"/>
      <c r="S624" s="428"/>
      <c r="T624" s="133"/>
      <c r="U624" s="405"/>
      <c r="V624" s="135"/>
      <c r="W624" s="133"/>
      <c r="X624" s="405"/>
      <c r="Y624" s="405"/>
      <c r="Z624" s="135"/>
      <c r="AA624" s="136">
        <f t="shared" ref="AA624" si="141">X624*Y624*Z624</f>
        <v>0</v>
      </c>
      <c r="AB624" s="111"/>
      <c r="AC624" s="366"/>
      <c r="AD624" s="226">
        <f t="shared" si="123"/>
        <v>6945</v>
      </c>
      <c r="AE624" s="350"/>
    </row>
    <row r="625" spans="1:31" s="144" customFormat="1" ht="166.5" outlineLevel="3" thickBot="1" x14ac:dyDescent="0.25">
      <c r="A625" s="200" t="s">
        <v>1408</v>
      </c>
      <c r="B625" s="147"/>
      <c r="C625" s="194"/>
      <c r="D625" s="414"/>
      <c r="E625" s="337" t="s">
        <v>393</v>
      </c>
      <c r="F625" s="337" t="s">
        <v>1095</v>
      </c>
      <c r="G625" s="337" t="s">
        <v>1344</v>
      </c>
      <c r="H625" s="148" t="s">
        <v>238</v>
      </c>
      <c r="I625" s="149">
        <v>1</v>
      </c>
      <c r="J625" s="150" t="s">
        <v>784</v>
      </c>
      <c r="K625" s="130" t="s">
        <v>682</v>
      </c>
      <c r="L625" s="152">
        <v>1</v>
      </c>
      <c r="M625" s="153">
        <f t="shared" si="131"/>
        <v>1</v>
      </c>
      <c r="N625" s="133" t="s">
        <v>291</v>
      </c>
      <c r="O625" s="155" t="s">
        <v>242</v>
      </c>
      <c r="P625" s="152">
        <v>5</v>
      </c>
      <c r="Q625" s="156">
        <f t="shared" si="139"/>
        <v>5</v>
      </c>
      <c r="R625" s="428"/>
      <c r="S625" s="428"/>
      <c r="T625" s="133"/>
      <c r="U625" s="405"/>
      <c r="V625" s="135"/>
      <c r="W625" s="133"/>
      <c r="X625" s="405"/>
      <c r="Y625" s="405"/>
      <c r="Z625" s="135"/>
      <c r="AA625" s="136"/>
      <c r="AB625" s="111"/>
      <c r="AC625" s="366"/>
      <c r="AD625" s="226">
        <f t="shared" si="123"/>
        <v>6946</v>
      </c>
      <c r="AE625" s="350"/>
    </row>
    <row r="626" spans="1:31" s="144" customFormat="1" ht="21" outlineLevel="2" thickBot="1" x14ac:dyDescent="0.25">
      <c r="A626" s="200"/>
      <c r="B626" s="145" t="s">
        <v>573</v>
      </c>
      <c r="C626" s="193"/>
      <c r="D626" s="146"/>
      <c r="E626" s="146"/>
      <c r="F626" s="146"/>
      <c r="G626" s="146"/>
      <c r="H626" s="146"/>
      <c r="I626" s="146"/>
      <c r="J626" s="146"/>
      <c r="K626" s="146"/>
      <c r="L626" s="146"/>
      <c r="M626" s="146"/>
      <c r="N626" s="118"/>
      <c r="O626" s="146"/>
      <c r="P626" s="146"/>
      <c r="Q626" s="146"/>
      <c r="R626" s="118"/>
      <c r="S626" s="118"/>
      <c r="T626" s="118"/>
      <c r="U626" s="118"/>
      <c r="V626" s="118"/>
      <c r="W626" s="118"/>
      <c r="X626" s="118"/>
      <c r="Y626" s="118"/>
      <c r="Z626" s="118"/>
      <c r="AA626" s="118"/>
      <c r="AB626" s="119"/>
      <c r="AC626" s="366"/>
      <c r="AD626" s="226">
        <f t="shared" si="123"/>
        <v>0</v>
      </c>
      <c r="AE626" s="350"/>
    </row>
    <row r="627" spans="1:31" ht="153.75" outlineLevel="3" thickBot="1" x14ac:dyDescent="0.25">
      <c r="A627" s="200" t="s">
        <v>1409</v>
      </c>
      <c r="B627" s="147" t="s">
        <v>575</v>
      </c>
      <c r="C627" s="194"/>
      <c r="D627" s="414" t="s">
        <v>577</v>
      </c>
      <c r="E627" s="337" t="s">
        <v>474</v>
      </c>
      <c r="F627" s="337" t="s">
        <v>1098</v>
      </c>
      <c r="G627" s="337" t="s">
        <v>1344</v>
      </c>
      <c r="H627" s="148" t="s">
        <v>238</v>
      </c>
      <c r="I627" s="149">
        <v>1</v>
      </c>
      <c r="J627" s="150" t="s">
        <v>784</v>
      </c>
      <c r="K627" s="130" t="s">
        <v>682</v>
      </c>
      <c r="L627" s="152">
        <v>1</v>
      </c>
      <c r="M627" s="153">
        <f t="shared" ref="M627:M648" si="142">I627*L627</f>
        <v>1</v>
      </c>
      <c r="N627" s="133" t="s">
        <v>291</v>
      </c>
      <c r="O627" s="155" t="s">
        <v>242</v>
      </c>
      <c r="P627" s="152">
        <v>5</v>
      </c>
      <c r="Q627" s="156">
        <f t="shared" ref="Q627:Q648" si="143">I627*L627*P627</f>
        <v>5</v>
      </c>
      <c r="R627" s="428"/>
      <c r="S627" s="428"/>
      <c r="T627" s="133"/>
      <c r="U627" s="405"/>
      <c r="V627" s="135"/>
      <c r="W627" s="133"/>
      <c r="X627" s="405"/>
      <c r="Y627" s="405"/>
      <c r="Z627" s="135"/>
      <c r="AA627" s="136"/>
      <c r="AB627" s="111"/>
      <c r="AC627" s="362"/>
      <c r="AD627" s="226">
        <f t="shared" si="123"/>
        <v>6947</v>
      </c>
    </row>
    <row r="628" spans="1:31" ht="243" outlineLevel="3" thickBot="1" x14ac:dyDescent="0.25">
      <c r="A628" s="200" t="s">
        <v>1410</v>
      </c>
      <c r="B628" s="147"/>
      <c r="C628" s="194"/>
      <c r="D628" s="414"/>
      <c r="E628" s="337" t="s">
        <v>478</v>
      </c>
      <c r="F628" s="337" t="s">
        <v>1411</v>
      </c>
      <c r="G628" s="337" t="s">
        <v>1344</v>
      </c>
      <c r="H628" s="148" t="s">
        <v>238</v>
      </c>
      <c r="I628" s="149">
        <v>1</v>
      </c>
      <c r="J628" s="150" t="s">
        <v>784</v>
      </c>
      <c r="K628" s="130" t="s">
        <v>682</v>
      </c>
      <c r="L628" s="152">
        <v>1</v>
      </c>
      <c r="M628" s="153">
        <f t="shared" si="142"/>
        <v>1</v>
      </c>
      <c r="N628" s="133" t="s">
        <v>291</v>
      </c>
      <c r="O628" s="155" t="s">
        <v>242</v>
      </c>
      <c r="P628" s="152">
        <v>5</v>
      </c>
      <c r="Q628" s="156">
        <f t="shared" si="143"/>
        <v>5</v>
      </c>
      <c r="R628" s="428"/>
      <c r="S628" s="428"/>
      <c r="T628" s="133"/>
      <c r="U628" s="405"/>
      <c r="V628" s="135"/>
      <c r="W628" s="133"/>
      <c r="X628" s="405"/>
      <c r="Y628" s="405"/>
      <c r="Z628" s="135"/>
      <c r="AA628" s="136"/>
      <c r="AB628" s="111"/>
      <c r="AD628" s="226">
        <f t="shared" si="123"/>
        <v>6948</v>
      </c>
      <c r="AE628" s="357"/>
    </row>
    <row r="629" spans="1:31" ht="204.75" outlineLevel="3" thickBot="1" x14ac:dyDescent="0.25">
      <c r="A629" s="200" t="s">
        <v>1412</v>
      </c>
      <c r="B629" s="147"/>
      <c r="C629" s="194"/>
      <c r="D629" s="414"/>
      <c r="E629" s="337" t="s">
        <v>593</v>
      </c>
      <c r="F629" s="337" t="s">
        <v>594</v>
      </c>
      <c r="G629" s="337" t="s">
        <v>1344</v>
      </c>
      <c r="H629" s="148" t="s">
        <v>238</v>
      </c>
      <c r="I629" s="149">
        <v>1</v>
      </c>
      <c r="J629" s="150" t="s">
        <v>784</v>
      </c>
      <c r="K629" s="130" t="s">
        <v>682</v>
      </c>
      <c r="L629" s="152">
        <v>1</v>
      </c>
      <c r="M629" s="153">
        <f t="shared" si="142"/>
        <v>1</v>
      </c>
      <c r="N629" s="133" t="s">
        <v>291</v>
      </c>
      <c r="O629" s="155" t="s">
        <v>242</v>
      </c>
      <c r="P629" s="152">
        <v>5</v>
      </c>
      <c r="Q629" s="156">
        <f t="shared" si="143"/>
        <v>5</v>
      </c>
      <c r="R629" s="428"/>
      <c r="S629" s="428"/>
      <c r="T629" s="133"/>
      <c r="U629" s="405"/>
      <c r="V629" s="135"/>
      <c r="W629" s="133"/>
      <c r="X629" s="405"/>
      <c r="Y629" s="405"/>
      <c r="Z629" s="135"/>
      <c r="AA629" s="136">
        <f>X629*Y629*Z629</f>
        <v>0</v>
      </c>
      <c r="AB629" s="111"/>
      <c r="AC629" s="363"/>
      <c r="AD629" s="226">
        <f t="shared" si="123"/>
        <v>6949</v>
      </c>
    </row>
    <row r="630" spans="1:31" ht="115.5" outlineLevel="3" thickBot="1" x14ac:dyDescent="0.25">
      <c r="A630" s="200" t="s">
        <v>1413</v>
      </c>
      <c r="B630" s="147" t="s">
        <v>1414</v>
      </c>
      <c r="C630" s="194"/>
      <c r="D630" s="414" t="s">
        <v>598</v>
      </c>
      <c r="E630" s="337" t="s">
        <v>275</v>
      </c>
      <c r="F630" s="337" t="s">
        <v>1108</v>
      </c>
      <c r="G630" s="337" t="s">
        <v>1344</v>
      </c>
      <c r="H630" s="148" t="s">
        <v>238</v>
      </c>
      <c r="I630" s="149">
        <v>1</v>
      </c>
      <c r="J630" s="150" t="s">
        <v>784</v>
      </c>
      <c r="K630" s="130" t="s">
        <v>682</v>
      </c>
      <c r="L630" s="152">
        <v>1</v>
      </c>
      <c r="M630" s="153">
        <f t="shared" si="142"/>
        <v>1</v>
      </c>
      <c r="N630" s="133" t="s">
        <v>291</v>
      </c>
      <c r="O630" s="155" t="s">
        <v>242</v>
      </c>
      <c r="P630" s="152">
        <v>5</v>
      </c>
      <c r="Q630" s="156">
        <f t="shared" si="143"/>
        <v>5</v>
      </c>
      <c r="R630" s="428"/>
      <c r="S630" s="428"/>
      <c r="T630" s="133"/>
      <c r="U630" s="405"/>
      <c r="V630" s="135"/>
      <c r="W630" s="133"/>
      <c r="X630" s="405"/>
      <c r="Y630" s="405"/>
      <c r="Z630" s="135"/>
      <c r="AA630" s="136"/>
      <c r="AB630" s="111"/>
      <c r="AC630" s="363"/>
      <c r="AD630" s="226">
        <f t="shared" si="123"/>
        <v>6950</v>
      </c>
    </row>
    <row r="631" spans="1:31" ht="115.5" outlineLevel="3" thickBot="1" x14ac:dyDescent="0.25">
      <c r="A631" s="200" t="s">
        <v>1415</v>
      </c>
      <c r="B631" s="147"/>
      <c r="C631" s="194"/>
      <c r="D631" s="414"/>
      <c r="E631" s="337" t="s">
        <v>279</v>
      </c>
      <c r="F631" s="337" t="s">
        <v>1108</v>
      </c>
      <c r="G631" s="337" t="s">
        <v>1344</v>
      </c>
      <c r="H631" s="148" t="s">
        <v>238</v>
      </c>
      <c r="I631" s="149">
        <v>1</v>
      </c>
      <c r="J631" s="150" t="s">
        <v>784</v>
      </c>
      <c r="K631" s="130" t="s">
        <v>682</v>
      </c>
      <c r="L631" s="152">
        <v>1</v>
      </c>
      <c r="M631" s="153">
        <f t="shared" si="142"/>
        <v>1</v>
      </c>
      <c r="N631" s="133" t="s">
        <v>291</v>
      </c>
      <c r="O631" s="155" t="s">
        <v>242</v>
      </c>
      <c r="P631" s="152">
        <v>5</v>
      </c>
      <c r="Q631" s="156">
        <f t="shared" si="143"/>
        <v>5</v>
      </c>
      <c r="R631" s="428"/>
      <c r="S631" s="428"/>
      <c r="T631" s="133"/>
      <c r="U631" s="405"/>
      <c r="V631" s="135"/>
      <c r="W631" s="133"/>
      <c r="X631" s="405"/>
      <c r="Y631" s="405"/>
      <c r="Z631" s="135"/>
      <c r="AA631" s="136"/>
      <c r="AB631" s="111"/>
      <c r="AC631" s="363"/>
      <c r="AD631" s="226">
        <f t="shared" si="123"/>
        <v>6951</v>
      </c>
    </row>
    <row r="632" spans="1:31" ht="141" outlineLevel="3" thickBot="1" x14ac:dyDescent="0.25">
      <c r="A632" s="200" t="s">
        <v>1416</v>
      </c>
      <c r="B632" s="147" t="s">
        <v>602</v>
      </c>
      <c r="C632" s="194"/>
      <c r="D632" s="414" t="s">
        <v>604</v>
      </c>
      <c r="E632" s="337" t="s">
        <v>300</v>
      </c>
      <c r="F632" s="337" t="s">
        <v>605</v>
      </c>
      <c r="G632" s="337" t="s">
        <v>1338</v>
      </c>
      <c r="H632" s="148" t="s">
        <v>238</v>
      </c>
      <c r="I632" s="149">
        <v>1</v>
      </c>
      <c r="J632" s="150" t="s">
        <v>675</v>
      </c>
      <c r="K632" s="151" t="s">
        <v>338</v>
      </c>
      <c r="L632" s="152">
        <v>1</v>
      </c>
      <c r="M632" s="153">
        <f t="shared" si="142"/>
        <v>1</v>
      </c>
      <c r="N632" s="133" t="s">
        <v>291</v>
      </c>
      <c r="O632" s="155" t="s">
        <v>242</v>
      </c>
      <c r="P632" s="152">
        <v>5</v>
      </c>
      <c r="Q632" s="156">
        <f t="shared" si="143"/>
        <v>5</v>
      </c>
      <c r="R632" s="428"/>
      <c r="S632" s="428"/>
      <c r="T632" s="133"/>
      <c r="U632" s="405"/>
      <c r="V632" s="135"/>
      <c r="W632" s="133"/>
      <c r="X632" s="405"/>
      <c r="Y632" s="405"/>
      <c r="Z632" s="135"/>
      <c r="AA632" s="136"/>
      <c r="AB632" s="111"/>
      <c r="AC632" s="363"/>
      <c r="AD632" s="226">
        <f t="shared" si="123"/>
        <v>6952</v>
      </c>
    </row>
    <row r="633" spans="1:31" ht="192" outlineLevel="3" thickBot="1" x14ac:dyDescent="0.25">
      <c r="A633" s="200" t="s">
        <v>1417</v>
      </c>
      <c r="B633" s="147"/>
      <c r="C633" s="194"/>
      <c r="D633" s="414"/>
      <c r="E633" s="337" t="s">
        <v>393</v>
      </c>
      <c r="F633" s="337" t="s">
        <v>607</v>
      </c>
      <c r="G633" s="337" t="s">
        <v>1338</v>
      </c>
      <c r="H633" s="148" t="s">
        <v>238</v>
      </c>
      <c r="I633" s="149">
        <v>1</v>
      </c>
      <c r="J633" s="150" t="s">
        <v>675</v>
      </c>
      <c r="K633" s="151" t="s">
        <v>338</v>
      </c>
      <c r="L633" s="152">
        <v>1</v>
      </c>
      <c r="M633" s="153">
        <f t="shared" si="142"/>
        <v>1</v>
      </c>
      <c r="N633" s="133" t="s">
        <v>291</v>
      </c>
      <c r="O633" s="155" t="s">
        <v>242</v>
      </c>
      <c r="P633" s="152">
        <v>5</v>
      </c>
      <c r="Q633" s="156">
        <f t="shared" si="143"/>
        <v>5</v>
      </c>
      <c r="R633" s="428"/>
      <c r="S633" s="428"/>
      <c r="T633" s="133"/>
      <c r="U633" s="405"/>
      <c r="V633" s="135"/>
      <c r="W633" s="133"/>
      <c r="X633" s="405"/>
      <c r="Y633" s="405"/>
      <c r="Z633" s="135"/>
      <c r="AA633" s="136"/>
      <c r="AB633" s="111"/>
      <c r="AC633" s="226"/>
      <c r="AD633" s="226">
        <f t="shared" si="123"/>
        <v>6953</v>
      </c>
    </row>
    <row r="634" spans="1:31" ht="128.25" outlineLevel="3" thickBot="1" x14ac:dyDescent="0.25">
      <c r="A634" s="200" t="s">
        <v>1418</v>
      </c>
      <c r="B634" s="160" t="s">
        <v>609</v>
      </c>
      <c r="C634" s="195"/>
      <c r="D634" s="414" t="s">
        <v>611</v>
      </c>
      <c r="E634" s="337" t="s">
        <v>288</v>
      </c>
      <c r="F634" s="337" t="s">
        <v>612</v>
      </c>
      <c r="G634" s="337" t="s">
        <v>1338</v>
      </c>
      <c r="H634" s="148" t="s">
        <v>238</v>
      </c>
      <c r="I634" s="149">
        <v>1</v>
      </c>
      <c r="J634" s="150" t="s">
        <v>675</v>
      </c>
      <c r="K634" s="151" t="s">
        <v>338</v>
      </c>
      <c r="L634" s="152">
        <v>1</v>
      </c>
      <c r="M634" s="153">
        <f t="shared" si="142"/>
        <v>1</v>
      </c>
      <c r="N634" s="133" t="s">
        <v>291</v>
      </c>
      <c r="O634" s="155" t="s">
        <v>242</v>
      </c>
      <c r="P634" s="152">
        <v>5</v>
      </c>
      <c r="Q634" s="156">
        <f t="shared" si="143"/>
        <v>5</v>
      </c>
      <c r="R634" s="428"/>
      <c r="S634" s="428"/>
      <c r="T634" s="133"/>
      <c r="U634" s="405"/>
      <c r="V634" s="135"/>
      <c r="W634" s="133"/>
      <c r="X634" s="405"/>
      <c r="Y634" s="405"/>
      <c r="Z634" s="135"/>
      <c r="AA634" s="136">
        <f>X634*Y634*Z634</f>
        <v>0</v>
      </c>
      <c r="AB634" s="111"/>
      <c r="AC634" s="363"/>
      <c r="AD634" s="226">
        <f t="shared" si="123"/>
        <v>6954</v>
      </c>
    </row>
    <row r="635" spans="1:31" s="202" customFormat="1" ht="166.5" outlineLevel="3" thickBot="1" x14ac:dyDescent="0.25">
      <c r="A635" s="200" t="s">
        <v>1419</v>
      </c>
      <c r="B635" s="160"/>
      <c r="C635" s="195"/>
      <c r="D635" s="414"/>
      <c r="E635" s="337" t="s">
        <v>614</v>
      </c>
      <c r="F635" s="337" t="s">
        <v>615</v>
      </c>
      <c r="G635" s="337" t="s">
        <v>1338</v>
      </c>
      <c r="H635" s="148" t="s">
        <v>238</v>
      </c>
      <c r="I635" s="149">
        <v>1</v>
      </c>
      <c r="J635" s="150" t="s">
        <v>675</v>
      </c>
      <c r="K635" s="151" t="s">
        <v>338</v>
      </c>
      <c r="L635" s="152">
        <v>1</v>
      </c>
      <c r="M635" s="153">
        <f t="shared" si="142"/>
        <v>1</v>
      </c>
      <c r="N635" s="133" t="s">
        <v>291</v>
      </c>
      <c r="O635" s="155" t="s">
        <v>242</v>
      </c>
      <c r="P635" s="152">
        <v>5</v>
      </c>
      <c r="Q635" s="156">
        <f t="shared" si="143"/>
        <v>5</v>
      </c>
      <c r="R635" s="428"/>
      <c r="S635" s="428"/>
      <c r="T635" s="133"/>
      <c r="U635" s="405"/>
      <c r="V635" s="135"/>
      <c r="W635" s="133"/>
      <c r="X635" s="405"/>
      <c r="Y635" s="405"/>
      <c r="Z635" s="135"/>
      <c r="AA635" s="136"/>
      <c r="AB635" s="111"/>
      <c r="AC635" s="374"/>
      <c r="AD635" s="226">
        <f t="shared" si="123"/>
        <v>6955</v>
      </c>
      <c r="AE635" s="359"/>
    </row>
    <row r="636" spans="1:31" ht="128.25" outlineLevel="3" thickBot="1" x14ac:dyDescent="0.25">
      <c r="A636" s="200" t="s">
        <v>1420</v>
      </c>
      <c r="B636" s="147" t="s">
        <v>641</v>
      </c>
      <c r="C636" s="194"/>
      <c r="D636" s="414" t="s">
        <v>643</v>
      </c>
      <c r="E636" s="337" t="s">
        <v>326</v>
      </c>
      <c r="F636" s="337" t="s">
        <v>644</v>
      </c>
      <c r="G636" s="337" t="s">
        <v>1338</v>
      </c>
      <c r="H636" s="148" t="s">
        <v>238</v>
      </c>
      <c r="I636" s="149">
        <v>1</v>
      </c>
      <c r="J636" s="150" t="s">
        <v>675</v>
      </c>
      <c r="K636" s="151" t="s">
        <v>338</v>
      </c>
      <c r="L636" s="152">
        <v>1</v>
      </c>
      <c r="M636" s="153">
        <f t="shared" si="142"/>
        <v>1</v>
      </c>
      <c r="N636" s="133" t="s">
        <v>291</v>
      </c>
      <c r="O636" s="155" t="s">
        <v>242</v>
      </c>
      <c r="P636" s="152">
        <v>5</v>
      </c>
      <c r="Q636" s="156">
        <f t="shared" si="143"/>
        <v>5</v>
      </c>
      <c r="R636" s="428"/>
      <c r="S636" s="428"/>
      <c r="T636" s="133"/>
      <c r="U636" s="405"/>
      <c r="V636" s="135"/>
      <c r="W636" s="133"/>
      <c r="X636" s="405"/>
      <c r="Y636" s="405"/>
      <c r="Z636" s="135"/>
      <c r="AA636" s="136">
        <f t="shared" ref="AA636:AA710" si="144">X636*Y636*Z636</f>
        <v>0</v>
      </c>
      <c r="AB636" s="111"/>
      <c r="AC636" s="363"/>
      <c r="AD636" s="226">
        <f t="shared" si="123"/>
        <v>6956</v>
      </c>
    </row>
    <row r="637" spans="1:31" ht="115.5" outlineLevel="3" thickBot="1" x14ac:dyDescent="0.25">
      <c r="A637" s="200" t="s">
        <v>1421</v>
      </c>
      <c r="B637" s="147"/>
      <c r="C637" s="194"/>
      <c r="D637" s="414"/>
      <c r="E637" s="337" t="s">
        <v>330</v>
      </c>
      <c r="F637" s="337" t="s">
        <v>1298</v>
      </c>
      <c r="G637" s="337" t="s">
        <v>1344</v>
      </c>
      <c r="H637" s="148" t="s">
        <v>238</v>
      </c>
      <c r="I637" s="149">
        <v>1</v>
      </c>
      <c r="J637" s="150" t="s">
        <v>784</v>
      </c>
      <c r="K637" s="130" t="s">
        <v>682</v>
      </c>
      <c r="L637" s="152">
        <v>1</v>
      </c>
      <c r="M637" s="153">
        <f t="shared" si="142"/>
        <v>1</v>
      </c>
      <c r="N637" s="133" t="s">
        <v>291</v>
      </c>
      <c r="O637" s="155" t="s">
        <v>242</v>
      </c>
      <c r="P637" s="152">
        <v>5</v>
      </c>
      <c r="Q637" s="156">
        <f t="shared" si="143"/>
        <v>5</v>
      </c>
      <c r="R637" s="428"/>
      <c r="S637" s="428"/>
      <c r="T637" s="133"/>
      <c r="U637" s="405"/>
      <c r="V637" s="135"/>
      <c r="W637" s="133"/>
      <c r="X637" s="405"/>
      <c r="Y637" s="405"/>
      <c r="Z637" s="135"/>
      <c r="AA637" s="136"/>
      <c r="AB637" s="111"/>
      <c r="AC637" s="363"/>
      <c r="AD637" s="226">
        <f t="shared" si="123"/>
        <v>6957</v>
      </c>
    </row>
    <row r="638" spans="1:31" ht="115.5" outlineLevel="3" thickBot="1" x14ac:dyDescent="0.25">
      <c r="A638" s="200" t="s">
        <v>1422</v>
      </c>
      <c r="B638" s="147" t="s">
        <v>659</v>
      </c>
      <c r="C638" s="194"/>
      <c r="D638" s="414" t="s">
        <v>661</v>
      </c>
      <c r="E638" s="337" t="s">
        <v>662</v>
      </c>
      <c r="F638" s="337" t="s">
        <v>1131</v>
      </c>
      <c r="G638" s="337" t="s">
        <v>1344</v>
      </c>
      <c r="H638" s="148" t="s">
        <v>238</v>
      </c>
      <c r="I638" s="149">
        <v>1</v>
      </c>
      <c r="J638" s="150" t="s">
        <v>784</v>
      </c>
      <c r="K638" s="130" t="s">
        <v>682</v>
      </c>
      <c r="L638" s="152">
        <v>1</v>
      </c>
      <c r="M638" s="153">
        <f t="shared" si="142"/>
        <v>1</v>
      </c>
      <c r="N638" s="133" t="s">
        <v>291</v>
      </c>
      <c r="O638" s="155" t="s">
        <v>242</v>
      </c>
      <c r="P638" s="152">
        <v>5</v>
      </c>
      <c r="Q638" s="156">
        <f t="shared" si="143"/>
        <v>5</v>
      </c>
      <c r="R638" s="428"/>
      <c r="S638" s="428"/>
      <c r="T638" s="133"/>
      <c r="U638" s="405"/>
      <c r="V638" s="135"/>
      <c r="W638" s="133"/>
      <c r="X638" s="405"/>
      <c r="Y638" s="405"/>
      <c r="Z638" s="135"/>
      <c r="AA638" s="136"/>
      <c r="AB638" s="111"/>
      <c r="AC638" s="363"/>
      <c r="AD638" s="226">
        <f t="shared" si="123"/>
        <v>6958</v>
      </c>
    </row>
    <row r="639" spans="1:31" ht="26.25" customHeight="1" outlineLevel="3" thickBot="1" x14ac:dyDescent="0.25">
      <c r="A639" s="200" t="s">
        <v>1423</v>
      </c>
      <c r="B639" s="147"/>
      <c r="C639" s="194"/>
      <c r="D639" s="414"/>
      <c r="E639" s="337" t="s">
        <v>666</v>
      </c>
      <c r="F639" s="337" t="s">
        <v>1424</v>
      </c>
      <c r="G639" s="337" t="s">
        <v>1344</v>
      </c>
      <c r="H639" s="148" t="s">
        <v>238</v>
      </c>
      <c r="I639" s="149">
        <v>1</v>
      </c>
      <c r="J639" s="150" t="s">
        <v>784</v>
      </c>
      <c r="K639" s="130" t="s">
        <v>682</v>
      </c>
      <c r="L639" s="152">
        <v>1</v>
      </c>
      <c r="M639" s="153">
        <f t="shared" si="142"/>
        <v>1</v>
      </c>
      <c r="N639" s="133" t="s">
        <v>291</v>
      </c>
      <c r="O639" s="155" t="s">
        <v>242</v>
      </c>
      <c r="P639" s="152">
        <v>5</v>
      </c>
      <c r="Q639" s="156">
        <f t="shared" si="143"/>
        <v>5</v>
      </c>
      <c r="R639" s="428"/>
      <c r="S639" s="428"/>
      <c r="T639" s="133"/>
      <c r="U639" s="405"/>
      <c r="V639" s="135"/>
      <c r="W639" s="133"/>
      <c r="X639" s="405"/>
      <c r="Y639" s="405"/>
      <c r="Z639" s="135"/>
      <c r="AA639" s="136"/>
      <c r="AB639" s="111"/>
      <c r="AC639" s="363"/>
      <c r="AD639" s="226">
        <f t="shared" si="123"/>
        <v>6959</v>
      </c>
    </row>
    <row r="640" spans="1:31" ht="128.25" outlineLevel="3" thickBot="1" x14ac:dyDescent="0.25">
      <c r="A640" s="200" t="s">
        <v>1425</v>
      </c>
      <c r="B640" s="147"/>
      <c r="C640" s="194"/>
      <c r="D640" s="414"/>
      <c r="E640" s="337" t="s">
        <v>669</v>
      </c>
      <c r="F640" s="337" t="s">
        <v>670</v>
      </c>
      <c r="G640" s="337" t="s">
        <v>1338</v>
      </c>
      <c r="H640" s="148" t="s">
        <v>238</v>
      </c>
      <c r="I640" s="149">
        <v>1</v>
      </c>
      <c r="J640" s="150" t="s">
        <v>675</v>
      </c>
      <c r="K640" s="151" t="s">
        <v>338</v>
      </c>
      <c r="L640" s="152">
        <v>1</v>
      </c>
      <c r="M640" s="153">
        <f t="shared" si="142"/>
        <v>1</v>
      </c>
      <c r="N640" s="133" t="s">
        <v>291</v>
      </c>
      <c r="O640" s="155" t="s">
        <v>242</v>
      </c>
      <c r="P640" s="152">
        <v>5</v>
      </c>
      <c r="Q640" s="156">
        <f t="shared" si="143"/>
        <v>5</v>
      </c>
      <c r="R640" s="428"/>
      <c r="S640" s="428"/>
      <c r="T640" s="133"/>
      <c r="U640" s="405"/>
      <c r="V640" s="135"/>
      <c r="W640" s="133"/>
      <c r="X640" s="405"/>
      <c r="Y640" s="405"/>
      <c r="Z640" s="135"/>
      <c r="AA640" s="136"/>
      <c r="AB640" s="111"/>
      <c r="AC640" s="363"/>
      <c r="AD640" s="226">
        <f t="shared" si="123"/>
        <v>6960</v>
      </c>
    </row>
    <row r="641" spans="1:31" ht="128.25" outlineLevel="3" thickBot="1" x14ac:dyDescent="0.25">
      <c r="A641" s="200" t="s">
        <v>1426</v>
      </c>
      <c r="B641" s="147"/>
      <c r="C641" s="194"/>
      <c r="D641" s="414"/>
      <c r="E641" s="337" t="s">
        <v>673</v>
      </c>
      <c r="F641" s="337" t="s">
        <v>674</v>
      </c>
      <c r="G641" s="337" t="s">
        <v>1338</v>
      </c>
      <c r="H641" s="148" t="s">
        <v>238</v>
      </c>
      <c r="I641" s="149">
        <v>1</v>
      </c>
      <c r="J641" s="150" t="s">
        <v>675</v>
      </c>
      <c r="K641" s="151" t="s">
        <v>338</v>
      </c>
      <c r="L641" s="152">
        <v>1</v>
      </c>
      <c r="M641" s="153">
        <f t="shared" si="142"/>
        <v>1</v>
      </c>
      <c r="N641" s="133" t="s">
        <v>291</v>
      </c>
      <c r="O641" s="155" t="s">
        <v>242</v>
      </c>
      <c r="P641" s="152">
        <v>5</v>
      </c>
      <c r="Q641" s="156">
        <f t="shared" si="143"/>
        <v>5</v>
      </c>
      <c r="R641" s="428"/>
      <c r="S641" s="428"/>
      <c r="T641" s="133"/>
      <c r="U641" s="405"/>
      <c r="V641" s="135"/>
      <c r="W641" s="133"/>
      <c r="X641" s="405"/>
      <c r="Y641" s="405"/>
      <c r="Z641" s="135"/>
      <c r="AA641" s="136"/>
      <c r="AB641" s="111"/>
      <c r="AC641" s="363"/>
      <c r="AD641" s="226">
        <f t="shared" si="123"/>
        <v>6961</v>
      </c>
    </row>
    <row r="642" spans="1:31" ht="115.5" outlineLevel="3" thickBot="1" x14ac:dyDescent="0.25">
      <c r="A642" s="200" t="s">
        <v>1427</v>
      </c>
      <c r="B642" s="147" t="s">
        <v>695</v>
      </c>
      <c r="C642" s="194"/>
      <c r="D642" s="414" t="s">
        <v>697</v>
      </c>
      <c r="E642" s="337" t="s">
        <v>698</v>
      </c>
      <c r="F642" s="337" t="s">
        <v>1151</v>
      </c>
      <c r="G642" s="337" t="s">
        <v>1344</v>
      </c>
      <c r="H642" s="148" t="s">
        <v>238</v>
      </c>
      <c r="I642" s="149">
        <v>1</v>
      </c>
      <c r="J642" s="150" t="s">
        <v>784</v>
      </c>
      <c r="K642" s="130" t="s">
        <v>682</v>
      </c>
      <c r="L642" s="152">
        <v>1</v>
      </c>
      <c r="M642" s="153">
        <f t="shared" si="142"/>
        <v>1</v>
      </c>
      <c r="N642" s="133" t="s">
        <v>291</v>
      </c>
      <c r="O642" s="155" t="s">
        <v>242</v>
      </c>
      <c r="P642" s="152">
        <v>5</v>
      </c>
      <c r="Q642" s="156">
        <f t="shared" si="143"/>
        <v>5</v>
      </c>
      <c r="R642" s="428"/>
      <c r="S642" s="428"/>
      <c r="T642" s="133"/>
      <c r="U642" s="405"/>
      <c r="V642" s="135"/>
      <c r="W642" s="133"/>
      <c r="X642" s="405"/>
      <c r="Y642" s="405"/>
      <c r="Z642" s="135"/>
      <c r="AA642" s="136">
        <f t="shared" si="144"/>
        <v>0</v>
      </c>
      <c r="AB642" s="111"/>
      <c r="AC642" s="363"/>
      <c r="AD642" s="226">
        <f t="shared" si="123"/>
        <v>6962</v>
      </c>
    </row>
    <row r="643" spans="1:31" ht="166.5" outlineLevel="3" thickBot="1" x14ac:dyDescent="0.25">
      <c r="A643" s="199" t="s">
        <v>1428</v>
      </c>
      <c r="B643" s="411"/>
      <c r="C643" s="412"/>
      <c r="D643" s="405"/>
      <c r="E643" s="405" t="s">
        <v>701</v>
      </c>
      <c r="F643" s="405" t="s">
        <v>1148</v>
      </c>
      <c r="G643" s="405" t="s">
        <v>1344</v>
      </c>
      <c r="H643" s="420" t="s">
        <v>238</v>
      </c>
      <c r="I643" s="164">
        <v>1</v>
      </c>
      <c r="J643" s="163" t="s">
        <v>784</v>
      </c>
      <c r="K643" s="130" t="s">
        <v>682</v>
      </c>
      <c r="L643" s="138">
        <v>1</v>
      </c>
      <c r="M643" s="166">
        <f t="shared" si="142"/>
        <v>1</v>
      </c>
      <c r="N643" s="133" t="s">
        <v>291</v>
      </c>
      <c r="O643" s="420" t="s">
        <v>242</v>
      </c>
      <c r="P643" s="138">
        <v>5</v>
      </c>
      <c r="Q643" s="225">
        <f t="shared" si="143"/>
        <v>5</v>
      </c>
      <c r="R643" s="428"/>
      <c r="S643" s="428"/>
      <c r="T643" s="133"/>
      <c r="U643" s="405"/>
      <c r="V643" s="135"/>
      <c r="W643" s="133"/>
      <c r="X643" s="405"/>
      <c r="Y643" s="405"/>
      <c r="Z643" s="135"/>
      <c r="AA643" s="136"/>
      <c r="AB643" s="111"/>
      <c r="AC643" s="363"/>
      <c r="AD643" s="226">
        <f t="shared" si="123"/>
        <v>6963</v>
      </c>
    </row>
    <row r="644" spans="1:31" s="317" customFormat="1" ht="115.5" outlineLevel="3" thickBot="1" x14ac:dyDescent="0.25">
      <c r="A644" s="200" t="s">
        <v>1429</v>
      </c>
      <c r="B644" s="147" t="s">
        <v>711</v>
      </c>
      <c r="C644" s="194"/>
      <c r="D644" s="414" t="s">
        <v>713</v>
      </c>
      <c r="E644" s="337" t="s">
        <v>698</v>
      </c>
      <c r="F644" s="337" t="s">
        <v>1151</v>
      </c>
      <c r="G644" s="337" t="s">
        <v>1344</v>
      </c>
      <c r="H644" s="148" t="s">
        <v>238</v>
      </c>
      <c r="I644" s="149">
        <v>1</v>
      </c>
      <c r="J644" s="150" t="s">
        <v>784</v>
      </c>
      <c r="K644" s="130" t="s">
        <v>682</v>
      </c>
      <c r="L644" s="152">
        <v>1</v>
      </c>
      <c r="M644" s="153">
        <f t="shared" si="142"/>
        <v>1</v>
      </c>
      <c r="N644" s="133" t="s">
        <v>291</v>
      </c>
      <c r="O644" s="155" t="s">
        <v>242</v>
      </c>
      <c r="P644" s="152">
        <v>5</v>
      </c>
      <c r="Q644" s="156">
        <f t="shared" si="143"/>
        <v>5</v>
      </c>
      <c r="R644" s="428"/>
      <c r="S644" s="428"/>
      <c r="T644" s="133"/>
      <c r="U644" s="405"/>
      <c r="V644" s="135"/>
      <c r="W644" s="133"/>
      <c r="X644" s="405"/>
      <c r="Y644" s="405"/>
      <c r="Z644" s="135"/>
      <c r="AA644" s="136"/>
      <c r="AB644" s="111"/>
      <c r="AC644" s="368"/>
      <c r="AD644" s="226">
        <f t="shared" si="123"/>
        <v>6964</v>
      </c>
      <c r="AE644" s="264"/>
    </row>
    <row r="645" spans="1:31" s="317" customFormat="1" ht="166.5" outlineLevel="3" thickBot="1" x14ac:dyDescent="0.25">
      <c r="A645" s="200" t="s">
        <v>1430</v>
      </c>
      <c r="B645" s="147"/>
      <c r="C645" s="194"/>
      <c r="D645" s="414"/>
      <c r="E645" s="337" t="s">
        <v>701</v>
      </c>
      <c r="F645" s="337" t="s">
        <v>1317</v>
      </c>
      <c r="G645" s="337" t="s">
        <v>1344</v>
      </c>
      <c r="H645" s="148" t="s">
        <v>238</v>
      </c>
      <c r="I645" s="149">
        <v>1</v>
      </c>
      <c r="J645" s="150" t="s">
        <v>784</v>
      </c>
      <c r="K645" s="130" t="s">
        <v>682</v>
      </c>
      <c r="L645" s="152">
        <v>1</v>
      </c>
      <c r="M645" s="153">
        <f t="shared" si="142"/>
        <v>1</v>
      </c>
      <c r="N645" s="133" t="s">
        <v>291</v>
      </c>
      <c r="O645" s="155" t="s">
        <v>242</v>
      </c>
      <c r="P645" s="152">
        <v>5</v>
      </c>
      <c r="Q645" s="156">
        <f t="shared" si="143"/>
        <v>5</v>
      </c>
      <c r="R645" s="428"/>
      <c r="S645" s="428"/>
      <c r="T645" s="133"/>
      <c r="U645" s="405"/>
      <c r="V645" s="135"/>
      <c r="W645" s="133"/>
      <c r="X645" s="405"/>
      <c r="Y645" s="405"/>
      <c r="Z645" s="135"/>
      <c r="AA645" s="136">
        <f t="shared" si="144"/>
        <v>0</v>
      </c>
      <c r="AB645" s="111"/>
      <c r="AC645" s="368"/>
      <c r="AD645" s="226">
        <f t="shared" si="123"/>
        <v>6965</v>
      </c>
      <c r="AE645" s="264"/>
    </row>
    <row r="646" spans="1:31" s="317" customFormat="1" ht="128.25" outlineLevel="3" thickBot="1" x14ac:dyDescent="0.25">
      <c r="A646" s="200" t="s">
        <v>1431</v>
      </c>
      <c r="B646" s="147" t="s">
        <v>704</v>
      </c>
      <c r="C646" s="194"/>
      <c r="D646" s="414" t="s">
        <v>706</v>
      </c>
      <c r="E646" s="337" t="s">
        <v>275</v>
      </c>
      <c r="F646" s="337" t="s">
        <v>707</v>
      </c>
      <c r="G646" s="337" t="s">
        <v>1338</v>
      </c>
      <c r="H646" s="148" t="s">
        <v>238</v>
      </c>
      <c r="I646" s="149">
        <v>1</v>
      </c>
      <c r="J646" s="150" t="s">
        <v>675</v>
      </c>
      <c r="K646" s="151" t="s">
        <v>338</v>
      </c>
      <c r="L646" s="152">
        <v>1</v>
      </c>
      <c r="M646" s="153">
        <f t="shared" si="142"/>
        <v>1</v>
      </c>
      <c r="N646" s="133" t="s">
        <v>291</v>
      </c>
      <c r="O646" s="155" t="s">
        <v>242</v>
      </c>
      <c r="P646" s="152">
        <v>5</v>
      </c>
      <c r="Q646" s="156">
        <f t="shared" si="143"/>
        <v>5</v>
      </c>
      <c r="R646" s="428"/>
      <c r="S646" s="428"/>
      <c r="T646" s="133"/>
      <c r="U646" s="405"/>
      <c r="V646" s="135"/>
      <c r="W646" s="133"/>
      <c r="X646" s="405"/>
      <c r="Y646" s="405"/>
      <c r="Z646" s="135"/>
      <c r="AA646" s="136"/>
      <c r="AB646" s="111"/>
      <c r="AC646" s="368"/>
      <c r="AD646" s="226">
        <f t="shared" ref="AD646:AD709" si="145">VALUE(RIGHT((IF(A646="",0,A646)),5))</f>
        <v>6966</v>
      </c>
      <c r="AE646" s="264"/>
    </row>
    <row r="647" spans="1:31" s="317" customFormat="1" ht="115.5" outlineLevel="3" thickBot="1" x14ac:dyDescent="0.25">
      <c r="A647" s="200" t="s">
        <v>1432</v>
      </c>
      <c r="B647" s="147"/>
      <c r="C647" s="194"/>
      <c r="D647" s="414"/>
      <c r="E647" s="337" t="s">
        <v>279</v>
      </c>
      <c r="F647" s="337" t="s">
        <v>1149</v>
      </c>
      <c r="G647" s="337" t="s">
        <v>1344</v>
      </c>
      <c r="H647" s="148" t="s">
        <v>238</v>
      </c>
      <c r="I647" s="149">
        <v>1</v>
      </c>
      <c r="J647" s="150" t="s">
        <v>784</v>
      </c>
      <c r="K647" s="130" t="s">
        <v>682</v>
      </c>
      <c r="L647" s="152">
        <v>1</v>
      </c>
      <c r="M647" s="153">
        <f t="shared" si="142"/>
        <v>1</v>
      </c>
      <c r="N647" s="133" t="s">
        <v>291</v>
      </c>
      <c r="O647" s="155" t="s">
        <v>242</v>
      </c>
      <c r="P647" s="152">
        <v>5</v>
      </c>
      <c r="Q647" s="156">
        <f t="shared" si="143"/>
        <v>5</v>
      </c>
      <c r="R647" s="428"/>
      <c r="S647" s="428"/>
      <c r="T647" s="133"/>
      <c r="U647" s="405"/>
      <c r="V647" s="135"/>
      <c r="W647" s="133"/>
      <c r="X647" s="405"/>
      <c r="Y647" s="405"/>
      <c r="Z647" s="135"/>
      <c r="AA647" s="136"/>
      <c r="AB647" s="111"/>
      <c r="AC647" s="368"/>
      <c r="AD647" s="226">
        <f t="shared" si="145"/>
        <v>6967</v>
      </c>
      <c r="AE647" s="264"/>
    </row>
    <row r="648" spans="1:31" ht="141" outlineLevel="3" thickBot="1" x14ac:dyDescent="0.25">
      <c r="A648" s="200" t="s">
        <v>1433</v>
      </c>
      <c r="B648" s="147" t="s">
        <v>765</v>
      </c>
      <c r="C648" s="194"/>
      <c r="D648" s="414" t="s">
        <v>767</v>
      </c>
      <c r="E648" s="337" t="s">
        <v>768</v>
      </c>
      <c r="F648" s="337" t="s">
        <v>1335</v>
      </c>
      <c r="G648" s="337" t="s">
        <v>1344</v>
      </c>
      <c r="H648" s="148" t="s">
        <v>238</v>
      </c>
      <c r="I648" s="149">
        <v>1</v>
      </c>
      <c r="J648" s="150" t="s">
        <v>784</v>
      </c>
      <c r="K648" s="130" t="s">
        <v>682</v>
      </c>
      <c r="L648" s="152">
        <v>1</v>
      </c>
      <c r="M648" s="153">
        <f t="shared" si="142"/>
        <v>1</v>
      </c>
      <c r="N648" s="133" t="s">
        <v>291</v>
      </c>
      <c r="O648" s="155" t="s">
        <v>242</v>
      </c>
      <c r="P648" s="152">
        <v>5</v>
      </c>
      <c r="Q648" s="156">
        <f t="shared" si="143"/>
        <v>5</v>
      </c>
      <c r="R648" s="428"/>
      <c r="S648" s="428"/>
      <c r="T648" s="133"/>
      <c r="U648" s="405"/>
      <c r="V648" s="135"/>
      <c r="W648" s="133"/>
      <c r="X648" s="405"/>
      <c r="Y648" s="405"/>
      <c r="Z648" s="135"/>
      <c r="AA648" s="136"/>
      <c r="AB648" s="111"/>
      <c r="AC648" s="363"/>
      <c r="AD648" s="226">
        <f t="shared" si="145"/>
        <v>6968</v>
      </c>
    </row>
    <row r="649" spans="1:31" s="317" customFormat="1" ht="21" outlineLevel="1" thickBot="1" x14ac:dyDescent="0.25">
      <c r="A649" s="199"/>
      <c r="B649" s="77" t="s">
        <v>1434</v>
      </c>
      <c r="C649" s="189"/>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9"/>
      <c r="AC649" s="368"/>
      <c r="AD649" s="226">
        <f t="shared" si="145"/>
        <v>0</v>
      </c>
      <c r="AE649" s="264"/>
    </row>
    <row r="650" spans="1:31" s="317" customFormat="1" ht="21" outlineLevel="2" thickBot="1" x14ac:dyDescent="0.25">
      <c r="A650" s="199"/>
      <c r="B650" s="117" t="s">
        <v>230</v>
      </c>
      <c r="C650" s="190"/>
      <c r="D650" s="118"/>
      <c r="E650" s="118"/>
      <c r="F650" s="118"/>
      <c r="G650" s="118"/>
      <c r="H650" s="118"/>
      <c r="I650" s="118"/>
      <c r="J650" s="118"/>
      <c r="K650" s="118"/>
      <c r="L650" s="118"/>
      <c r="M650" s="118"/>
      <c r="N650" s="118"/>
      <c r="O650" s="118"/>
      <c r="P650" s="118"/>
      <c r="Q650" s="118"/>
      <c r="R650" s="118"/>
      <c r="S650" s="118"/>
      <c r="T650" s="118"/>
      <c r="U650" s="118"/>
      <c r="V650" s="118"/>
      <c r="W650" s="118"/>
      <c r="X650" s="118"/>
      <c r="Y650" s="118"/>
      <c r="Z650" s="118"/>
      <c r="AA650" s="118"/>
      <c r="AB650" s="119"/>
      <c r="AC650" s="368"/>
      <c r="AD650" s="226">
        <f t="shared" si="145"/>
        <v>0</v>
      </c>
      <c r="AE650" s="264"/>
    </row>
    <row r="651" spans="1:31" s="317" customFormat="1" ht="115.5" outlineLevel="3" thickBot="1" x14ac:dyDescent="0.25">
      <c r="A651" s="199" t="s">
        <v>1435</v>
      </c>
      <c r="B651" s="505" t="s">
        <v>247</v>
      </c>
      <c r="C651" s="505" t="s">
        <v>248</v>
      </c>
      <c r="D651" s="505" t="s">
        <v>249</v>
      </c>
      <c r="E651" s="417" t="s">
        <v>250</v>
      </c>
      <c r="F651" s="417" t="s">
        <v>992</v>
      </c>
      <c r="G651" s="405" t="s">
        <v>1436</v>
      </c>
      <c r="H651" s="127" t="s">
        <v>238</v>
      </c>
      <c r="I651" s="128">
        <v>1</v>
      </c>
      <c r="J651" s="163" t="s">
        <v>775</v>
      </c>
      <c r="K651" s="130" t="s">
        <v>682</v>
      </c>
      <c r="L651" s="131">
        <v>1</v>
      </c>
      <c r="M651" s="132">
        <f t="shared" ref="M651:M736" si="146">I651*L651</f>
        <v>1</v>
      </c>
      <c r="N651" s="133" t="s">
        <v>291</v>
      </c>
      <c r="O651" s="69" t="s">
        <v>242</v>
      </c>
      <c r="P651" s="131">
        <v>5</v>
      </c>
      <c r="Q651" s="134">
        <f t="shared" ref="Q651:Q736" si="147">I651*L651*P651</f>
        <v>5</v>
      </c>
      <c r="R651" s="428"/>
      <c r="S651" s="428"/>
      <c r="T651" s="133"/>
      <c r="U651" s="405"/>
      <c r="V651" s="135"/>
      <c r="W651" s="133"/>
      <c r="X651" s="405"/>
      <c r="Y651" s="405"/>
      <c r="Z651" s="135"/>
      <c r="AA651" s="136"/>
      <c r="AB651" s="111"/>
      <c r="AC651" s="368"/>
      <c r="AD651" s="226">
        <f t="shared" si="145"/>
        <v>5528</v>
      </c>
      <c r="AE651" s="264"/>
    </row>
    <row r="652" spans="1:31" s="325" customFormat="1" ht="115.5" outlineLevel="3" thickBot="1" x14ac:dyDescent="0.25">
      <c r="A652" s="199" t="s">
        <v>1437</v>
      </c>
      <c r="B652" s="484"/>
      <c r="C652" s="484"/>
      <c r="D652" s="484"/>
      <c r="E652" s="417" t="s">
        <v>255</v>
      </c>
      <c r="F652" s="417" t="s">
        <v>1178</v>
      </c>
      <c r="G652" s="405" t="s">
        <v>1436</v>
      </c>
      <c r="H652" s="127" t="s">
        <v>238</v>
      </c>
      <c r="I652" s="128">
        <v>1</v>
      </c>
      <c r="J652" s="163" t="s">
        <v>257</v>
      </c>
      <c r="K652" s="130" t="s">
        <v>682</v>
      </c>
      <c r="L652" s="131">
        <v>1</v>
      </c>
      <c r="M652" s="132">
        <f t="shared" si="146"/>
        <v>1</v>
      </c>
      <c r="N652" s="133" t="s">
        <v>291</v>
      </c>
      <c r="O652" s="69" t="s">
        <v>242</v>
      </c>
      <c r="P652" s="131">
        <v>5</v>
      </c>
      <c r="Q652" s="134">
        <f t="shared" si="147"/>
        <v>5</v>
      </c>
      <c r="R652" s="428"/>
      <c r="S652" s="428"/>
      <c r="T652" s="133"/>
      <c r="U652" s="405"/>
      <c r="V652" s="135"/>
      <c r="W652" s="133"/>
      <c r="X652" s="405"/>
      <c r="Y652" s="405"/>
      <c r="Z652" s="135"/>
      <c r="AA652" s="136"/>
      <c r="AB652" s="111"/>
      <c r="AC652" s="375"/>
      <c r="AD652" s="226">
        <f t="shared" si="145"/>
        <v>5529</v>
      </c>
      <c r="AE652" s="360"/>
    </row>
    <row r="653" spans="1:31" s="317" customFormat="1" ht="115.5" outlineLevel="3" thickBot="1" x14ac:dyDescent="0.25">
      <c r="A653" s="199" t="s">
        <v>1438</v>
      </c>
      <c r="B653" s="484"/>
      <c r="C653" s="484"/>
      <c r="D653" s="484"/>
      <c r="E653" s="405" t="s">
        <v>260</v>
      </c>
      <c r="F653" s="405" t="s">
        <v>261</v>
      </c>
      <c r="G653" s="405" t="s">
        <v>1436</v>
      </c>
      <c r="H653" s="127" t="s">
        <v>238</v>
      </c>
      <c r="I653" s="164">
        <v>1</v>
      </c>
      <c r="J653" s="163" t="s">
        <v>257</v>
      </c>
      <c r="K653" s="130" t="s">
        <v>682</v>
      </c>
      <c r="L653" s="131">
        <v>1</v>
      </c>
      <c r="M653" s="132">
        <f>L653*I653</f>
        <v>1</v>
      </c>
      <c r="N653" s="133" t="s">
        <v>291</v>
      </c>
      <c r="O653" s="69" t="s">
        <v>242</v>
      </c>
      <c r="P653" s="138">
        <v>5</v>
      </c>
      <c r="Q653" s="134">
        <f>P653*L653*I653</f>
        <v>5</v>
      </c>
      <c r="R653" s="428"/>
      <c r="S653" s="428"/>
      <c r="T653" s="133"/>
      <c r="U653" s="405"/>
      <c r="V653" s="135"/>
      <c r="W653" s="133"/>
      <c r="X653" s="405"/>
      <c r="Y653" s="405"/>
      <c r="Z653" s="135"/>
      <c r="AA653" s="136"/>
      <c r="AB653" s="111"/>
      <c r="AC653" s="368"/>
      <c r="AD653" s="226">
        <f t="shared" si="145"/>
        <v>6969</v>
      </c>
      <c r="AE653" s="264"/>
    </row>
    <row r="654" spans="1:31" s="251" customFormat="1" ht="294" outlineLevel="3" thickBot="1" x14ac:dyDescent="0.25">
      <c r="A654" s="252" t="s">
        <v>1439</v>
      </c>
      <c r="B654" s="484"/>
      <c r="C654" s="484"/>
      <c r="D654" s="484"/>
      <c r="E654" s="319" t="s">
        <v>1440</v>
      </c>
      <c r="F654" s="319" t="s">
        <v>781</v>
      </c>
      <c r="G654" s="415" t="s">
        <v>1441</v>
      </c>
      <c r="H654" s="255" t="s">
        <v>1442</v>
      </c>
      <c r="I654" s="265">
        <v>2</v>
      </c>
      <c r="J654" s="253" t="s">
        <v>775</v>
      </c>
      <c r="K654" s="130" t="s">
        <v>682</v>
      </c>
      <c r="L654" s="265">
        <v>1</v>
      </c>
      <c r="M654" s="320">
        <f t="shared" ref="M654:M655" si="148">I654*L654</f>
        <v>2</v>
      </c>
      <c r="N654" s="248" t="s">
        <v>291</v>
      </c>
      <c r="O654" s="257" t="s">
        <v>1443</v>
      </c>
      <c r="P654" s="265">
        <v>2</v>
      </c>
      <c r="Q654" s="259">
        <f>P654*L654*I654</f>
        <v>4</v>
      </c>
      <c r="R654" s="428" t="s">
        <v>1444</v>
      </c>
      <c r="S654" s="428" t="s">
        <v>1445</v>
      </c>
      <c r="T654" s="133"/>
      <c r="U654" s="405"/>
      <c r="V654" s="135"/>
      <c r="W654" s="133"/>
      <c r="X654" s="405"/>
      <c r="Y654" s="405"/>
      <c r="Z654" s="135"/>
      <c r="AA654" s="136"/>
      <c r="AB654" s="111"/>
      <c r="AC654" s="365"/>
      <c r="AD654" s="226">
        <f t="shared" si="145"/>
        <v>6970</v>
      </c>
      <c r="AE654" s="352"/>
    </row>
    <row r="655" spans="1:31" s="303" customFormat="1" ht="153.75" outlineLevel="3" thickBot="1" x14ac:dyDescent="0.25">
      <c r="A655" s="252" t="s">
        <v>1446</v>
      </c>
      <c r="B655" s="480"/>
      <c r="C655" s="480"/>
      <c r="D655" s="480"/>
      <c r="E655" s="319" t="s">
        <v>1447</v>
      </c>
      <c r="F655" s="319" t="s">
        <v>781</v>
      </c>
      <c r="G655" s="415" t="s">
        <v>1448</v>
      </c>
      <c r="H655" s="255" t="s">
        <v>1449</v>
      </c>
      <c r="I655" s="265">
        <v>4</v>
      </c>
      <c r="J655" s="253" t="s">
        <v>775</v>
      </c>
      <c r="K655" s="130" t="s">
        <v>682</v>
      </c>
      <c r="L655" s="265">
        <v>1</v>
      </c>
      <c r="M655" s="320">
        <f t="shared" si="148"/>
        <v>4</v>
      </c>
      <c r="N655" s="248" t="s">
        <v>291</v>
      </c>
      <c r="O655" s="257" t="s">
        <v>1443</v>
      </c>
      <c r="P655" s="265">
        <v>2</v>
      </c>
      <c r="Q655" s="259">
        <f>P655*L655*I655</f>
        <v>8</v>
      </c>
      <c r="R655" s="428" t="s">
        <v>1444</v>
      </c>
      <c r="S655" s="428" t="s">
        <v>1445</v>
      </c>
      <c r="T655" s="133"/>
      <c r="U655" s="405"/>
      <c r="V655" s="135"/>
      <c r="W655" s="133"/>
      <c r="X655" s="405"/>
      <c r="Y655" s="405"/>
      <c r="Z655" s="135"/>
      <c r="AA655" s="136"/>
      <c r="AB655" s="111"/>
      <c r="AC655" s="367"/>
      <c r="AD655" s="226">
        <f t="shared" si="145"/>
        <v>11017</v>
      </c>
      <c r="AE655" s="239"/>
    </row>
    <row r="656" spans="1:31" s="303" customFormat="1" ht="294" outlineLevel="3" thickBot="1" x14ac:dyDescent="0.25">
      <c r="A656" s="252" t="s">
        <v>1450</v>
      </c>
      <c r="B656" s="479" t="s">
        <v>266</v>
      </c>
      <c r="C656" s="479" t="s">
        <v>267</v>
      </c>
      <c r="D656" s="479" t="s">
        <v>268</v>
      </c>
      <c r="E656" s="321" t="s">
        <v>269</v>
      </c>
      <c r="F656" s="319" t="s">
        <v>1002</v>
      </c>
      <c r="G656" s="415" t="s">
        <v>1441</v>
      </c>
      <c r="H656" s="255" t="s">
        <v>1442</v>
      </c>
      <c r="I656" s="265">
        <v>2</v>
      </c>
      <c r="J656" s="253" t="s">
        <v>1451</v>
      </c>
      <c r="K656" s="247" t="s">
        <v>1452</v>
      </c>
      <c r="L656" s="258">
        <v>1</v>
      </c>
      <c r="M656" s="256">
        <f t="shared" si="146"/>
        <v>2</v>
      </c>
      <c r="N656" s="248" t="s">
        <v>291</v>
      </c>
      <c r="O656" s="257" t="s">
        <v>1443</v>
      </c>
      <c r="P656" s="265">
        <v>2</v>
      </c>
      <c r="Q656" s="259">
        <f t="shared" si="147"/>
        <v>4</v>
      </c>
      <c r="R656" s="428" t="s">
        <v>1444</v>
      </c>
      <c r="S656" s="428" t="s">
        <v>1445</v>
      </c>
      <c r="T656" s="133"/>
      <c r="U656" s="405"/>
      <c r="V656" s="135"/>
      <c r="W656" s="133"/>
      <c r="X656" s="405"/>
      <c r="Y656" s="405"/>
      <c r="Z656" s="135"/>
      <c r="AA656" s="136"/>
      <c r="AB656" s="111"/>
      <c r="AC656" s="367"/>
      <c r="AD656" s="226">
        <f t="shared" si="145"/>
        <v>5530</v>
      </c>
      <c r="AE656" s="239"/>
    </row>
    <row r="657" spans="1:30" ht="153.75" outlineLevel="3" thickBot="1" x14ac:dyDescent="0.25">
      <c r="A657" s="252" t="s">
        <v>1453</v>
      </c>
      <c r="B657" s="480"/>
      <c r="C657" s="480"/>
      <c r="D657" s="480"/>
      <c r="E657" s="321" t="s">
        <v>1454</v>
      </c>
      <c r="F657" s="321" t="s">
        <v>1002</v>
      </c>
      <c r="G657" s="415" t="s">
        <v>1448</v>
      </c>
      <c r="H657" s="255" t="s">
        <v>1449</v>
      </c>
      <c r="I657" s="265">
        <v>4</v>
      </c>
      <c r="J657" s="253" t="s">
        <v>1451</v>
      </c>
      <c r="K657" s="247" t="s">
        <v>1452</v>
      </c>
      <c r="L657" s="265">
        <v>1</v>
      </c>
      <c r="M657" s="320">
        <f t="shared" si="146"/>
        <v>4</v>
      </c>
      <c r="N657" s="248" t="s">
        <v>291</v>
      </c>
      <c r="O657" s="257" t="s">
        <v>1443</v>
      </c>
      <c r="P657" s="265">
        <v>2</v>
      </c>
      <c r="Q657" s="259">
        <f>P657*L657*I657</f>
        <v>8</v>
      </c>
      <c r="R657" s="428" t="s">
        <v>1444</v>
      </c>
      <c r="S657" s="428" t="s">
        <v>1445</v>
      </c>
      <c r="T657" s="133"/>
      <c r="U657" s="405"/>
      <c r="V657" s="135"/>
      <c r="W657" s="133"/>
      <c r="X657" s="405"/>
      <c r="Y657" s="405"/>
      <c r="Z657" s="135"/>
      <c r="AA657" s="136"/>
      <c r="AB657" s="111"/>
      <c r="AC657" s="226"/>
      <c r="AD657" s="226">
        <f t="shared" si="145"/>
        <v>11018</v>
      </c>
    </row>
    <row r="658" spans="1:30" ht="115.5" outlineLevel="3" thickBot="1" x14ac:dyDescent="0.25">
      <c r="A658" s="199" t="s">
        <v>1455</v>
      </c>
      <c r="B658" s="477" t="s">
        <v>272</v>
      </c>
      <c r="C658" s="479" t="s">
        <v>273</v>
      </c>
      <c r="D658" s="477" t="s">
        <v>274</v>
      </c>
      <c r="E658" s="417" t="s">
        <v>275</v>
      </c>
      <c r="F658" s="417" t="s">
        <v>1456</v>
      </c>
      <c r="G658" s="405" t="s">
        <v>1436</v>
      </c>
      <c r="H658" s="127" t="s">
        <v>238</v>
      </c>
      <c r="I658" s="164">
        <v>1</v>
      </c>
      <c r="J658" s="163" t="s">
        <v>277</v>
      </c>
      <c r="K658" s="130" t="s">
        <v>682</v>
      </c>
      <c r="L658" s="131">
        <v>1</v>
      </c>
      <c r="M658" s="132">
        <f t="shared" si="146"/>
        <v>1</v>
      </c>
      <c r="N658" s="133" t="s">
        <v>291</v>
      </c>
      <c r="O658" s="69" t="s">
        <v>242</v>
      </c>
      <c r="P658" s="131">
        <v>5</v>
      </c>
      <c r="Q658" s="134">
        <f t="shared" si="147"/>
        <v>5</v>
      </c>
      <c r="R658" s="428"/>
      <c r="S658" s="428"/>
      <c r="T658" s="133"/>
      <c r="U658" s="405"/>
      <c r="V658" s="135"/>
      <c r="W658" s="133"/>
      <c r="X658" s="405"/>
      <c r="Y658" s="405"/>
      <c r="Z658" s="135"/>
      <c r="AA658" s="136"/>
      <c r="AB658" s="111"/>
      <c r="AC658" s="363"/>
      <c r="AD658" s="226">
        <f t="shared" si="145"/>
        <v>5531</v>
      </c>
    </row>
    <row r="659" spans="1:30" ht="294" outlineLevel="3" thickBot="1" x14ac:dyDescent="0.25">
      <c r="A659" s="252" t="s">
        <v>1457</v>
      </c>
      <c r="B659" s="483"/>
      <c r="C659" s="484"/>
      <c r="D659" s="483"/>
      <c r="E659" s="416" t="s">
        <v>279</v>
      </c>
      <c r="F659" s="415" t="s">
        <v>280</v>
      </c>
      <c r="G659" s="415" t="s">
        <v>1441</v>
      </c>
      <c r="H659" s="255" t="s">
        <v>1442</v>
      </c>
      <c r="I659" s="265">
        <v>2</v>
      </c>
      <c r="J659" s="253" t="s">
        <v>1458</v>
      </c>
      <c r="K659" s="247" t="s">
        <v>1007</v>
      </c>
      <c r="L659" s="258">
        <v>1</v>
      </c>
      <c r="M659" s="256">
        <f t="shared" si="146"/>
        <v>2</v>
      </c>
      <c r="N659" s="248" t="s">
        <v>1459</v>
      </c>
      <c r="O659" s="257" t="s">
        <v>1443</v>
      </c>
      <c r="P659" s="265">
        <v>2</v>
      </c>
      <c r="Q659" s="259">
        <f t="shared" si="147"/>
        <v>4</v>
      </c>
      <c r="R659" s="428" t="s">
        <v>1444</v>
      </c>
      <c r="S659" s="428" t="s">
        <v>1445</v>
      </c>
      <c r="T659" s="133"/>
      <c r="U659" s="405"/>
      <c r="V659" s="135"/>
      <c r="W659" s="133"/>
      <c r="X659" s="405"/>
      <c r="Y659" s="405"/>
      <c r="Z659" s="135"/>
      <c r="AA659" s="136"/>
      <c r="AB659" s="111"/>
      <c r="AC659" s="226"/>
      <c r="AD659" s="226">
        <f t="shared" si="145"/>
        <v>5532</v>
      </c>
    </row>
    <row r="660" spans="1:30" ht="166.5" outlineLevel="3" thickBot="1" x14ac:dyDescent="0.25">
      <c r="A660" s="322" t="s">
        <v>1460</v>
      </c>
      <c r="B660" s="478"/>
      <c r="C660" s="480"/>
      <c r="D660" s="478"/>
      <c r="E660" s="416" t="s">
        <v>1461</v>
      </c>
      <c r="F660" s="415" t="s">
        <v>280</v>
      </c>
      <c r="G660" s="428" t="s">
        <v>1462</v>
      </c>
      <c r="H660" s="255" t="s">
        <v>1449</v>
      </c>
      <c r="I660" s="265">
        <v>4</v>
      </c>
      <c r="J660" s="253" t="s">
        <v>1458</v>
      </c>
      <c r="K660" s="247" t="s">
        <v>1007</v>
      </c>
      <c r="L660" s="258">
        <v>1</v>
      </c>
      <c r="M660" s="256">
        <f t="shared" si="146"/>
        <v>4</v>
      </c>
      <c r="N660" s="248" t="s">
        <v>1463</v>
      </c>
      <c r="O660" s="257" t="s">
        <v>1443</v>
      </c>
      <c r="P660" s="265">
        <v>2</v>
      </c>
      <c r="Q660" s="259">
        <f t="shared" si="147"/>
        <v>8</v>
      </c>
      <c r="R660" s="428" t="s">
        <v>1444</v>
      </c>
      <c r="S660" s="428" t="s">
        <v>1445</v>
      </c>
      <c r="T660" s="133"/>
      <c r="U660" s="405"/>
      <c r="V660" s="135"/>
      <c r="W660" s="133"/>
      <c r="X660" s="405"/>
      <c r="Y660" s="405"/>
      <c r="Z660" s="135"/>
      <c r="AA660" s="136"/>
      <c r="AB660" s="111"/>
      <c r="AC660" s="226"/>
      <c r="AD660" s="226">
        <f t="shared" si="145"/>
        <v>11019</v>
      </c>
    </row>
    <row r="661" spans="1:30" ht="294" outlineLevel="3" thickBot="1" x14ac:dyDescent="0.25">
      <c r="A661" s="243" t="s">
        <v>1464</v>
      </c>
      <c r="B661" s="489" t="s">
        <v>285</v>
      </c>
      <c r="C661" s="486" t="s">
        <v>286</v>
      </c>
      <c r="D661" s="489" t="s">
        <v>287</v>
      </c>
      <c r="E661" s="323" t="s">
        <v>288</v>
      </c>
      <c r="F661" s="416" t="s">
        <v>289</v>
      </c>
      <c r="G661" s="313" t="s">
        <v>1441</v>
      </c>
      <c r="H661" s="255" t="s">
        <v>1442</v>
      </c>
      <c r="I661" s="265">
        <v>2</v>
      </c>
      <c r="J661" s="253" t="s">
        <v>1465</v>
      </c>
      <c r="K661" s="247" t="s">
        <v>338</v>
      </c>
      <c r="L661" s="265">
        <v>2</v>
      </c>
      <c r="M661" s="256">
        <f t="shared" si="146"/>
        <v>4</v>
      </c>
      <c r="N661" s="248" t="s">
        <v>291</v>
      </c>
      <c r="O661" s="257" t="s">
        <v>1443</v>
      </c>
      <c r="P661" s="258">
        <v>2</v>
      </c>
      <c r="Q661" s="259">
        <f t="shared" si="147"/>
        <v>8</v>
      </c>
      <c r="R661" s="428" t="s">
        <v>1444</v>
      </c>
      <c r="S661" s="428" t="s">
        <v>1445</v>
      </c>
      <c r="T661" s="133"/>
      <c r="U661" s="405"/>
      <c r="V661" s="135"/>
      <c r="W661" s="133"/>
      <c r="X661" s="405"/>
      <c r="Y661" s="405"/>
      <c r="Z661" s="135"/>
      <c r="AA661" s="136"/>
      <c r="AB661" s="111"/>
      <c r="AC661" s="363"/>
      <c r="AD661" s="226">
        <f t="shared" si="145"/>
        <v>5533</v>
      </c>
    </row>
    <row r="662" spans="1:30" ht="166.5" outlineLevel="3" thickBot="1" x14ac:dyDescent="0.25">
      <c r="A662" s="252" t="s">
        <v>1466</v>
      </c>
      <c r="B662" s="496"/>
      <c r="C662" s="501"/>
      <c r="D662" s="582"/>
      <c r="E662" s="416" t="s">
        <v>1467</v>
      </c>
      <c r="F662" s="324" t="s">
        <v>289</v>
      </c>
      <c r="G662" s="428" t="s">
        <v>1462</v>
      </c>
      <c r="H662" s="255" t="s">
        <v>1449</v>
      </c>
      <c r="I662" s="265">
        <v>4</v>
      </c>
      <c r="J662" s="253" t="s">
        <v>1465</v>
      </c>
      <c r="K662" s="247" t="s">
        <v>338</v>
      </c>
      <c r="L662" s="265">
        <v>2</v>
      </c>
      <c r="M662" s="256">
        <v>4</v>
      </c>
      <c r="N662" s="248" t="s">
        <v>291</v>
      </c>
      <c r="O662" s="257" t="s">
        <v>1443</v>
      </c>
      <c r="P662" s="265">
        <v>2</v>
      </c>
      <c r="Q662" s="259">
        <f>P662*L662*I662</f>
        <v>16</v>
      </c>
      <c r="R662" s="428" t="s">
        <v>1444</v>
      </c>
      <c r="S662" s="428" t="s">
        <v>1445</v>
      </c>
      <c r="T662" s="133"/>
      <c r="U662" s="405"/>
      <c r="V662" s="135"/>
      <c r="W662" s="133"/>
      <c r="X662" s="405"/>
      <c r="Y662" s="405"/>
      <c r="Z662" s="135"/>
      <c r="AA662" s="136"/>
      <c r="AB662" s="111"/>
      <c r="AC662" s="226"/>
      <c r="AD662" s="226">
        <f t="shared" si="145"/>
        <v>11020</v>
      </c>
    </row>
    <row r="663" spans="1:30" ht="204.75" outlineLevel="3" thickBot="1" x14ac:dyDescent="0.25">
      <c r="A663" s="243" t="s">
        <v>1468</v>
      </c>
      <c r="B663" s="491"/>
      <c r="C663" s="487"/>
      <c r="D663" s="491"/>
      <c r="E663" s="415" t="s">
        <v>293</v>
      </c>
      <c r="F663" s="415" t="s">
        <v>294</v>
      </c>
      <c r="G663" s="405" t="s">
        <v>1436</v>
      </c>
      <c r="H663" s="255" t="s">
        <v>238</v>
      </c>
      <c r="I663" s="265">
        <v>2</v>
      </c>
      <c r="J663" s="253" t="s">
        <v>1469</v>
      </c>
      <c r="K663" s="247" t="s">
        <v>338</v>
      </c>
      <c r="L663" s="265">
        <v>2</v>
      </c>
      <c r="M663" s="256">
        <f t="shared" si="146"/>
        <v>4</v>
      </c>
      <c r="N663" s="248" t="s">
        <v>291</v>
      </c>
      <c r="O663" s="257" t="s">
        <v>242</v>
      </c>
      <c r="P663" s="265">
        <v>5</v>
      </c>
      <c r="Q663" s="259">
        <f t="shared" si="147"/>
        <v>20</v>
      </c>
      <c r="R663" s="428"/>
      <c r="S663" s="428"/>
      <c r="T663" s="133"/>
      <c r="U663" s="405"/>
      <c r="V663" s="135"/>
      <c r="W663" s="133"/>
      <c r="X663" s="405"/>
      <c r="Y663" s="405"/>
      <c r="Z663" s="135"/>
      <c r="AA663" s="136"/>
      <c r="AB663" s="111"/>
      <c r="AC663" s="226"/>
      <c r="AD663" s="226">
        <f t="shared" si="145"/>
        <v>5534</v>
      </c>
    </row>
    <row r="664" spans="1:30" ht="294" outlineLevel="3" thickBot="1" x14ac:dyDescent="0.25">
      <c r="A664" s="280" t="s">
        <v>1470</v>
      </c>
      <c r="B664" s="508" t="s">
        <v>297</v>
      </c>
      <c r="C664" s="511" t="s">
        <v>298</v>
      </c>
      <c r="D664" s="508" t="s">
        <v>299</v>
      </c>
      <c r="E664" s="432" t="s">
        <v>300</v>
      </c>
      <c r="F664" s="432" t="s">
        <v>301</v>
      </c>
      <c r="G664" s="432" t="s">
        <v>1441</v>
      </c>
      <c r="H664" s="432" t="s">
        <v>1442</v>
      </c>
      <c r="I664" s="282">
        <v>2</v>
      </c>
      <c r="J664" s="283" t="s">
        <v>302</v>
      </c>
      <c r="K664" s="247" t="s">
        <v>338</v>
      </c>
      <c r="L664" s="285">
        <v>1</v>
      </c>
      <c r="M664" s="286">
        <f t="shared" si="146"/>
        <v>2</v>
      </c>
      <c r="N664" s="287" t="s">
        <v>303</v>
      </c>
      <c r="O664" s="288" t="s">
        <v>242</v>
      </c>
      <c r="P664" s="289">
        <v>5</v>
      </c>
      <c r="Q664" s="290">
        <f>P664*L664*I664</f>
        <v>10</v>
      </c>
      <c r="R664" s="428"/>
      <c r="S664" s="428"/>
      <c r="T664" s="133"/>
      <c r="U664" s="405"/>
      <c r="V664" s="135"/>
      <c r="W664" s="133"/>
      <c r="X664" s="405"/>
      <c r="Y664" s="405"/>
      <c r="Z664" s="135"/>
      <c r="AA664" s="136"/>
      <c r="AB664" s="111"/>
      <c r="AC664" s="226"/>
      <c r="AD664" s="226">
        <f t="shared" si="145"/>
        <v>11021</v>
      </c>
    </row>
    <row r="665" spans="1:30" ht="166.5" outlineLevel="3" thickBot="1" x14ac:dyDescent="0.25">
      <c r="A665" s="280" t="s">
        <v>1471</v>
      </c>
      <c r="B665" s="509"/>
      <c r="C665" s="512"/>
      <c r="D665" s="509"/>
      <c r="E665" s="432" t="s">
        <v>1472</v>
      </c>
      <c r="F665" s="432" t="s">
        <v>301</v>
      </c>
      <c r="G665" s="428" t="s">
        <v>1462</v>
      </c>
      <c r="H665" s="432" t="s">
        <v>1449</v>
      </c>
      <c r="I665" s="432">
        <v>4</v>
      </c>
      <c r="J665" s="432" t="s">
        <v>302</v>
      </c>
      <c r="K665" s="247" t="s">
        <v>338</v>
      </c>
      <c r="L665" s="285">
        <v>1</v>
      </c>
      <c r="M665" s="286">
        <f t="shared" ref="M665" si="149">I665*L665</f>
        <v>4</v>
      </c>
      <c r="N665" s="287" t="s">
        <v>303</v>
      </c>
      <c r="O665" s="288" t="s">
        <v>1443</v>
      </c>
      <c r="P665" s="289">
        <v>2</v>
      </c>
      <c r="Q665" s="290">
        <f>P665*L665*I665</f>
        <v>8</v>
      </c>
      <c r="R665" s="428" t="s">
        <v>1444</v>
      </c>
      <c r="S665" s="428" t="s">
        <v>1445</v>
      </c>
      <c r="T665" s="133"/>
      <c r="U665" s="405"/>
      <c r="V665" s="135"/>
      <c r="W665" s="133"/>
      <c r="X665" s="405"/>
      <c r="Y665" s="405"/>
      <c r="Z665" s="135"/>
      <c r="AA665" s="136"/>
      <c r="AB665" s="111"/>
      <c r="AC665" s="226"/>
      <c r="AD665" s="226">
        <f t="shared" si="145"/>
        <v>11022</v>
      </c>
    </row>
    <row r="666" spans="1:30" ht="128.25" outlineLevel="3" thickBot="1" x14ac:dyDescent="0.25">
      <c r="A666" s="280" t="s">
        <v>1473</v>
      </c>
      <c r="B666" s="510"/>
      <c r="C666" s="513"/>
      <c r="D666" s="510"/>
      <c r="E666" s="432" t="s">
        <v>305</v>
      </c>
      <c r="F666" s="432" t="s">
        <v>795</v>
      </c>
      <c r="G666" s="405" t="s">
        <v>1436</v>
      </c>
      <c r="H666" s="281" t="s">
        <v>238</v>
      </c>
      <c r="I666" s="282">
        <v>2</v>
      </c>
      <c r="J666" s="283" t="s">
        <v>307</v>
      </c>
      <c r="K666" s="247" t="s">
        <v>338</v>
      </c>
      <c r="L666" s="285">
        <v>1</v>
      </c>
      <c r="M666" s="286">
        <f t="shared" si="146"/>
        <v>2</v>
      </c>
      <c r="N666" s="287" t="s">
        <v>303</v>
      </c>
      <c r="O666" s="288" t="s">
        <v>242</v>
      </c>
      <c r="P666" s="289">
        <v>5</v>
      </c>
      <c r="Q666" s="290">
        <f>P666*L666*I666</f>
        <v>10</v>
      </c>
      <c r="R666" s="428"/>
      <c r="S666" s="428"/>
      <c r="T666" s="133"/>
      <c r="U666" s="405"/>
      <c r="V666" s="135"/>
      <c r="W666" s="133"/>
      <c r="X666" s="405"/>
      <c r="Y666" s="405"/>
      <c r="Z666" s="135"/>
      <c r="AA666" s="136">
        <f t="shared" si="144"/>
        <v>0</v>
      </c>
      <c r="AB666" s="111"/>
      <c r="AC666" s="226"/>
      <c r="AD666" s="226">
        <f t="shared" si="145"/>
        <v>11023</v>
      </c>
    </row>
    <row r="667" spans="1:30" ht="294" outlineLevel="3" thickBot="1" x14ac:dyDescent="0.25">
      <c r="A667" s="199" t="s">
        <v>1474</v>
      </c>
      <c r="B667" s="477" t="s">
        <v>1475</v>
      </c>
      <c r="C667" s="479" t="s">
        <v>310</v>
      </c>
      <c r="D667" s="477" t="s">
        <v>1476</v>
      </c>
      <c r="E667" s="412" t="s">
        <v>300</v>
      </c>
      <c r="F667" s="403" t="s">
        <v>301</v>
      </c>
      <c r="G667" s="405" t="s">
        <v>1441</v>
      </c>
      <c r="H667" s="420" t="s">
        <v>1442</v>
      </c>
      <c r="I667" s="164">
        <v>2</v>
      </c>
      <c r="J667" s="163" t="s">
        <v>1477</v>
      </c>
      <c r="K667" s="165" t="s">
        <v>338</v>
      </c>
      <c r="L667" s="138">
        <v>1</v>
      </c>
      <c r="M667" s="166">
        <f t="shared" si="146"/>
        <v>2</v>
      </c>
      <c r="N667" s="133" t="s">
        <v>1478</v>
      </c>
      <c r="O667" s="420" t="s">
        <v>1443</v>
      </c>
      <c r="P667" s="164">
        <v>2</v>
      </c>
      <c r="Q667" s="225">
        <f t="shared" si="147"/>
        <v>4</v>
      </c>
      <c r="R667" s="428" t="s">
        <v>1444</v>
      </c>
      <c r="S667" s="428" t="s">
        <v>1445</v>
      </c>
      <c r="T667" s="133"/>
      <c r="U667" s="405"/>
      <c r="V667" s="135"/>
      <c r="W667" s="133"/>
      <c r="X667" s="405"/>
      <c r="Y667" s="405"/>
      <c r="Z667" s="135"/>
      <c r="AA667" s="136">
        <f t="shared" si="144"/>
        <v>0</v>
      </c>
      <c r="AB667" s="111"/>
      <c r="AC667" s="226"/>
      <c r="AD667" s="226">
        <f t="shared" si="145"/>
        <v>5535</v>
      </c>
    </row>
    <row r="668" spans="1:30" ht="166.5" outlineLevel="3" thickBot="1" x14ac:dyDescent="0.25">
      <c r="A668" s="199" t="s">
        <v>1479</v>
      </c>
      <c r="B668" s="483"/>
      <c r="C668" s="484"/>
      <c r="D668" s="483"/>
      <c r="E668" s="412" t="s">
        <v>1472</v>
      </c>
      <c r="F668" s="403" t="s">
        <v>301</v>
      </c>
      <c r="G668" s="428" t="s">
        <v>1462</v>
      </c>
      <c r="H668" s="420" t="s">
        <v>1449</v>
      </c>
      <c r="I668" s="164">
        <v>4</v>
      </c>
      <c r="J668" s="163" t="s">
        <v>1477</v>
      </c>
      <c r="K668" s="165" t="s">
        <v>338</v>
      </c>
      <c r="L668" s="164">
        <v>1</v>
      </c>
      <c r="M668" s="166">
        <f t="shared" si="146"/>
        <v>4</v>
      </c>
      <c r="N668" s="133" t="s">
        <v>1478</v>
      </c>
      <c r="O668" s="420" t="s">
        <v>1443</v>
      </c>
      <c r="P668" s="164">
        <v>2</v>
      </c>
      <c r="Q668" s="225">
        <f>P668*L668*I668</f>
        <v>8</v>
      </c>
      <c r="R668" s="428" t="s">
        <v>1444</v>
      </c>
      <c r="S668" s="428" t="s">
        <v>1445</v>
      </c>
      <c r="T668" s="133"/>
      <c r="U668" s="405"/>
      <c r="V668" s="135"/>
      <c r="W668" s="133"/>
      <c r="X668" s="405"/>
      <c r="Y668" s="405"/>
      <c r="Z668" s="135"/>
      <c r="AA668" s="136">
        <f t="shared" ref="AA668" si="150">X668*Y668*Z668</f>
        <v>0</v>
      </c>
      <c r="AB668" s="111"/>
      <c r="AC668" s="226"/>
      <c r="AD668" s="226">
        <f t="shared" si="145"/>
        <v>11024</v>
      </c>
    </row>
    <row r="669" spans="1:30" ht="153.75" outlineLevel="3" thickBot="1" x14ac:dyDescent="0.25">
      <c r="A669" s="199" t="s">
        <v>1480</v>
      </c>
      <c r="B669" s="478"/>
      <c r="C669" s="480"/>
      <c r="D669" s="478"/>
      <c r="E669" s="404" t="s">
        <v>314</v>
      </c>
      <c r="F669" s="411" t="s">
        <v>315</v>
      </c>
      <c r="G669" s="405" t="s">
        <v>1436</v>
      </c>
      <c r="H669" s="420" t="s">
        <v>238</v>
      </c>
      <c r="I669" s="164">
        <v>1</v>
      </c>
      <c r="J669" s="163" t="s">
        <v>1481</v>
      </c>
      <c r="K669" s="165" t="s">
        <v>1482</v>
      </c>
      <c r="L669" s="138">
        <v>1</v>
      </c>
      <c r="M669" s="166">
        <f t="shared" si="146"/>
        <v>1</v>
      </c>
      <c r="N669" s="133" t="s">
        <v>1483</v>
      </c>
      <c r="O669" s="420" t="s">
        <v>242</v>
      </c>
      <c r="P669" s="164">
        <v>5</v>
      </c>
      <c r="Q669" s="225">
        <f t="shared" si="147"/>
        <v>5</v>
      </c>
      <c r="R669" s="428"/>
      <c r="S669" s="428"/>
      <c r="T669" s="133"/>
      <c r="U669" s="405"/>
      <c r="V669" s="135"/>
      <c r="W669" s="133"/>
      <c r="X669" s="405"/>
      <c r="Y669" s="405"/>
      <c r="Z669" s="135"/>
      <c r="AA669" s="136"/>
      <c r="AB669" s="111"/>
      <c r="AC669" s="226"/>
      <c r="AD669" s="226">
        <f t="shared" si="145"/>
        <v>5536</v>
      </c>
    </row>
    <row r="670" spans="1:30" ht="294" outlineLevel="3" thickBot="1" x14ac:dyDescent="0.25">
      <c r="A670" s="199" t="s">
        <v>1484</v>
      </c>
      <c r="B670" s="404"/>
      <c r="C670" s="407"/>
      <c r="D670" s="404"/>
      <c r="E670" s="405" t="s">
        <v>319</v>
      </c>
      <c r="F670" s="405" t="s">
        <v>320</v>
      </c>
      <c r="G670" s="405" t="s">
        <v>1441</v>
      </c>
      <c r="H670" s="420" t="s">
        <v>1442</v>
      </c>
      <c r="I670" s="164">
        <v>2</v>
      </c>
      <c r="J670" s="163" t="s">
        <v>316</v>
      </c>
      <c r="K670" s="165" t="s">
        <v>321</v>
      </c>
      <c r="L670" s="138">
        <v>1</v>
      </c>
      <c r="M670" s="166">
        <f t="shared" si="146"/>
        <v>2</v>
      </c>
      <c r="N670" s="133" t="s">
        <v>303</v>
      </c>
      <c r="O670" s="420" t="s">
        <v>1443</v>
      </c>
      <c r="P670" s="138">
        <v>2</v>
      </c>
      <c r="Q670" s="225">
        <f t="shared" ref="Q670:Q671" si="151">I670*L670*P670</f>
        <v>4</v>
      </c>
      <c r="R670" s="428" t="s">
        <v>1444</v>
      </c>
      <c r="S670" s="428" t="s">
        <v>1445</v>
      </c>
      <c r="T670" s="133"/>
      <c r="U670" s="405"/>
      <c r="V670" s="135"/>
      <c r="W670" s="133"/>
      <c r="X670" s="405"/>
      <c r="Y670" s="405"/>
      <c r="Z670" s="135"/>
      <c r="AA670" s="136"/>
      <c r="AB670" s="111"/>
      <c r="AC670" s="226"/>
      <c r="AD670" s="226">
        <f t="shared" si="145"/>
        <v>12397</v>
      </c>
    </row>
    <row r="671" spans="1:30" ht="166.5" outlineLevel="3" thickBot="1" x14ac:dyDescent="0.25">
      <c r="A671" s="199" t="s">
        <v>1485</v>
      </c>
      <c r="B671" s="404"/>
      <c r="C671" s="407"/>
      <c r="D671" s="404"/>
      <c r="E671" s="405" t="s">
        <v>1486</v>
      </c>
      <c r="F671" s="405" t="s">
        <v>320</v>
      </c>
      <c r="G671" s="405" t="s">
        <v>1462</v>
      </c>
      <c r="H671" s="420" t="s">
        <v>1449</v>
      </c>
      <c r="I671" s="164">
        <v>4</v>
      </c>
      <c r="J671" s="163" t="s">
        <v>316</v>
      </c>
      <c r="K671" s="165" t="s">
        <v>321</v>
      </c>
      <c r="L671" s="138">
        <v>1</v>
      </c>
      <c r="M671" s="166">
        <f t="shared" ref="M671" si="152">I671*L671</f>
        <v>4</v>
      </c>
      <c r="N671" s="133" t="s">
        <v>303</v>
      </c>
      <c r="O671" s="420" t="s">
        <v>1443</v>
      </c>
      <c r="P671" s="138">
        <v>2</v>
      </c>
      <c r="Q671" s="225">
        <f t="shared" si="151"/>
        <v>8</v>
      </c>
      <c r="R671" s="428" t="s">
        <v>1444</v>
      </c>
      <c r="S671" s="428" t="s">
        <v>1445</v>
      </c>
      <c r="T671" s="133"/>
      <c r="U671" s="405"/>
      <c r="V671" s="135"/>
      <c r="W671" s="133"/>
      <c r="X671" s="405"/>
      <c r="Y671" s="405"/>
      <c r="Z671" s="135"/>
      <c r="AA671" s="136"/>
      <c r="AB671" s="111"/>
      <c r="AC671" s="226"/>
      <c r="AD671" s="226">
        <f t="shared" si="145"/>
        <v>12398</v>
      </c>
    </row>
    <row r="672" spans="1:30" ht="294" outlineLevel="3" thickBot="1" x14ac:dyDescent="0.25">
      <c r="A672" s="199" t="s">
        <v>1487</v>
      </c>
      <c r="B672" s="479" t="s">
        <v>323</v>
      </c>
      <c r="C672" s="479" t="s">
        <v>324</v>
      </c>
      <c r="D672" s="421" t="s">
        <v>325</v>
      </c>
      <c r="E672" s="411" t="s">
        <v>326</v>
      </c>
      <c r="F672" s="209" t="s">
        <v>1488</v>
      </c>
      <c r="G672" s="405" t="s">
        <v>1441</v>
      </c>
      <c r="H672" s="420" t="s">
        <v>1442</v>
      </c>
      <c r="I672" s="164">
        <v>2</v>
      </c>
      <c r="J672" s="163" t="s">
        <v>328</v>
      </c>
      <c r="K672" s="165" t="s">
        <v>338</v>
      </c>
      <c r="L672" s="138">
        <v>1</v>
      </c>
      <c r="M672" s="166">
        <f t="shared" si="146"/>
        <v>2</v>
      </c>
      <c r="N672" s="133" t="s">
        <v>291</v>
      </c>
      <c r="O672" s="420" t="s">
        <v>1443</v>
      </c>
      <c r="P672" s="138">
        <v>2</v>
      </c>
      <c r="Q672" s="225">
        <f t="shared" si="147"/>
        <v>4</v>
      </c>
      <c r="R672" s="428" t="s">
        <v>1444</v>
      </c>
      <c r="S672" s="428" t="s">
        <v>1445</v>
      </c>
      <c r="T672" s="133"/>
      <c r="U672" s="405"/>
      <c r="V672" s="135"/>
      <c r="W672" s="133"/>
      <c r="X672" s="405"/>
      <c r="Y672" s="405"/>
      <c r="Z672" s="135"/>
      <c r="AA672" s="136"/>
      <c r="AB672" s="111"/>
      <c r="AC672" s="226"/>
      <c r="AD672" s="226">
        <f t="shared" si="145"/>
        <v>5537</v>
      </c>
    </row>
    <row r="673" spans="1:31" ht="166.5" outlineLevel="3" thickBot="1" x14ac:dyDescent="0.25">
      <c r="A673" s="199" t="s">
        <v>1489</v>
      </c>
      <c r="B673" s="484"/>
      <c r="C673" s="484"/>
      <c r="D673" s="422"/>
      <c r="E673" s="403" t="s">
        <v>1490</v>
      </c>
      <c r="F673" s="209" t="s">
        <v>1488</v>
      </c>
      <c r="G673" s="428" t="s">
        <v>1462</v>
      </c>
      <c r="H673" s="420" t="s">
        <v>1449</v>
      </c>
      <c r="I673" s="164">
        <v>4</v>
      </c>
      <c r="J673" s="163" t="s">
        <v>328</v>
      </c>
      <c r="K673" s="165" t="s">
        <v>338</v>
      </c>
      <c r="L673" s="138">
        <v>1</v>
      </c>
      <c r="M673" s="166">
        <f t="shared" si="146"/>
        <v>4</v>
      </c>
      <c r="N673" s="133" t="s">
        <v>291</v>
      </c>
      <c r="O673" s="420" t="s">
        <v>1443</v>
      </c>
      <c r="P673" s="164">
        <v>2</v>
      </c>
      <c r="Q673" s="225">
        <f>P673*L673*I673</f>
        <v>8</v>
      </c>
      <c r="R673" s="428" t="s">
        <v>1444</v>
      </c>
      <c r="S673" s="428" t="s">
        <v>1445</v>
      </c>
      <c r="T673" s="133"/>
      <c r="U673" s="405"/>
      <c r="V673" s="135"/>
      <c r="W673" s="133"/>
      <c r="X673" s="405"/>
      <c r="Y673" s="405"/>
      <c r="Z673" s="135"/>
      <c r="AA673" s="136">
        <f t="shared" ref="AA673" si="153">X673*Y673*Z673</f>
        <v>0</v>
      </c>
      <c r="AB673" s="111"/>
      <c r="AC673" s="363"/>
      <c r="AD673" s="226">
        <f t="shared" si="145"/>
        <v>11025</v>
      </c>
    </row>
    <row r="674" spans="1:31" ht="294" outlineLevel="3" thickBot="1" x14ac:dyDescent="0.25">
      <c r="A674" s="199" t="s">
        <v>1491</v>
      </c>
      <c r="B674" s="484"/>
      <c r="C674" s="484"/>
      <c r="D674" s="596"/>
      <c r="E674" s="412" t="s">
        <v>330</v>
      </c>
      <c r="F674" s="411" t="s">
        <v>1492</v>
      </c>
      <c r="G674" s="405" t="s">
        <v>1441</v>
      </c>
      <c r="H674" s="420" t="s">
        <v>1442</v>
      </c>
      <c r="I674" s="164">
        <v>2</v>
      </c>
      <c r="J674" s="163" t="s">
        <v>332</v>
      </c>
      <c r="K674" s="165" t="s">
        <v>1493</v>
      </c>
      <c r="L674" s="138">
        <v>2</v>
      </c>
      <c r="M674" s="166">
        <f t="shared" si="146"/>
        <v>4</v>
      </c>
      <c r="N674" s="133" t="s">
        <v>291</v>
      </c>
      <c r="O674" s="420" t="s">
        <v>1443</v>
      </c>
      <c r="P674" s="138">
        <v>2</v>
      </c>
      <c r="Q674" s="225">
        <f t="shared" si="147"/>
        <v>8</v>
      </c>
      <c r="R674" s="428" t="s">
        <v>1444</v>
      </c>
      <c r="S674" s="428" t="s">
        <v>1445</v>
      </c>
      <c r="T674" s="133"/>
      <c r="U674" s="405"/>
      <c r="V674" s="135"/>
      <c r="W674" s="133"/>
      <c r="X674" s="405"/>
      <c r="Y674" s="405"/>
      <c r="Z674" s="135"/>
      <c r="AA674" s="136"/>
      <c r="AB674" s="111"/>
      <c r="AC674" s="363"/>
      <c r="AD674" s="226">
        <f t="shared" si="145"/>
        <v>5538</v>
      </c>
    </row>
    <row r="675" spans="1:31" ht="204.75" outlineLevel="3" thickBot="1" x14ac:dyDescent="0.25">
      <c r="A675" s="199" t="s">
        <v>1494</v>
      </c>
      <c r="B675" s="480"/>
      <c r="C675" s="480"/>
      <c r="D675" s="597"/>
      <c r="E675" s="412" t="s">
        <v>1495</v>
      </c>
      <c r="F675" s="411" t="s">
        <v>1492</v>
      </c>
      <c r="G675" s="428" t="s">
        <v>1462</v>
      </c>
      <c r="H675" s="405" t="s">
        <v>1449</v>
      </c>
      <c r="I675" s="164">
        <v>4</v>
      </c>
      <c r="J675" s="163" t="s">
        <v>332</v>
      </c>
      <c r="K675" s="165" t="s">
        <v>1493</v>
      </c>
      <c r="L675" s="138">
        <v>1</v>
      </c>
      <c r="M675" s="166">
        <f t="shared" si="146"/>
        <v>4</v>
      </c>
      <c r="N675" s="133" t="s">
        <v>291</v>
      </c>
      <c r="O675" s="405" t="s">
        <v>1443</v>
      </c>
      <c r="P675" s="405">
        <v>2</v>
      </c>
      <c r="Q675" s="225">
        <f>P675*L675*I675</f>
        <v>8</v>
      </c>
      <c r="R675" s="428" t="s">
        <v>1444</v>
      </c>
      <c r="S675" s="428" t="s">
        <v>1445</v>
      </c>
      <c r="T675" s="133"/>
      <c r="U675" s="405"/>
      <c r="V675" s="135"/>
      <c r="W675" s="133"/>
      <c r="X675" s="405"/>
      <c r="Y675" s="405"/>
      <c r="Z675" s="135"/>
      <c r="AA675" s="136"/>
      <c r="AB675" s="111"/>
      <c r="AC675" s="363"/>
      <c r="AD675" s="226">
        <f t="shared" si="145"/>
        <v>11026</v>
      </c>
    </row>
    <row r="676" spans="1:31" ht="128.25" outlineLevel="3" thickBot="1" x14ac:dyDescent="0.25">
      <c r="A676" s="199" t="s">
        <v>1496</v>
      </c>
      <c r="B676" s="477" t="s">
        <v>334</v>
      </c>
      <c r="C676" s="479" t="s">
        <v>335</v>
      </c>
      <c r="D676" s="477" t="s">
        <v>336</v>
      </c>
      <c r="E676" s="405" t="s">
        <v>288</v>
      </c>
      <c r="F676" s="405" t="s">
        <v>337</v>
      </c>
      <c r="G676" s="405" t="s">
        <v>1436</v>
      </c>
      <c r="H676" s="420" t="s">
        <v>238</v>
      </c>
      <c r="I676" s="164">
        <v>1</v>
      </c>
      <c r="J676" s="163" t="s">
        <v>1465</v>
      </c>
      <c r="K676" s="165" t="s">
        <v>338</v>
      </c>
      <c r="L676" s="138">
        <v>2</v>
      </c>
      <c r="M676" s="166">
        <f t="shared" si="146"/>
        <v>2</v>
      </c>
      <c r="N676" s="133" t="s">
        <v>291</v>
      </c>
      <c r="O676" s="420" t="s">
        <v>242</v>
      </c>
      <c r="P676" s="138">
        <v>5</v>
      </c>
      <c r="Q676" s="225">
        <f t="shared" si="147"/>
        <v>10</v>
      </c>
      <c r="R676" s="428"/>
      <c r="S676" s="428"/>
      <c r="T676" s="133"/>
      <c r="U676" s="405"/>
      <c r="V676" s="135"/>
      <c r="W676" s="133"/>
      <c r="X676" s="405"/>
      <c r="Y676" s="405"/>
      <c r="Z676" s="135"/>
      <c r="AA676" s="136"/>
      <c r="AB676" s="111"/>
      <c r="AC676" s="226"/>
      <c r="AD676" s="226">
        <f t="shared" si="145"/>
        <v>5539</v>
      </c>
    </row>
    <row r="677" spans="1:31" ht="294" outlineLevel="3" thickBot="1" x14ac:dyDescent="0.25">
      <c r="A677" s="199" t="s">
        <v>1497</v>
      </c>
      <c r="B677" s="483"/>
      <c r="C677" s="484"/>
      <c r="D677" s="483"/>
      <c r="E677" s="403" t="s">
        <v>340</v>
      </c>
      <c r="F677" s="403" t="s">
        <v>1498</v>
      </c>
      <c r="G677" s="405" t="s">
        <v>1441</v>
      </c>
      <c r="H677" s="420" t="s">
        <v>1442</v>
      </c>
      <c r="I677" s="164">
        <v>2</v>
      </c>
      <c r="J677" s="163" t="s">
        <v>1499</v>
      </c>
      <c r="K677" s="165" t="s">
        <v>338</v>
      </c>
      <c r="L677" s="138">
        <v>2</v>
      </c>
      <c r="M677" s="166">
        <f t="shared" si="146"/>
        <v>4</v>
      </c>
      <c r="N677" s="133" t="s">
        <v>291</v>
      </c>
      <c r="O677" s="420" t="s">
        <v>1443</v>
      </c>
      <c r="P677" s="138">
        <v>2</v>
      </c>
      <c r="Q677" s="225">
        <f>P677*L677*I677</f>
        <v>8</v>
      </c>
      <c r="R677" s="428" t="s">
        <v>1444</v>
      </c>
      <c r="S677" s="428" t="s">
        <v>1445</v>
      </c>
      <c r="T677" s="133"/>
      <c r="U677" s="405"/>
      <c r="V677" s="135"/>
      <c r="W677" s="133"/>
      <c r="X677" s="405"/>
      <c r="Y677" s="405"/>
      <c r="Z677" s="135"/>
      <c r="AA677" s="136">
        <f t="shared" si="144"/>
        <v>0</v>
      </c>
      <c r="AB677" s="111"/>
      <c r="AC677" s="363"/>
      <c r="AD677" s="226">
        <f t="shared" si="145"/>
        <v>5540</v>
      </c>
    </row>
    <row r="678" spans="1:31" ht="153.75" outlineLevel="3" thickBot="1" x14ac:dyDescent="0.25">
      <c r="A678" s="199" t="s">
        <v>1500</v>
      </c>
      <c r="B678" s="478"/>
      <c r="C678" s="480"/>
      <c r="D678" s="478"/>
      <c r="E678" s="403" t="s">
        <v>1501</v>
      </c>
      <c r="F678" s="403" t="s">
        <v>1498</v>
      </c>
      <c r="G678" s="405" t="s">
        <v>1448</v>
      </c>
      <c r="H678" s="420" t="s">
        <v>1449</v>
      </c>
      <c r="I678" s="164">
        <v>4</v>
      </c>
      <c r="J678" s="163" t="s">
        <v>1499</v>
      </c>
      <c r="K678" s="165" t="s">
        <v>338</v>
      </c>
      <c r="L678" s="138">
        <v>1</v>
      </c>
      <c r="M678" s="166">
        <f t="shared" si="146"/>
        <v>4</v>
      </c>
      <c r="N678" s="133" t="s">
        <v>291</v>
      </c>
      <c r="O678" s="420" t="s">
        <v>1443</v>
      </c>
      <c r="P678" s="138">
        <v>2</v>
      </c>
      <c r="Q678" s="225">
        <f t="shared" si="147"/>
        <v>8</v>
      </c>
      <c r="R678" s="428" t="s">
        <v>1444</v>
      </c>
      <c r="S678" s="428" t="s">
        <v>1445</v>
      </c>
      <c r="T678" s="133"/>
      <c r="U678" s="405"/>
      <c r="V678" s="135"/>
      <c r="W678" s="133"/>
      <c r="X678" s="405"/>
      <c r="Y678" s="405"/>
      <c r="Z678" s="135"/>
      <c r="AA678" s="136"/>
      <c r="AB678" s="111"/>
      <c r="AC678" s="226"/>
      <c r="AD678" s="226">
        <f t="shared" si="145"/>
        <v>11027</v>
      </c>
    </row>
    <row r="679" spans="1:31" ht="115.5" outlineLevel="3" thickBot="1" x14ac:dyDescent="0.25">
      <c r="A679" s="199" t="s">
        <v>1502</v>
      </c>
      <c r="B679" s="477" t="s">
        <v>343</v>
      </c>
      <c r="C679" s="479" t="s">
        <v>344</v>
      </c>
      <c r="D679" s="477" t="s">
        <v>345</v>
      </c>
      <c r="E679" s="411" t="s">
        <v>275</v>
      </c>
      <c r="F679" s="411" t="s">
        <v>315</v>
      </c>
      <c r="G679" s="405" t="s">
        <v>1436</v>
      </c>
      <c r="H679" s="420" t="s">
        <v>238</v>
      </c>
      <c r="I679" s="164">
        <v>1</v>
      </c>
      <c r="J679" s="163" t="s">
        <v>277</v>
      </c>
      <c r="K679" s="165" t="s">
        <v>466</v>
      </c>
      <c r="L679" s="138">
        <v>1</v>
      </c>
      <c r="M679" s="166">
        <f t="shared" si="146"/>
        <v>1</v>
      </c>
      <c r="N679" s="133" t="s">
        <v>241</v>
      </c>
      <c r="O679" s="420" t="s">
        <v>242</v>
      </c>
      <c r="P679" s="138">
        <v>5</v>
      </c>
      <c r="Q679" s="225">
        <f t="shared" si="147"/>
        <v>5</v>
      </c>
      <c r="R679" s="428"/>
      <c r="S679" s="428"/>
      <c r="T679" s="133"/>
      <c r="U679" s="405"/>
      <c r="V679" s="135"/>
      <c r="W679" s="133"/>
      <c r="X679" s="405"/>
      <c r="Y679" s="405"/>
      <c r="Z679" s="135"/>
      <c r="AA679" s="136"/>
      <c r="AB679" s="111"/>
      <c r="AC679" s="226"/>
      <c r="AD679" s="226">
        <f t="shared" si="145"/>
        <v>12399</v>
      </c>
    </row>
    <row r="680" spans="1:31" ht="294" outlineLevel="3" thickBot="1" x14ac:dyDescent="0.25">
      <c r="A680" s="199" t="s">
        <v>1503</v>
      </c>
      <c r="B680" s="483"/>
      <c r="C680" s="484"/>
      <c r="D680" s="483"/>
      <c r="E680" s="405" t="s">
        <v>279</v>
      </c>
      <c r="F680" s="405" t="s">
        <v>347</v>
      </c>
      <c r="G680" s="405" t="s">
        <v>1441</v>
      </c>
      <c r="H680" s="420" t="s">
        <v>1442</v>
      </c>
      <c r="I680" s="164">
        <v>2</v>
      </c>
      <c r="J680" s="163" t="s">
        <v>281</v>
      </c>
      <c r="K680" s="165" t="s">
        <v>1504</v>
      </c>
      <c r="L680" s="138">
        <v>1</v>
      </c>
      <c r="M680" s="166">
        <f t="shared" si="146"/>
        <v>2</v>
      </c>
      <c r="N680" s="133" t="s">
        <v>283</v>
      </c>
      <c r="O680" s="420" t="s">
        <v>1443</v>
      </c>
      <c r="P680" s="138">
        <v>2</v>
      </c>
      <c r="Q680" s="225">
        <f t="shared" si="147"/>
        <v>4</v>
      </c>
      <c r="R680" s="428" t="s">
        <v>1444</v>
      </c>
      <c r="S680" s="428" t="s">
        <v>1445</v>
      </c>
      <c r="T680" s="133"/>
      <c r="U680" s="405"/>
      <c r="V680" s="135"/>
      <c r="W680" s="133"/>
      <c r="X680" s="405"/>
      <c r="Y680" s="405"/>
      <c r="Z680" s="135"/>
      <c r="AA680" s="136"/>
      <c r="AB680" s="111"/>
      <c r="AC680" s="226"/>
      <c r="AD680" s="226">
        <f t="shared" si="145"/>
        <v>12400</v>
      </c>
    </row>
    <row r="681" spans="1:31" ht="166.5" outlineLevel="3" thickBot="1" x14ac:dyDescent="0.25">
      <c r="A681" s="199" t="s">
        <v>1505</v>
      </c>
      <c r="B681" s="478"/>
      <c r="C681" s="480"/>
      <c r="D681" s="478"/>
      <c r="E681" s="403" t="s">
        <v>1506</v>
      </c>
      <c r="F681" s="405" t="s">
        <v>347</v>
      </c>
      <c r="G681" s="405" t="s">
        <v>1448</v>
      </c>
      <c r="H681" s="420" t="s">
        <v>1449</v>
      </c>
      <c r="I681" s="164">
        <v>4</v>
      </c>
      <c r="J681" s="163" t="s">
        <v>281</v>
      </c>
      <c r="K681" s="165" t="s">
        <v>1504</v>
      </c>
      <c r="L681" s="138">
        <v>1</v>
      </c>
      <c r="M681" s="166">
        <f t="shared" ref="M681" si="154">I681*L681</f>
        <v>4</v>
      </c>
      <c r="N681" s="133" t="s">
        <v>291</v>
      </c>
      <c r="O681" s="420" t="s">
        <v>1443</v>
      </c>
      <c r="P681" s="138">
        <v>2</v>
      </c>
      <c r="Q681" s="225">
        <f t="shared" ref="Q681" si="155">I681*L681*P681</f>
        <v>8</v>
      </c>
      <c r="R681" s="428" t="s">
        <v>1444</v>
      </c>
      <c r="S681" s="428" t="s">
        <v>1445</v>
      </c>
      <c r="T681" s="133"/>
      <c r="U681" s="405"/>
      <c r="V681" s="135"/>
      <c r="W681" s="133"/>
      <c r="X681" s="405"/>
      <c r="Y681" s="405"/>
      <c r="Z681" s="135"/>
      <c r="AA681" s="136"/>
      <c r="AB681" s="111"/>
      <c r="AC681" s="226"/>
      <c r="AD681" s="226">
        <f t="shared" si="145"/>
        <v>12401</v>
      </c>
    </row>
    <row r="682" spans="1:31" ht="294" outlineLevel="3" thickBot="1" x14ac:dyDescent="0.25">
      <c r="A682" s="201" t="s">
        <v>1507</v>
      </c>
      <c r="B682" s="506" t="s">
        <v>349</v>
      </c>
      <c r="C682" s="507" t="s">
        <v>350</v>
      </c>
      <c r="D682" s="506" t="s">
        <v>351</v>
      </c>
      <c r="E682" s="411" t="s">
        <v>352</v>
      </c>
      <c r="F682" s="411" t="s">
        <v>809</v>
      </c>
      <c r="G682" s="428" t="s">
        <v>1441</v>
      </c>
      <c r="H682" s="420" t="s">
        <v>1442</v>
      </c>
      <c r="I682" s="411">
        <v>2</v>
      </c>
      <c r="J682" s="411" t="s">
        <v>302</v>
      </c>
      <c r="K682" s="165" t="s">
        <v>338</v>
      </c>
      <c r="L682" s="411">
        <v>1</v>
      </c>
      <c r="M682" s="166">
        <f t="shared" si="146"/>
        <v>2</v>
      </c>
      <c r="N682" s="133" t="s">
        <v>303</v>
      </c>
      <c r="O682" s="420" t="s">
        <v>1443</v>
      </c>
      <c r="P682" s="138">
        <v>2</v>
      </c>
      <c r="Q682" s="225">
        <f>P682*L682*I682</f>
        <v>4</v>
      </c>
      <c r="R682" s="428" t="s">
        <v>1444</v>
      </c>
      <c r="S682" s="428" t="s">
        <v>1445</v>
      </c>
      <c r="T682" s="133"/>
      <c r="U682" s="405"/>
      <c r="V682" s="135"/>
      <c r="W682" s="133"/>
      <c r="X682" s="405"/>
      <c r="Y682" s="405"/>
      <c r="Z682" s="135"/>
      <c r="AA682" s="136"/>
      <c r="AB682" s="111"/>
      <c r="AC682" s="363"/>
      <c r="AD682" s="226">
        <f t="shared" si="145"/>
        <v>11028</v>
      </c>
    </row>
    <row r="683" spans="1:31" s="144" customFormat="1" ht="153.75" outlineLevel="3" thickBot="1" x14ac:dyDescent="0.25">
      <c r="A683" s="199" t="s">
        <v>1508</v>
      </c>
      <c r="B683" s="506"/>
      <c r="C683" s="507"/>
      <c r="D683" s="506"/>
      <c r="E683" s="403" t="s">
        <v>1472</v>
      </c>
      <c r="F683" s="411" t="s">
        <v>809</v>
      </c>
      <c r="G683" s="405" t="s">
        <v>1448</v>
      </c>
      <c r="H683" s="420" t="s">
        <v>1449</v>
      </c>
      <c r="I683" s="164">
        <v>4</v>
      </c>
      <c r="J683" s="411" t="s">
        <v>302</v>
      </c>
      <c r="K683" s="165" t="s">
        <v>338</v>
      </c>
      <c r="L683" s="411">
        <v>1</v>
      </c>
      <c r="M683" s="166">
        <f t="shared" ref="M683" si="156">I683*L683</f>
        <v>4</v>
      </c>
      <c r="N683" s="133" t="s">
        <v>303</v>
      </c>
      <c r="O683" s="420" t="s">
        <v>1443</v>
      </c>
      <c r="P683" s="138">
        <v>2</v>
      </c>
      <c r="Q683" s="225">
        <f t="shared" ref="Q683" si="157">I683*L683*P683</f>
        <v>8</v>
      </c>
      <c r="R683" s="428" t="s">
        <v>1444</v>
      </c>
      <c r="S683" s="428" t="s">
        <v>1445</v>
      </c>
      <c r="T683" s="133"/>
      <c r="U683" s="405"/>
      <c r="V683" s="135"/>
      <c r="W683" s="133"/>
      <c r="X683" s="405"/>
      <c r="Y683" s="405"/>
      <c r="Z683" s="135"/>
      <c r="AA683" s="136">
        <f t="shared" si="144"/>
        <v>0</v>
      </c>
      <c r="AB683" s="111"/>
      <c r="AC683" s="226"/>
      <c r="AD683" s="226">
        <f t="shared" si="145"/>
        <v>11029</v>
      </c>
      <c r="AE683" s="227"/>
    </row>
    <row r="684" spans="1:31" s="144" customFormat="1" ht="166.5" outlineLevel="3" thickBot="1" x14ac:dyDescent="0.25">
      <c r="A684" s="198" t="s">
        <v>1509</v>
      </c>
      <c r="B684" s="506"/>
      <c r="C684" s="507"/>
      <c r="D684" s="506"/>
      <c r="E684" s="411" t="s">
        <v>355</v>
      </c>
      <c r="F684" s="411" t="s">
        <v>356</v>
      </c>
      <c r="G684" s="428" t="s">
        <v>1462</v>
      </c>
      <c r="H684" s="420" t="s">
        <v>1449</v>
      </c>
      <c r="I684" s="411">
        <v>2</v>
      </c>
      <c r="J684" s="411" t="s">
        <v>307</v>
      </c>
      <c r="K684" s="165" t="s">
        <v>338</v>
      </c>
      <c r="L684" s="411">
        <v>1</v>
      </c>
      <c r="M684" s="166">
        <f t="shared" si="146"/>
        <v>2</v>
      </c>
      <c r="N684" s="133" t="s">
        <v>303</v>
      </c>
      <c r="O684" s="420" t="s">
        <v>1443</v>
      </c>
      <c r="P684" s="138">
        <v>2</v>
      </c>
      <c r="Q684" s="225">
        <f>P684*L684*I684</f>
        <v>4</v>
      </c>
      <c r="R684" s="428" t="s">
        <v>1444</v>
      </c>
      <c r="S684" s="428" t="s">
        <v>1445</v>
      </c>
      <c r="T684" s="133"/>
      <c r="U684" s="405"/>
      <c r="V684" s="135"/>
      <c r="W684" s="133"/>
      <c r="X684" s="405"/>
      <c r="Y684" s="405"/>
      <c r="Z684" s="135"/>
      <c r="AA684" s="136"/>
      <c r="AB684" s="111"/>
      <c r="AC684" s="366"/>
      <c r="AD684" s="226">
        <f t="shared" si="145"/>
        <v>11030</v>
      </c>
      <c r="AE684" s="350"/>
    </row>
    <row r="685" spans="1:31" ht="294" outlineLevel="3" thickBot="1" x14ac:dyDescent="0.25">
      <c r="A685" s="199" t="s">
        <v>1510</v>
      </c>
      <c r="B685" s="479" t="s">
        <v>358</v>
      </c>
      <c r="C685" s="479" t="s">
        <v>359</v>
      </c>
      <c r="D685" s="479" t="s">
        <v>360</v>
      </c>
      <c r="E685" s="403" t="s">
        <v>288</v>
      </c>
      <c r="F685" s="403" t="s">
        <v>361</v>
      </c>
      <c r="G685" s="405" t="s">
        <v>1441</v>
      </c>
      <c r="H685" s="420" t="s">
        <v>1442</v>
      </c>
      <c r="I685" s="164">
        <v>2</v>
      </c>
      <c r="J685" s="163" t="s">
        <v>775</v>
      </c>
      <c r="K685" s="165" t="s">
        <v>338</v>
      </c>
      <c r="L685" s="138">
        <v>1</v>
      </c>
      <c r="M685" s="166">
        <f t="shared" si="146"/>
        <v>2</v>
      </c>
      <c r="N685" s="133" t="s">
        <v>291</v>
      </c>
      <c r="O685" s="420" t="s">
        <v>1443</v>
      </c>
      <c r="P685" s="138">
        <v>2</v>
      </c>
      <c r="Q685" s="225">
        <f t="shared" si="147"/>
        <v>4</v>
      </c>
      <c r="R685" s="428" t="s">
        <v>1444</v>
      </c>
      <c r="S685" s="428" t="s">
        <v>1445</v>
      </c>
      <c r="T685" s="133"/>
      <c r="U685" s="405"/>
      <c r="V685" s="135"/>
      <c r="W685" s="133"/>
      <c r="X685" s="405"/>
      <c r="Y685" s="405"/>
      <c r="Z685" s="135"/>
      <c r="AA685" s="136">
        <f t="shared" si="144"/>
        <v>0</v>
      </c>
      <c r="AB685" s="111"/>
      <c r="AC685" s="226"/>
      <c r="AD685" s="226">
        <f t="shared" si="145"/>
        <v>6971</v>
      </c>
    </row>
    <row r="686" spans="1:31" ht="153.75" outlineLevel="3" thickBot="1" x14ac:dyDescent="0.25">
      <c r="A686" s="199" t="s">
        <v>1511</v>
      </c>
      <c r="B686" s="484"/>
      <c r="C686" s="484"/>
      <c r="D686" s="484"/>
      <c r="E686" s="403" t="s">
        <v>1467</v>
      </c>
      <c r="F686" s="403" t="s">
        <v>361</v>
      </c>
      <c r="G686" s="405" t="s">
        <v>1448</v>
      </c>
      <c r="H686" s="420" t="s">
        <v>1449</v>
      </c>
      <c r="I686" s="164">
        <v>4</v>
      </c>
      <c r="J686" s="163" t="s">
        <v>775</v>
      </c>
      <c r="K686" s="165" t="s">
        <v>338</v>
      </c>
      <c r="L686" s="138">
        <v>1</v>
      </c>
      <c r="M686" s="166">
        <f t="shared" si="146"/>
        <v>4</v>
      </c>
      <c r="N686" s="133" t="s">
        <v>291</v>
      </c>
      <c r="O686" s="420" t="s">
        <v>1443</v>
      </c>
      <c r="P686" s="138">
        <v>2</v>
      </c>
      <c r="Q686" s="225">
        <f t="shared" si="147"/>
        <v>8</v>
      </c>
      <c r="R686" s="428" t="s">
        <v>1444</v>
      </c>
      <c r="S686" s="428" t="s">
        <v>1445</v>
      </c>
      <c r="T686" s="133"/>
      <c r="U686" s="405"/>
      <c r="V686" s="135"/>
      <c r="W686" s="133"/>
      <c r="X686" s="405"/>
      <c r="Y686" s="405"/>
      <c r="Z686" s="135"/>
      <c r="AA686" s="136"/>
      <c r="AB686" s="111"/>
      <c r="AC686" s="226"/>
      <c r="AD686" s="226">
        <f t="shared" si="145"/>
        <v>11031</v>
      </c>
    </row>
    <row r="687" spans="1:31" ht="294" outlineLevel="3" thickBot="1" x14ac:dyDescent="0.25">
      <c r="A687" s="199" t="s">
        <v>1512</v>
      </c>
      <c r="B687" s="484"/>
      <c r="C687" s="484"/>
      <c r="D687" s="484"/>
      <c r="E687" s="406" t="s">
        <v>340</v>
      </c>
      <c r="F687" s="406" t="s">
        <v>363</v>
      </c>
      <c r="G687" s="405" t="s">
        <v>1441</v>
      </c>
      <c r="H687" s="420" t="s">
        <v>1442</v>
      </c>
      <c r="I687" s="164">
        <v>2</v>
      </c>
      <c r="J687" s="163" t="s">
        <v>257</v>
      </c>
      <c r="K687" s="165" t="s">
        <v>338</v>
      </c>
      <c r="L687" s="138">
        <v>1</v>
      </c>
      <c r="M687" s="166">
        <f t="shared" si="146"/>
        <v>2</v>
      </c>
      <c r="N687" s="133" t="s">
        <v>291</v>
      </c>
      <c r="O687" s="420" t="s">
        <v>1443</v>
      </c>
      <c r="P687" s="138">
        <v>2</v>
      </c>
      <c r="Q687" s="225">
        <f t="shared" si="147"/>
        <v>4</v>
      </c>
      <c r="R687" s="428" t="s">
        <v>1444</v>
      </c>
      <c r="S687" s="428" t="s">
        <v>1445</v>
      </c>
      <c r="T687" s="133"/>
      <c r="U687" s="405"/>
      <c r="V687" s="135"/>
      <c r="W687" s="133"/>
      <c r="X687" s="405"/>
      <c r="Y687" s="405"/>
      <c r="Z687" s="135"/>
      <c r="AA687" s="136"/>
      <c r="AB687" s="111"/>
      <c r="AC687" s="363"/>
      <c r="AD687" s="226">
        <f t="shared" si="145"/>
        <v>6972</v>
      </c>
    </row>
    <row r="688" spans="1:31" ht="153.75" outlineLevel="3" thickBot="1" x14ac:dyDescent="0.25">
      <c r="A688" s="199" t="s">
        <v>1513</v>
      </c>
      <c r="B688" s="480"/>
      <c r="C688" s="480"/>
      <c r="D688" s="597"/>
      <c r="E688" s="412" t="s">
        <v>1501</v>
      </c>
      <c r="F688" s="412" t="s">
        <v>363</v>
      </c>
      <c r="G688" s="405" t="s">
        <v>1448</v>
      </c>
      <c r="H688" s="420" t="s">
        <v>1449</v>
      </c>
      <c r="I688" s="164">
        <v>4</v>
      </c>
      <c r="J688" s="163" t="s">
        <v>775</v>
      </c>
      <c r="K688" s="165" t="s">
        <v>338</v>
      </c>
      <c r="L688" s="138">
        <v>1</v>
      </c>
      <c r="M688" s="166">
        <f t="shared" si="146"/>
        <v>4</v>
      </c>
      <c r="N688" s="133" t="s">
        <v>291</v>
      </c>
      <c r="O688" s="420" t="s">
        <v>1443</v>
      </c>
      <c r="P688" s="138">
        <v>2</v>
      </c>
      <c r="Q688" s="225">
        <f>P688*L688*I688</f>
        <v>8</v>
      </c>
      <c r="R688" s="428" t="s">
        <v>1444</v>
      </c>
      <c r="S688" s="428" t="s">
        <v>1445</v>
      </c>
      <c r="T688" s="133"/>
      <c r="U688" s="405"/>
      <c r="V688" s="135"/>
      <c r="W688" s="133"/>
      <c r="X688" s="405"/>
      <c r="Y688" s="405"/>
      <c r="Z688" s="135"/>
      <c r="AA688" s="136">
        <f t="shared" si="144"/>
        <v>0</v>
      </c>
      <c r="AB688" s="111"/>
      <c r="AC688" s="226"/>
      <c r="AD688" s="226">
        <f t="shared" si="145"/>
        <v>11032</v>
      </c>
    </row>
    <row r="689" spans="1:30" ht="294" outlineLevel="3" thickBot="1" x14ac:dyDescent="0.25">
      <c r="A689" s="199" t="s">
        <v>1514</v>
      </c>
      <c r="B689" s="477" t="s">
        <v>365</v>
      </c>
      <c r="C689" s="479" t="s">
        <v>366</v>
      </c>
      <c r="D689" s="477" t="s">
        <v>367</v>
      </c>
      <c r="E689" s="404" t="s">
        <v>288</v>
      </c>
      <c r="F689" s="404" t="s">
        <v>327</v>
      </c>
      <c r="G689" s="405" t="s">
        <v>1441</v>
      </c>
      <c r="H689" s="420" t="s">
        <v>1442</v>
      </c>
      <c r="I689" s="164">
        <v>2</v>
      </c>
      <c r="J689" s="163" t="s">
        <v>775</v>
      </c>
      <c r="K689" s="165" t="s">
        <v>338</v>
      </c>
      <c r="L689" s="138">
        <v>1</v>
      </c>
      <c r="M689" s="166">
        <f t="shared" si="146"/>
        <v>2</v>
      </c>
      <c r="N689" s="133" t="s">
        <v>291</v>
      </c>
      <c r="O689" s="420" t="s">
        <v>1443</v>
      </c>
      <c r="P689" s="138">
        <v>2</v>
      </c>
      <c r="Q689" s="225">
        <f t="shared" si="147"/>
        <v>4</v>
      </c>
      <c r="R689" s="428" t="s">
        <v>1444</v>
      </c>
      <c r="S689" s="428" t="s">
        <v>1445</v>
      </c>
      <c r="T689" s="133"/>
      <c r="U689" s="405"/>
      <c r="V689" s="135"/>
      <c r="W689" s="133"/>
      <c r="X689" s="405"/>
      <c r="Y689" s="405"/>
      <c r="Z689" s="135"/>
      <c r="AA689" s="136"/>
      <c r="AB689" s="111"/>
      <c r="AC689" s="226"/>
      <c r="AD689" s="226">
        <f t="shared" si="145"/>
        <v>6973</v>
      </c>
    </row>
    <row r="690" spans="1:30" ht="153.75" outlineLevel="3" thickBot="1" x14ac:dyDescent="0.25">
      <c r="A690" s="199" t="s">
        <v>1515</v>
      </c>
      <c r="B690" s="483"/>
      <c r="C690" s="484"/>
      <c r="D690" s="483"/>
      <c r="E690" s="411" t="s">
        <v>1516</v>
      </c>
      <c r="F690" s="404" t="s">
        <v>327</v>
      </c>
      <c r="G690" s="405" t="s">
        <v>1448</v>
      </c>
      <c r="H690" s="420" t="s">
        <v>1449</v>
      </c>
      <c r="I690" s="164">
        <v>4</v>
      </c>
      <c r="J690" s="163" t="s">
        <v>775</v>
      </c>
      <c r="K690" s="165" t="s">
        <v>338</v>
      </c>
      <c r="L690" s="138">
        <v>1</v>
      </c>
      <c r="M690" s="166">
        <f t="shared" si="146"/>
        <v>4</v>
      </c>
      <c r="N690" s="133" t="s">
        <v>291</v>
      </c>
      <c r="O690" s="420" t="s">
        <v>1443</v>
      </c>
      <c r="P690" s="138">
        <v>2</v>
      </c>
      <c r="Q690" s="225">
        <f t="shared" si="147"/>
        <v>8</v>
      </c>
      <c r="R690" s="428" t="s">
        <v>1444</v>
      </c>
      <c r="S690" s="428" t="s">
        <v>1445</v>
      </c>
      <c r="T690" s="133"/>
      <c r="U690" s="405"/>
      <c r="V690" s="135"/>
      <c r="W690" s="133"/>
      <c r="X690" s="405"/>
      <c r="Y690" s="405"/>
      <c r="Z690" s="135"/>
      <c r="AA690" s="136"/>
      <c r="AB690" s="111"/>
      <c r="AC690" s="226"/>
      <c r="AD690" s="226">
        <f t="shared" si="145"/>
        <v>11033</v>
      </c>
    </row>
    <row r="691" spans="1:30" ht="294" outlineLevel="3" thickBot="1" x14ac:dyDescent="0.25">
      <c r="A691" s="199" t="s">
        <v>1517</v>
      </c>
      <c r="B691" s="478"/>
      <c r="C691" s="480"/>
      <c r="D691" s="478"/>
      <c r="E691" s="405" t="s">
        <v>340</v>
      </c>
      <c r="F691" s="405" t="s">
        <v>369</v>
      </c>
      <c r="G691" s="405" t="s">
        <v>1441</v>
      </c>
      <c r="H691" s="420" t="s">
        <v>1442</v>
      </c>
      <c r="I691" s="164">
        <v>2</v>
      </c>
      <c r="J691" s="163" t="s">
        <v>257</v>
      </c>
      <c r="K691" s="130" t="s">
        <v>338</v>
      </c>
      <c r="L691" s="138">
        <v>1</v>
      </c>
      <c r="M691" s="166">
        <f t="shared" si="146"/>
        <v>2</v>
      </c>
      <c r="N691" s="133" t="s">
        <v>291</v>
      </c>
      <c r="O691" s="69" t="s">
        <v>242</v>
      </c>
      <c r="P691" s="131">
        <v>5</v>
      </c>
      <c r="Q691" s="134">
        <f t="shared" si="147"/>
        <v>10</v>
      </c>
      <c r="R691" s="428" t="s">
        <v>1444</v>
      </c>
      <c r="S691" s="428" t="s">
        <v>1445</v>
      </c>
      <c r="T691" s="133"/>
      <c r="U691" s="405"/>
      <c r="V691" s="135"/>
      <c r="W691" s="133"/>
      <c r="X691" s="405"/>
      <c r="Y691" s="405"/>
      <c r="Z691" s="135"/>
      <c r="AA691" s="136"/>
      <c r="AB691" s="111"/>
      <c r="AC691" s="226"/>
      <c r="AD691" s="226">
        <f t="shared" si="145"/>
        <v>6974</v>
      </c>
    </row>
    <row r="692" spans="1:30" ht="166.5" outlineLevel="3" thickBot="1" x14ac:dyDescent="0.25">
      <c r="A692" s="199" t="s">
        <v>1518</v>
      </c>
      <c r="B692" s="404"/>
      <c r="C692" s="407"/>
      <c r="D692" s="404"/>
      <c r="E692" s="411" t="s">
        <v>1519</v>
      </c>
      <c r="F692" s="405" t="s">
        <v>369</v>
      </c>
      <c r="G692" s="405" t="s">
        <v>1448</v>
      </c>
      <c r="H692" s="420" t="s">
        <v>1449</v>
      </c>
      <c r="I692" s="164">
        <v>4</v>
      </c>
      <c r="J692" s="163" t="s">
        <v>257</v>
      </c>
      <c r="K692" s="165" t="s">
        <v>338</v>
      </c>
      <c r="L692" s="138">
        <v>1</v>
      </c>
      <c r="M692" s="166">
        <f t="shared" ref="M692" si="158">I692*L692</f>
        <v>4</v>
      </c>
      <c r="N692" s="133" t="s">
        <v>291</v>
      </c>
      <c r="O692" s="420" t="s">
        <v>1443</v>
      </c>
      <c r="P692" s="138">
        <v>2</v>
      </c>
      <c r="Q692" s="225">
        <f t="shared" ref="Q692" si="159">I692*L692*P692</f>
        <v>8</v>
      </c>
      <c r="R692" s="428" t="s">
        <v>1444</v>
      </c>
      <c r="S692" s="428" t="s">
        <v>1445</v>
      </c>
      <c r="T692" s="133"/>
      <c r="U692" s="405"/>
      <c r="V692" s="135"/>
      <c r="W692" s="133"/>
      <c r="X692" s="405"/>
      <c r="Y692" s="405"/>
      <c r="Z692" s="135"/>
      <c r="AA692" s="136"/>
      <c r="AB692" s="111"/>
      <c r="AC692" s="226"/>
      <c r="AD692" s="226">
        <f t="shared" si="145"/>
        <v>12402</v>
      </c>
    </row>
    <row r="693" spans="1:30" ht="294" outlineLevel="3" thickBot="1" x14ac:dyDescent="0.25">
      <c r="A693" s="199" t="s">
        <v>1520</v>
      </c>
      <c r="B693" s="479" t="s">
        <v>371</v>
      </c>
      <c r="C693" s="479" t="s">
        <v>372</v>
      </c>
      <c r="D693" s="479" t="s">
        <v>373</v>
      </c>
      <c r="E693" s="403" t="s">
        <v>288</v>
      </c>
      <c r="F693" s="403" t="s">
        <v>1521</v>
      </c>
      <c r="G693" s="405" t="s">
        <v>1441</v>
      </c>
      <c r="H693" s="420" t="s">
        <v>1442</v>
      </c>
      <c r="I693" s="164">
        <v>2</v>
      </c>
      <c r="J693" s="163" t="s">
        <v>775</v>
      </c>
      <c r="K693" s="165" t="s">
        <v>338</v>
      </c>
      <c r="L693" s="138">
        <v>2</v>
      </c>
      <c r="M693" s="166">
        <f t="shared" si="146"/>
        <v>4</v>
      </c>
      <c r="N693" s="133" t="s">
        <v>291</v>
      </c>
      <c r="O693" s="420" t="s">
        <v>1443</v>
      </c>
      <c r="P693" s="138">
        <v>2</v>
      </c>
      <c r="Q693" s="225">
        <f>I693*L693*P693</f>
        <v>8</v>
      </c>
      <c r="R693" s="428" t="s">
        <v>1444</v>
      </c>
      <c r="S693" s="428" t="s">
        <v>1445</v>
      </c>
      <c r="T693" s="133"/>
      <c r="U693" s="405"/>
      <c r="V693" s="135"/>
      <c r="W693" s="133"/>
      <c r="X693" s="405"/>
      <c r="Y693" s="405"/>
      <c r="Z693" s="135"/>
      <c r="AA693" s="136"/>
      <c r="AB693" s="111"/>
      <c r="AC693" s="226"/>
      <c r="AD693" s="226">
        <f t="shared" si="145"/>
        <v>6975</v>
      </c>
    </row>
    <row r="694" spans="1:30" ht="153.75" outlineLevel="3" thickBot="1" x14ac:dyDescent="0.25">
      <c r="A694" s="199" t="s">
        <v>1522</v>
      </c>
      <c r="B694" s="484"/>
      <c r="C694" s="484"/>
      <c r="D694" s="596"/>
      <c r="E694" s="411" t="s">
        <v>1516</v>
      </c>
      <c r="F694" s="403" t="s">
        <v>1521</v>
      </c>
      <c r="G694" s="405" t="s">
        <v>1448</v>
      </c>
      <c r="H694" s="420" t="s">
        <v>1449</v>
      </c>
      <c r="I694" s="164">
        <v>4</v>
      </c>
      <c r="J694" s="163" t="s">
        <v>775</v>
      </c>
      <c r="K694" s="165" t="s">
        <v>338</v>
      </c>
      <c r="L694" s="138">
        <v>2</v>
      </c>
      <c r="M694" s="166">
        <f t="shared" si="146"/>
        <v>8</v>
      </c>
      <c r="N694" s="133" t="s">
        <v>291</v>
      </c>
      <c r="O694" s="420" t="s">
        <v>1443</v>
      </c>
      <c r="P694" s="138">
        <v>2</v>
      </c>
      <c r="Q694" s="225">
        <f>I694*L694*P694</f>
        <v>16</v>
      </c>
      <c r="R694" s="428" t="s">
        <v>1444</v>
      </c>
      <c r="S694" s="428" t="s">
        <v>1445</v>
      </c>
      <c r="T694" s="133"/>
      <c r="U694" s="405"/>
      <c r="V694" s="135"/>
      <c r="W694" s="133"/>
      <c r="X694" s="405"/>
      <c r="Y694" s="405"/>
      <c r="Z694" s="135"/>
      <c r="AA694" s="136"/>
      <c r="AB694" s="111"/>
      <c r="AC694" s="226"/>
      <c r="AD694" s="226">
        <f t="shared" si="145"/>
        <v>11034</v>
      </c>
    </row>
    <row r="695" spans="1:30" ht="294" outlineLevel="3" thickBot="1" x14ac:dyDescent="0.25">
      <c r="A695" s="199" t="s">
        <v>1523</v>
      </c>
      <c r="B695" s="484"/>
      <c r="C695" s="484"/>
      <c r="D695" s="484"/>
      <c r="E695" s="407" t="s">
        <v>340</v>
      </c>
      <c r="F695" s="425" t="s">
        <v>376</v>
      </c>
      <c r="G695" s="405" t="s">
        <v>1441</v>
      </c>
      <c r="H695" s="420" t="s">
        <v>1442</v>
      </c>
      <c r="I695" s="164">
        <v>2</v>
      </c>
      <c r="J695" s="163" t="s">
        <v>257</v>
      </c>
      <c r="K695" s="165" t="s">
        <v>338</v>
      </c>
      <c r="L695" s="138">
        <v>2</v>
      </c>
      <c r="M695" s="166">
        <f t="shared" si="146"/>
        <v>4</v>
      </c>
      <c r="N695" s="133" t="s">
        <v>291</v>
      </c>
      <c r="O695" s="420" t="s">
        <v>1443</v>
      </c>
      <c r="P695" s="138">
        <v>2</v>
      </c>
      <c r="Q695" s="225">
        <f t="shared" si="147"/>
        <v>8</v>
      </c>
      <c r="R695" s="428" t="s">
        <v>1444</v>
      </c>
      <c r="S695" s="428" t="s">
        <v>1445</v>
      </c>
      <c r="T695" s="133"/>
      <c r="U695" s="405"/>
      <c r="V695" s="135"/>
      <c r="W695" s="133"/>
      <c r="X695" s="405"/>
      <c r="Y695" s="405"/>
      <c r="Z695" s="135"/>
      <c r="AA695" s="136"/>
      <c r="AB695" s="111"/>
      <c r="AC695" s="226"/>
      <c r="AD695" s="226">
        <f t="shared" si="145"/>
        <v>6976</v>
      </c>
    </row>
    <row r="696" spans="1:30" ht="153.75" outlineLevel="3" thickBot="1" x14ac:dyDescent="0.25">
      <c r="A696" s="199" t="s">
        <v>1524</v>
      </c>
      <c r="B696" s="480"/>
      <c r="C696" s="480"/>
      <c r="D696" s="597"/>
      <c r="E696" s="412" t="s">
        <v>1519</v>
      </c>
      <c r="F696" s="425" t="s">
        <v>376</v>
      </c>
      <c r="G696" s="405" t="s">
        <v>1448</v>
      </c>
      <c r="H696" s="420" t="s">
        <v>1449</v>
      </c>
      <c r="I696" s="164">
        <v>4</v>
      </c>
      <c r="J696" s="163" t="s">
        <v>257</v>
      </c>
      <c r="K696" s="165" t="s">
        <v>338</v>
      </c>
      <c r="L696" s="138">
        <v>2</v>
      </c>
      <c r="M696" s="166">
        <f t="shared" si="146"/>
        <v>8</v>
      </c>
      <c r="N696" s="133" t="s">
        <v>291</v>
      </c>
      <c r="O696" s="420" t="s">
        <v>1443</v>
      </c>
      <c r="P696" s="138">
        <v>2</v>
      </c>
      <c r="Q696" s="225">
        <f t="shared" si="147"/>
        <v>16</v>
      </c>
      <c r="R696" s="428" t="s">
        <v>1444</v>
      </c>
      <c r="S696" s="428" t="s">
        <v>1445</v>
      </c>
      <c r="T696" s="133"/>
      <c r="U696" s="405"/>
      <c r="V696" s="135"/>
      <c r="W696" s="133"/>
      <c r="X696" s="405"/>
      <c r="Y696" s="405"/>
      <c r="Z696" s="135"/>
      <c r="AA696" s="136"/>
      <c r="AB696" s="111"/>
      <c r="AC696" s="226"/>
      <c r="AD696" s="226">
        <f t="shared" si="145"/>
        <v>11035</v>
      </c>
    </row>
    <row r="697" spans="1:30" ht="294" outlineLevel="3" thickBot="1" x14ac:dyDescent="0.25">
      <c r="A697" s="252" t="s">
        <v>1525</v>
      </c>
      <c r="B697" s="486" t="s">
        <v>378</v>
      </c>
      <c r="C697" s="486" t="s">
        <v>379</v>
      </c>
      <c r="D697" s="486" t="s">
        <v>380</v>
      </c>
      <c r="E697" s="426" t="s">
        <v>381</v>
      </c>
      <c r="F697" s="385" t="s">
        <v>327</v>
      </c>
      <c r="G697" s="415" t="s">
        <v>1441</v>
      </c>
      <c r="H697" s="255" t="s">
        <v>1442</v>
      </c>
      <c r="I697" s="244">
        <v>2</v>
      </c>
      <c r="J697" s="253" t="s">
        <v>382</v>
      </c>
      <c r="K697" s="247" t="s">
        <v>338</v>
      </c>
      <c r="L697" s="258">
        <v>1</v>
      </c>
      <c r="M697" s="256">
        <f t="shared" si="146"/>
        <v>2</v>
      </c>
      <c r="N697" s="248" t="s">
        <v>291</v>
      </c>
      <c r="O697" s="257" t="s">
        <v>1443</v>
      </c>
      <c r="P697" s="138">
        <v>2</v>
      </c>
      <c r="Q697" s="134">
        <f t="shared" si="147"/>
        <v>4</v>
      </c>
      <c r="R697" s="428" t="s">
        <v>1444</v>
      </c>
      <c r="S697" s="428" t="s">
        <v>1445</v>
      </c>
      <c r="T697" s="133"/>
      <c r="U697" s="405"/>
      <c r="V697" s="135"/>
      <c r="W697" s="133"/>
      <c r="X697" s="405"/>
      <c r="Y697" s="405"/>
      <c r="Z697" s="135"/>
      <c r="AA697" s="136"/>
      <c r="AB697" s="111"/>
      <c r="AC697" s="363"/>
      <c r="AD697" s="226">
        <f t="shared" si="145"/>
        <v>5541</v>
      </c>
    </row>
    <row r="698" spans="1:30" ht="153.75" outlineLevel="3" thickBot="1" x14ac:dyDescent="0.25">
      <c r="A698" s="199" t="s">
        <v>1526</v>
      </c>
      <c r="B698" s="484"/>
      <c r="C698" s="484"/>
      <c r="D698" s="484"/>
      <c r="E698" s="411" t="s">
        <v>1527</v>
      </c>
      <c r="F698" s="411" t="s">
        <v>327</v>
      </c>
      <c r="G698" s="405" t="s">
        <v>1448</v>
      </c>
      <c r="H698" s="420" t="s">
        <v>1449</v>
      </c>
      <c r="I698" s="164">
        <v>4</v>
      </c>
      <c r="J698" s="163" t="s">
        <v>382</v>
      </c>
      <c r="K698" s="165" t="s">
        <v>338</v>
      </c>
      <c r="L698" s="138">
        <v>1</v>
      </c>
      <c r="M698" s="166">
        <f t="shared" si="146"/>
        <v>4</v>
      </c>
      <c r="N698" s="133" t="s">
        <v>291</v>
      </c>
      <c r="O698" s="420" t="s">
        <v>1443</v>
      </c>
      <c r="P698" s="138">
        <v>2</v>
      </c>
      <c r="Q698" s="225">
        <f t="shared" si="147"/>
        <v>8</v>
      </c>
      <c r="R698" s="428" t="s">
        <v>1444</v>
      </c>
      <c r="S698" s="428" t="s">
        <v>1445</v>
      </c>
      <c r="T698" s="133"/>
      <c r="U698" s="405"/>
      <c r="V698" s="135"/>
      <c r="W698" s="133"/>
      <c r="X698" s="405"/>
      <c r="Y698" s="405"/>
      <c r="Z698" s="135"/>
      <c r="AA698" s="136"/>
      <c r="AB698" s="111"/>
      <c r="AC698" s="226"/>
      <c r="AD698" s="226">
        <f t="shared" si="145"/>
        <v>11036</v>
      </c>
    </row>
    <row r="699" spans="1:30" ht="294" outlineLevel="3" thickBot="1" x14ac:dyDescent="0.25">
      <c r="A699" s="199" t="s">
        <v>1528</v>
      </c>
      <c r="B699" s="484"/>
      <c r="C699" s="484"/>
      <c r="D699" s="484"/>
      <c r="E699" s="411" t="s">
        <v>1529</v>
      </c>
      <c r="F699" s="403" t="s">
        <v>1530</v>
      </c>
      <c r="G699" s="405" t="s">
        <v>1441</v>
      </c>
      <c r="H699" s="420" t="s">
        <v>1442</v>
      </c>
      <c r="I699" s="164">
        <v>2</v>
      </c>
      <c r="J699" s="163" t="s">
        <v>1531</v>
      </c>
      <c r="K699" s="165" t="s">
        <v>338</v>
      </c>
      <c r="L699" s="138">
        <v>1</v>
      </c>
      <c r="M699" s="166">
        <f t="shared" si="146"/>
        <v>2</v>
      </c>
      <c r="N699" s="133" t="s">
        <v>291</v>
      </c>
      <c r="O699" s="420" t="s">
        <v>1443</v>
      </c>
      <c r="P699" s="138">
        <v>2</v>
      </c>
      <c r="Q699" s="225">
        <f t="shared" si="147"/>
        <v>4</v>
      </c>
      <c r="R699" s="428" t="s">
        <v>1444</v>
      </c>
      <c r="S699" s="428" t="s">
        <v>1445</v>
      </c>
      <c r="T699" s="133"/>
      <c r="U699" s="405"/>
      <c r="V699" s="135"/>
      <c r="W699" s="133"/>
      <c r="X699" s="405"/>
      <c r="Y699" s="405"/>
      <c r="Z699" s="135"/>
      <c r="AA699" s="136"/>
      <c r="AB699" s="111"/>
      <c r="AC699" s="226"/>
      <c r="AD699" s="226">
        <f t="shared" si="145"/>
        <v>5542</v>
      </c>
    </row>
    <row r="700" spans="1:30" ht="153.75" outlineLevel="3" thickBot="1" x14ac:dyDescent="0.25">
      <c r="A700" s="199" t="s">
        <v>1532</v>
      </c>
      <c r="B700" s="480"/>
      <c r="C700" s="480"/>
      <c r="D700" s="480"/>
      <c r="E700" s="420" t="s">
        <v>1533</v>
      </c>
      <c r="F700" s="411" t="s">
        <v>1530</v>
      </c>
      <c r="G700" s="405" t="s">
        <v>1448</v>
      </c>
      <c r="H700" s="420" t="s">
        <v>1449</v>
      </c>
      <c r="I700" s="164">
        <v>4</v>
      </c>
      <c r="J700" s="163" t="s">
        <v>775</v>
      </c>
      <c r="K700" s="165" t="s">
        <v>338</v>
      </c>
      <c r="L700" s="138">
        <v>1</v>
      </c>
      <c r="M700" s="166">
        <f t="shared" si="146"/>
        <v>4</v>
      </c>
      <c r="N700" s="133" t="s">
        <v>291</v>
      </c>
      <c r="O700" s="420" t="s">
        <v>1443</v>
      </c>
      <c r="P700" s="138">
        <v>2</v>
      </c>
      <c r="Q700" s="225">
        <f t="shared" si="147"/>
        <v>8</v>
      </c>
      <c r="R700" s="428" t="s">
        <v>1444</v>
      </c>
      <c r="S700" s="428" t="s">
        <v>1445</v>
      </c>
      <c r="T700" s="133"/>
      <c r="U700" s="405"/>
      <c r="V700" s="135"/>
      <c r="W700" s="133"/>
      <c r="X700" s="405"/>
      <c r="Y700" s="405"/>
      <c r="Z700" s="135"/>
      <c r="AA700" s="136"/>
      <c r="AB700" s="111"/>
      <c r="AC700" s="226"/>
      <c r="AD700" s="226">
        <f t="shared" si="145"/>
        <v>11037</v>
      </c>
    </row>
    <row r="701" spans="1:30" ht="294" outlineLevel="3" thickBot="1" x14ac:dyDescent="0.25">
      <c r="A701" s="199" t="s">
        <v>1534</v>
      </c>
      <c r="B701" s="479" t="s">
        <v>388</v>
      </c>
      <c r="C701" s="479" t="s">
        <v>389</v>
      </c>
      <c r="D701" s="479" t="s">
        <v>390</v>
      </c>
      <c r="E701" s="406" t="s">
        <v>300</v>
      </c>
      <c r="F701" s="404" t="s">
        <v>391</v>
      </c>
      <c r="G701" s="405" t="s">
        <v>1441</v>
      </c>
      <c r="H701" s="420" t="s">
        <v>1442</v>
      </c>
      <c r="I701" s="164">
        <v>2</v>
      </c>
      <c r="J701" s="163" t="s">
        <v>302</v>
      </c>
      <c r="K701" s="165" t="s">
        <v>338</v>
      </c>
      <c r="L701" s="138">
        <v>1</v>
      </c>
      <c r="M701" s="166">
        <f t="shared" si="146"/>
        <v>2</v>
      </c>
      <c r="N701" s="133" t="s">
        <v>291</v>
      </c>
      <c r="O701" s="420" t="s">
        <v>1443</v>
      </c>
      <c r="P701" s="138">
        <v>2</v>
      </c>
      <c r="Q701" s="225">
        <f t="shared" si="147"/>
        <v>4</v>
      </c>
      <c r="R701" s="428" t="s">
        <v>1444</v>
      </c>
      <c r="S701" s="428" t="s">
        <v>1445</v>
      </c>
      <c r="T701" s="133"/>
      <c r="U701" s="405"/>
      <c r="V701" s="135"/>
      <c r="W701" s="133"/>
      <c r="X701" s="405"/>
      <c r="Y701" s="405"/>
      <c r="Z701" s="135"/>
      <c r="AA701" s="136"/>
      <c r="AB701" s="111"/>
      <c r="AC701" s="226"/>
      <c r="AD701" s="226">
        <f t="shared" si="145"/>
        <v>5543</v>
      </c>
    </row>
    <row r="702" spans="1:30" ht="153.75" outlineLevel="3" thickBot="1" x14ac:dyDescent="0.25">
      <c r="A702" s="199" t="s">
        <v>1535</v>
      </c>
      <c r="B702" s="484"/>
      <c r="C702" s="484"/>
      <c r="D702" s="484"/>
      <c r="E702" s="412" t="s">
        <v>1536</v>
      </c>
      <c r="F702" s="412" t="s">
        <v>391</v>
      </c>
      <c r="G702" s="405" t="s">
        <v>1448</v>
      </c>
      <c r="H702" s="420" t="s">
        <v>1449</v>
      </c>
      <c r="I702" s="164">
        <v>4</v>
      </c>
      <c r="J702" s="163" t="s">
        <v>302</v>
      </c>
      <c r="K702" s="165" t="s">
        <v>338</v>
      </c>
      <c r="L702" s="138">
        <v>1</v>
      </c>
      <c r="M702" s="166">
        <f t="shared" si="146"/>
        <v>4</v>
      </c>
      <c r="N702" s="133" t="s">
        <v>291</v>
      </c>
      <c r="O702" s="420" t="s">
        <v>1443</v>
      </c>
      <c r="P702" s="138">
        <v>2</v>
      </c>
      <c r="Q702" s="225">
        <f t="shared" si="147"/>
        <v>8</v>
      </c>
      <c r="R702" s="428" t="s">
        <v>1444</v>
      </c>
      <c r="S702" s="428" t="s">
        <v>1445</v>
      </c>
      <c r="T702" s="133"/>
      <c r="U702" s="405"/>
      <c r="V702" s="135"/>
      <c r="W702" s="133"/>
      <c r="X702" s="405"/>
      <c r="Y702" s="405"/>
      <c r="Z702" s="135"/>
      <c r="AA702" s="136"/>
      <c r="AB702" s="111"/>
      <c r="AC702" s="226"/>
      <c r="AD702" s="226">
        <f t="shared" si="145"/>
        <v>11038</v>
      </c>
    </row>
    <row r="703" spans="1:30" ht="294" outlineLevel="3" thickBot="1" x14ac:dyDescent="0.25">
      <c r="A703" s="199" t="s">
        <v>1537</v>
      </c>
      <c r="B703" s="484"/>
      <c r="C703" s="484"/>
      <c r="D703" s="484"/>
      <c r="E703" s="406" t="s">
        <v>393</v>
      </c>
      <c r="F703" s="425" t="s">
        <v>1538</v>
      </c>
      <c r="G703" s="405" t="s">
        <v>1441</v>
      </c>
      <c r="H703" s="420" t="s">
        <v>1442</v>
      </c>
      <c r="I703" s="164">
        <v>2</v>
      </c>
      <c r="J703" s="163" t="s">
        <v>307</v>
      </c>
      <c r="K703" s="165" t="s">
        <v>338</v>
      </c>
      <c r="L703" s="138">
        <v>1</v>
      </c>
      <c r="M703" s="166">
        <f t="shared" si="146"/>
        <v>2</v>
      </c>
      <c r="N703" s="133" t="s">
        <v>291</v>
      </c>
      <c r="O703" s="420" t="s">
        <v>1443</v>
      </c>
      <c r="P703" s="138">
        <v>2</v>
      </c>
      <c r="Q703" s="225">
        <f t="shared" si="147"/>
        <v>4</v>
      </c>
      <c r="R703" s="428" t="s">
        <v>1444</v>
      </c>
      <c r="S703" s="428" t="s">
        <v>1445</v>
      </c>
      <c r="T703" s="133"/>
      <c r="U703" s="405"/>
      <c r="V703" s="135"/>
      <c r="W703" s="133"/>
      <c r="X703" s="405"/>
      <c r="Y703" s="405"/>
      <c r="Z703" s="135"/>
      <c r="AA703" s="136"/>
      <c r="AB703" s="111"/>
      <c r="AC703" s="226"/>
      <c r="AD703" s="226">
        <f t="shared" si="145"/>
        <v>5544</v>
      </c>
    </row>
    <row r="704" spans="1:30" ht="204.75" outlineLevel="3" thickBot="1" x14ac:dyDescent="0.25">
      <c r="A704" s="199" t="s">
        <v>1539</v>
      </c>
      <c r="B704" s="480"/>
      <c r="C704" s="480"/>
      <c r="D704" s="597"/>
      <c r="E704" s="412" t="s">
        <v>1540</v>
      </c>
      <c r="F704" s="342" t="s">
        <v>1541</v>
      </c>
      <c r="G704" s="405" t="s">
        <v>1448</v>
      </c>
      <c r="H704" s="420" t="s">
        <v>1449</v>
      </c>
      <c r="I704" s="164">
        <v>4</v>
      </c>
      <c r="J704" s="163" t="s">
        <v>307</v>
      </c>
      <c r="K704" s="165" t="s">
        <v>338</v>
      </c>
      <c r="L704" s="138">
        <v>1</v>
      </c>
      <c r="M704" s="166">
        <f t="shared" ref="M704" si="160">I704*L704</f>
        <v>4</v>
      </c>
      <c r="N704" s="133" t="s">
        <v>291</v>
      </c>
      <c r="O704" s="420" t="s">
        <v>1443</v>
      </c>
      <c r="P704" s="138">
        <v>2</v>
      </c>
      <c r="Q704" s="225">
        <f t="shared" ref="Q704" si="161">I704*L704*P704</f>
        <v>8</v>
      </c>
      <c r="R704" s="428" t="s">
        <v>1444</v>
      </c>
      <c r="S704" s="428" t="s">
        <v>1445</v>
      </c>
      <c r="T704" s="133"/>
      <c r="U704" s="405"/>
      <c r="V704" s="135"/>
      <c r="W704" s="133"/>
      <c r="X704" s="405"/>
      <c r="Y704" s="405"/>
      <c r="Z704" s="135"/>
      <c r="AA704" s="136"/>
      <c r="AB704" s="111"/>
      <c r="AC704" s="226"/>
      <c r="AD704" s="226">
        <f t="shared" si="145"/>
        <v>11039</v>
      </c>
    </row>
    <row r="705" spans="1:31" ht="294" outlineLevel="3" thickBot="1" x14ac:dyDescent="0.25">
      <c r="A705" s="199" t="s">
        <v>1542</v>
      </c>
      <c r="B705" s="479" t="s">
        <v>1543</v>
      </c>
      <c r="C705" s="479"/>
      <c r="D705" s="479" t="s">
        <v>397</v>
      </c>
      <c r="E705" s="412" t="s">
        <v>398</v>
      </c>
      <c r="F705" s="411" t="s">
        <v>399</v>
      </c>
      <c r="G705" s="405" t="s">
        <v>1441</v>
      </c>
      <c r="H705" s="420" t="s">
        <v>1442</v>
      </c>
      <c r="I705" s="164">
        <v>2</v>
      </c>
      <c r="J705" s="163" t="s">
        <v>438</v>
      </c>
      <c r="K705" s="165" t="s">
        <v>338</v>
      </c>
      <c r="L705" s="138">
        <v>1</v>
      </c>
      <c r="M705" s="166">
        <f t="shared" si="146"/>
        <v>2</v>
      </c>
      <c r="N705" s="133" t="s">
        <v>291</v>
      </c>
      <c r="O705" s="420" t="s">
        <v>1443</v>
      </c>
      <c r="P705" s="138">
        <v>2</v>
      </c>
      <c r="Q705" s="225">
        <f t="shared" si="147"/>
        <v>4</v>
      </c>
      <c r="R705" s="428" t="s">
        <v>1444</v>
      </c>
      <c r="S705" s="428" t="s">
        <v>1445</v>
      </c>
      <c r="T705" s="133"/>
      <c r="U705" s="405"/>
      <c r="V705" s="135"/>
      <c r="W705" s="133"/>
      <c r="X705" s="405"/>
      <c r="Y705" s="405"/>
      <c r="Z705" s="135"/>
      <c r="AA705" s="136"/>
      <c r="AB705" s="111"/>
      <c r="AC705" s="226"/>
      <c r="AD705" s="226">
        <f t="shared" si="145"/>
        <v>5545</v>
      </c>
    </row>
    <row r="706" spans="1:31" ht="294" outlineLevel="3" thickBot="1" x14ac:dyDescent="0.25">
      <c r="A706" s="199" t="s">
        <v>1544</v>
      </c>
      <c r="B706" s="484"/>
      <c r="C706" s="484"/>
      <c r="D706" s="596"/>
      <c r="E706" s="412" t="s">
        <v>340</v>
      </c>
      <c r="F706" s="412" t="s">
        <v>1545</v>
      </c>
      <c r="G706" s="428" t="s">
        <v>1441</v>
      </c>
      <c r="H706" s="420" t="s">
        <v>1442</v>
      </c>
      <c r="I706" s="164">
        <v>2</v>
      </c>
      <c r="J706" s="163" t="s">
        <v>402</v>
      </c>
      <c r="K706" s="165" t="s">
        <v>338</v>
      </c>
      <c r="L706" s="138">
        <v>1</v>
      </c>
      <c r="M706" s="166">
        <f t="shared" si="146"/>
        <v>2</v>
      </c>
      <c r="N706" s="133" t="s">
        <v>291</v>
      </c>
      <c r="O706" s="420" t="s">
        <v>1443</v>
      </c>
      <c r="P706" s="138">
        <v>2</v>
      </c>
      <c r="Q706" s="225">
        <f t="shared" si="147"/>
        <v>4</v>
      </c>
      <c r="R706" s="428" t="s">
        <v>1444</v>
      </c>
      <c r="S706" s="428" t="s">
        <v>1445</v>
      </c>
      <c r="T706" s="133"/>
      <c r="U706" s="405"/>
      <c r="V706" s="135"/>
      <c r="W706" s="133"/>
      <c r="X706" s="405"/>
      <c r="Y706" s="405"/>
      <c r="Z706" s="135"/>
      <c r="AA706" s="136"/>
      <c r="AB706" s="111"/>
      <c r="AC706" s="226"/>
      <c r="AD706" s="226">
        <f t="shared" si="145"/>
        <v>5546</v>
      </c>
    </row>
    <row r="707" spans="1:31" ht="128.25" outlineLevel="3" thickBot="1" x14ac:dyDescent="0.25">
      <c r="A707" s="199" t="s">
        <v>1546</v>
      </c>
      <c r="B707" s="477" t="s">
        <v>404</v>
      </c>
      <c r="C707" s="479" t="s">
        <v>405</v>
      </c>
      <c r="D707" s="479" t="s">
        <v>406</v>
      </c>
      <c r="E707" s="417" t="s">
        <v>407</v>
      </c>
      <c r="F707" s="417" t="s">
        <v>408</v>
      </c>
      <c r="G707" s="405" t="s">
        <v>1436</v>
      </c>
      <c r="H707" s="127" t="s">
        <v>238</v>
      </c>
      <c r="I707" s="128">
        <v>1</v>
      </c>
      <c r="J707" s="163" t="s">
        <v>277</v>
      </c>
      <c r="K707" s="130" t="s">
        <v>338</v>
      </c>
      <c r="L707" s="131">
        <v>1</v>
      </c>
      <c r="M707" s="132">
        <f t="shared" si="146"/>
        <v>1</v>
      </c>
      <c r="N707" s="133" t="s">
        <v>291</v>
      </c>
      <c r="O707" s="69" t="s">
        <v>242</v>
      </c>
      <c r="P707" s="131">
        <v>5</v>
      </c>
      <c r="Q707" s="134">
        <f t="shared" si="147"/>
        <v>5</v>
      </c>
      <c r="R707" s="428"/>
      <c r="S707" s="428"/>
      <c r="T707" s="133"/>
      <c r="U707" s="405"/>
      <c r="V707" s="135"/>
      <c r="W707" s="133"/>
      <c r="X707" s="405"/>
      <c r="Y707" s="405"/>
      <c r="Z707" s="135"/>
      <c r="AA707" s="136"/>
      <c r="AB707" s="111"/>
      <c r="AC707" s="226"/>
      <c r="AD707" s="226">
        <f t="shared" si="145"/>
        <v>5547</v>
      </c>
    </row>
    <row r="708" spans="1:31" ht="294" outlineLevel="3" thickBot="1" x14ac:dyDescent="0.25">
      <c r="A708" s="199" t="s">
        <v>1547</v>
      </c>
      <c r="B708" s="483"/>
      <c r="C708" s="484"/>
      <c r="D708" s="484"/>
      <c r="E708" s="412" t="s">
        <v>279</v>
      </c>
      <c r="F708" s="411" t="s">
        <v>1548</v>
      </c>
      <c r="G708" s="405" t="s">
        <v>1441</v>
      </c>
      <c r="H708" s="420" t="s">
        <v>1442</v>
      </c>
      <c r="I708" s="164">
        <v>2</v>
      </c>
      <c r="J708" s="163" t="s">
        <v>412</v>
      </c>
      <c r="K708" s="165" t="s">
        <v>338</v>
      </c>
      <c r="L708" s="138">
        <v>1</v>
      </c>
      <c r="M708" s="166">
        <f t="shared" si="146"/>
        <v>2</v>
      </c>
      <c r="N708" s="133" t="s">
        <v>291</v>
      </c>
      <c r="O708" s="420" t="s">
        <v>1443</v>
      </c>
      <c r="P708" s="138">
        <v>2</v>
      </c>
      <c r="Q708" s="225">
        <f t="shared" si="147"/>
        <v>4</v>
      </c>
      <c r="R708" s="428" t="s">
        <v>1444</v>
      </c>
      <c r="S708" s="428" t="s">
        <v>1445</v>
      </c>
      <c r="T708" s="133"/>
      <c r="U708" s="405"/>
      <c r="V708" s="135"/>
      <c r="W708" s="133"/>
      <c r="X708" s="405"/>
      <c r="Y708" s="405"/>
      <c r="Z708" s="135"/>
      <c r="AA708" s="136"/>
      <c r="AB708" s="111"/>
      <c r="AC708" s="363"/>
      <c r="AD708" s="226">
        <f t="shared" si="145"/>
        <v>5548</v>
      </c>
    </row>
    <row r="709" spans="1:31" ht="153.75" outlineLevel="3" thickBot="1" x14ac:dyDescent="0.25">
      <c r="A709" s="199" t="s">
        <v>1549</v>
      </c>
      <c r="B709" s="478"/>
      <c r="C709" s="480"/>
      <c r="D709" s="480"/>
      <c r="E709" s="406" t="s">
        <v>1506</v>
      </c>
      <c r="F709" s="403" t="s">
        <v>1548</v>
      </c>
      <c r="G709" s="405" t="s">
        <v>1448</v>
      </c>
      <c r="H709" s="420" t="s">
        <v>1449</v>
      </c>
      <c r="I709" s="164">
        <v>4</v>
      </c>
      <c r="J709" s="163" t="s">
        <v>412</v>
      </c>
      <c r="K709" s="165" t="s">
        <v>338</v>
      </c>
      <c r="L709" s="138">
        <v>1</v>
      </c>
      <c r="M709" s="166">
        <f t="shared" si="146"/>
        <v>4</v>
      </c>
      <c r="N709" s="133" t="s">
        <v>291</v>
      </c>
      <c r="O709" s="420" t="s">
        <v>1443</v>
      </c>
      <c r="P709" s="138">
        <v>2</v>
      </c>
      <c r="Q709" s="225">
        <f t="shared" si="147"/>
        <v>8</v>
      </c>
      <c r="R709" s="428" t="s">
        <v>1444</v>
      </c>
      <c r="S709" s="428" t="s">
        <v>1445</v>
      </c>
      <c r="T709" s="133"/>
      <c r="U709" s="405"/>
      <c r="V709" s="135"/>
      <c r="W709" s="133"/>
      <c r="X709" s="405"/>
      <c r="Y709" s="405"/>
      <c r="Z709" s="135"/>
      <c r="AA709" s="136"/>
      <c r="AB709" s="111"/>
      <c r="AC709" s="226"/>
      <c r="AD709" s="226">
        <f t="shared" si="145"/>
        <v>11040</v>
      </c>
    </row>
    <row r="710" spans="1:31" ht="294" outlineLevel="3" thickBot="1" x14ac:dyDescent="0.25">
      <c r="A710" s="199" t="s">
        <v>1550</v>
      </c>
      <c r="B710" s="479" t="s">
        <v>1551</v>
      </c>
      <c r="C710" s="479" t="s">
        <v>415</v>
      </c>
      <c r="D710" s="605" t="s">
        <v>416</v>
      </c>
      <c r="E710" s="411" t="s">
        <v>417</v>
      </c>
      <c r="F710" s="208" t="s">
        <v>418</v>
      </c>
      <c r="G710" s="428" t="s">
        <v>1441</v>
      </c>
      <c r="H710" s="420" t="s">
        <v>1442</v>
      </c>
      <c r="I710" s="164">
        <v>2</v>
      </c>
      <c r="J710" s="163" t="s">
        <v>302</v>
      </c>
      <c r="K710" s="165" t="s">
        <v>338</v>
      </c>
      <c r="L710" s="138">
        <v>1</v>
      </c>
      <c r="M710" s="166">
        <f t="shared" si="146"/>
        <v>2</v>
      </c>
      <c r="N710" s="133" t="s">
        <v>291</v>
      </c>
      <c r="O710" s="420" t="s">
        <v>1443</v>
      </c>
      <c r="P710" s="138">
        <v>2</v>
      </c>
      <c r="Q710" s="225">
        <f t="shared" si="147"/>
        <v>4</v>
      </c>
      <c r="R710" s="428" t="s">
        <v>1444</v>
      </c>
      <c r="S710" s="428" t="s">
        <v>1445</v>
      </c>
      <c r="T710" s="133"/>
      <c r="U710" s="405"/>
      <c r="V710" s="135"/>
      <c r="W710" s="133"/>
      <c r="X710" s="405"/>
      <c r="Y710" s="405"/>
      <c r="Z710" s="135"/>
      <c r="AA710" s="136">
        <f t="shared" si="144"/>
        <v>0</v>
      </c>
      <c r="AB710" s="111"/>
      <c r="AC710" s="226"/>
      <c r="AD710" s="226">
        <f t="shared" ref="AD710:AD773" si="162">VALUE(RIGHT((IF(A710="",0,A710)),5))</f>
        <v>5549</v>
      </c>
    </row>
    <row r="711" spans="1:31" s="144" customFormat="1" ht="153.75" outlineLevel="3" thickBot="1" x14ac:dyDescent="0.25">
      <c r="A711" s="199" t="s">
        <v>1552</v>
      </c>
      <c r="B711" s="484"/>
      <c r="C711" s="484"/>
      <c r="D711" s="596"/>
      <c r="E711" s="403" t="s">
        <v>1553</v>
      </c>
      <c r="F711" s="209" t="s">
        <v>418</v>
      </c>
      <c r="G711" s="405" t="s">
        <v>1448</v>
      </c>
      <c r="H711" s="420" t="s">
        <v>1449</v>
      </c>
      <c r="I711" s="164">
        <v>4</v>
      </c>
      <c r="J711" s="163" t="s">
        <v>302</v>
      </c>
      <c r="K711" s="165" t="s">
        <v>338</v>
      </c>
      <c r="L711" s="138">
        <v>1</v>
      </c>
      <c r="M711" s="166">
        <f t="shared" ref="M711" si="163">I711*L711</f>
        <v>4</v>
      </c>
      <c r="N711" s="133" t="s">
        <v>291</v>
      </c>
      <c r="O711" s="420" t="s">
        <v>1443</v>
      </c>
      <c r="P711" s="138">
        <v>2</v>
      </c>
      <c r="Q711" s="225">
        <f t="shared" ref="Q711" si="164">I711*L711*P711</f>
        <v>8</v>
      </c>
      <c r="R711" s="428" t="s">
        <v>1444</v>
      </c>
      <c r="S711" s="428" t="s">
        <v>1445</v>
      </c>
      <c r="T711" s="133"/>
      <c r="U711" s="405"/>
      <c r="V711" s="135"/>
      <c r="W711" s="133"/>
      <c r="X711" s="405"/>
      <c r="Y711" s="405"/>
      <c r="Z711" s="135"/>
      <c r="AA711" s="136"/>
      <c r="AB711" s="111"/>
      <c r="AC711" s="226"/>
      <c r="AD711" s="226">
        <f t="shared" si="162"/>
        <v>11041</v>
      </c>
      <c r="AE711" s="227"/>
    </row>
    <row r="712" spans="1:31" s="144" customFormat="1" ht="294" outlineLevel="3" thickBot="1" x14ac:dyDescent="0.25">
      <c r="A712" s="199" t="s">
        <v>1554</v>
      </c>
      <c r="B712" s="484"/>
      <c r="C712" s="484"/>
      <c r="D712" s="596"/>
      <c r="E712" s="412" t="s">
        <v>393</v>
      </c>
      <c r="F712" s="340" t="s">
        <v>1226</v>
      </c>
      <c r="G712" s="428" t="s">
        <v>1441</v>
      </c>
      <c r="H712" s="420" t="s">
        <v>1442</v>
      </c>
      <c r="I712" s="164">
        <v>2</v>
      </c>
      <c r="J712" s="163" t="s">
        <v>307</v>
      </c>
      <c r="K712" s="165" t="s">
        <v>1555</v>
      </c>
      <c r="L712" s="138">
        <v>1</v>
      </c>
      <c r="M712" s="166">
        <f t="shared" si="146"/>
        <v>2</v>
      </c>
      <c r="N712" s="133" t="s">
        <v>1459</v>
      </c>
      <c r="O712" s="420" t="s">
        <v>1443</v>
      </c>
      <c r="P712" s="138">
        <v>2</v>
      </c>
      <c r="Q712" s="225">
        <f t="shared" si="147"/>
        <v>4</v>
      </c>
      <c r="R712" s="428" t="s">
        <v>1444</v>
      </c>
      <c r="S712" s="428" t="s">
        <v>1445</v>
      </c>
      <c r="T712" s="133"/>
      <c r="U712" s="405"/>
      <c r="V712" s="135"/>
      <c r="W712" s="133"/>
      <c r="X712" s="405"/>
      <c r="Y712" s="405"/>
      <c r="Z712" s="135"/>
      <c r="AA712" s="136"/>
      <c r="AB712" s="111"/>
      <c r="AC712" s="226"/>
      <c r="AD712" s="226">
        <f t="shared" si="162"/>
        <v>5550</v>
      </c>
      <c r="AE712" s="227"/>
    </row>
    <row r="713" spans="1:31" s="144" customFormat="1" ht="230.25" outlineLevel="3" thickBot="1" x14ac:dyDescent="0.25">
      <c r="A713" s="199" t="s">
        <v>1556</v>
      </c>
      <c r="B713" s="480"/>
      <c r="C713" s="480"/>
      <c r="D713" s="597"/>
      <c r="E713" s="406" t="s">
        <v>1557</v>
      </c>
      <c r="F713" s="341" t="s">
        <v>1226</v>
      </c>
      <c r="G713" s="405" t="s">
        <v>1448</v>
      </c>
      <c r="H713" s="420" t="s">
        <v>1449</v>
      </c>
      <c r="I713" s="164">
        <v>4</v>
      </c>
      <c r="J713" s="163" t="s">
        <v>307</v>
      </c>
      <c r="K713" s="165" t="s">
        <v>1555</v>
      </c>
      <c r="L713" s="138">
        <v>1</v>
      </c>
      <c r="M713" s="166">
        <f t="shared" si="146"/>
        <v>4</v>
      </c>
      <c r="N713" s="133" t="s">
        <v>291</v>
      </c>
      <c r="O713" s="420" t="s">
        <v>1443</v>
      </c>
      <c r="P713" s="138">
        <v>2</v>
      </c>
      <c r="Q713" s="225">
        <f t="shared" si="147"/>
        <v>8</v>
      </c>
      <c r="R713" s="428" t="s">
        <v>1444</v>
      </c>
      <c r="S713" s="428" t="s">
        <v>1445</v>
      </c>
      <c r="T713" s="133"/>
      <c r="U713" s="405"/>
      <c r="V713" s="135"/>
      <c r="W713" s="133"/>
      <c r="X713" s="405"/>
      <c r="Y713" s="405"/>
      <c r="Z713" s="135"/>
      <c r="AA713" s="136"/>
      <c r="AB713" s="111"/>
      <c r="AC713" s="226"/>
      <c r="AD713" s="226">
        <f t="shared" si="162"/>
        <v>11042</v>
      </c>
      <c r="AE713" s="227"/>
    </row>
    <row r="714" spans="1:31" s="144" customFormat="1" ht="294" outlineLevel="3" thickBot="1" x14ac:dyDescent="0.25">
      <c r="A714" s="199" t="s">
        <v>1558</v>
      </c>
      <c r="B714" s="477" t="s">
        <v>422</v>
      </c>
      <c r="C714" s="479" t="s">
        <v>423</v>
      </c>
      <c r="D714" s="602" t="s">
        <v>1559</v>
      </c>
      <c r="E714" s="412" t="s">
        <v>425</v>
      </c>
      <c r="F714" s="340" t="s">
        <v>418</v>
      </c>
      <c r="G714" s="428" t="s">
        <v>1441</v>
      </c>
      <c r="H714" s="420" t="s">
        <v>1442</v>
      </c>
      <c r="I714" s="164">
        <v>2</v>
      </c>
      <c r="J714" s="163" t="s">
        <v>1031</v>
      </c>
      <c r="K714" s="165" t="s">
        <v>338</v>
      </c>
      <c r="L714" s="138">
        <v>2</v>
      </c>
      <c r="M714" s="166">
        <f t="shared" si="146"/>
        <v>4</v>
      </c>
      <c r="N714" s="133" t="s">
        <v>291</v>
      </c>
      <c r="O714" s="420" t="s">
        <v>1443</v>
      </c>
      <c r="P714" s="138">
        <v>2</v>
      </c>
      <c r="Q714" s="225">
        <f t="shared" si="147"/>
        <v>8</v>
      </c>
      <c r="R714" s="428" t="s">
        <v>1444</v>
      </c>
      <c r="S714" s="428" t="s">
        <v>1445</v>
      </c>
      <c r="T714" s="133"/>
      <c r="U714" s="405"/>
      <c r="V714" s="135"/>
      <c r="W714" s="133"/>
      <c r="X714" s="405"/>
      <c r="Y714" s="405"/>
      <c r="Z714" s="135"/>
      <c r="AA714" s="136"/>
      <c r="AB714" s="111"/>
      <c r="AC714" s="226"/>
      <c r="AD714" s="226">
        <f t="shared" si="162"/>
        <v>5551</v>
      </c>
      <c r="AE714" s="227"/>
    </row>
    <row r="715" spans="1:31" ht="153.75" outlineLevel="3" thickBot="1" x14ac:dyDescent="0.25">
      <c r="A715" s="199" t="s">
        <v>1560</v>
      </c>
      <c r="B715" s="483"/>
      <c r="C715" s="484"/>
      <c r="D715" s="603"/>
      <c r="E715" s="406" t="s">
        <v>1467</v>
      </c>
      <c r="F715" s="341" t="s">
        <v>418</v>
      </c>
      <c r="G715" s="405" t="s">
        <v>1448</v>
      </c>
      <c r="H715" s="420" t="s">
        <v>1449</v>
      </c>
      <c r="I715" s="164">
        <v>4</v>
      </c>
      <c r="J715" s="163" t="s">
        <v>1031</v>
      </c>
      <c r="K715" s="165" t="s">
        <v>338</v>
      </c>
      <c r="L715" s="138">
        <v>1</v>
      </c>
      <c r="M715" s="166">
        <f t="shared" ref="M715" si="165">I715*L715</f>
        <v>4</v>
      </c>
      <c r="N715" s="133" t="s">
        <v>291</v>
      </c>
      <c r="O715" s="420" t="s">
        <v>1443</v>
      </c>
      <c r="P715" s="138">
        <v>2</v>
      </c>
      <c r="Q715" s="225">
        <f t="shared" ref="Q715" si="166">I715*L715*P715</f>
        <v>8</v>
      </c>
      <c r="R715" s="428" t="s">
        <v>1444</v>
      </c>
      <c r="S715" s="428" t="s">
        <v>1445</v>
      </c>
      <c r="T715" s="133"/>
      <c r="U715" s="405"/>
      <c r="V715" s="135"/>
      <c r="W715" s="133"/>
      <c r="X715" s="405"/>
      <c r="Y715" s="405"/>
      <c r="Z715" s="135"/>
      <c r="AA715" s="136"/>
      <c r="AB715" s="111"/>
      <c r="AC715" s="226"/>
      <c r="AD715" s="226">
        <f t="shared" si="162"/>
        <v>11043</v>
      </c>
    </row>
    <row r="716" spans="1:31" ht="294" outlineLevel="3" thickBot="1" x14ac:dyDescent="0.25">
      <c r="A716" s="199" t="s">
        <v>1561</v>
      </c>
      <c r="B716" s="483"/>
      <c r="C716" s="484"/>
      <c r="D716" s="603"/>
      <c r="E716" s="411" t="s">
        <v>340</v>
      </c>
      <c r="F716" s="208" t="s">
        <v>427</v>
      </c>
      <c r="G716" s="428" t="s">
        <v>1441</v>
      </c>
      <c r="H716" s="420" t="s">
        <v>1442</v>
      </c>
      <c r="I716" s="164">
        <v>2</v>
      </c>
      <c r="J716" s="163" t="s">
        <v>833</v>
      </c>
      <c r="K716" s="165" t="s">
        <v>338</v>
      </c>
      <c r="L716" s="138">
        <v>2</v>
      </c>
      <c r="M716" s="166">
        <f t="shared" si="146"/>
        <v>4</v>
      </c>
      <c r="N716" s="133" t="s">
        <v>291</v>
      </c>
      <c r="O716" s="420" t="s">
        <v>1443</v>
      </c>
      <c r="P716" s="138">
        <v>2</v>
      </c>
      <c r="Q716" s="225">
        <f t="shared" si="147"/>
        <v>8</v>
      </c>
      <c r="R716" s="428" t="s">
        <v>1444</v>
      </c>
      <c r="S716" s="428" t="s">
        <v>1445</v>
      </c>
      <c r="T716" s="133"/>
      <c r="U716" s="405"/>
      <c r="V716" s="135"/>
      <c r="W716" s="133"/>
      <c r="X716" s="405"/>
      <c r="Y716" s="405"/>
      <c r="Z716" s="135"/>
      <c r="AA716" s="136"/>
      <c r="AB716" s="111"/>
      <c r="AC716" s="226"/>
      <c r="AD716" s="226">
        <f t="shared" si="162"/>
        <v>5552</v>
      </c>
    </row>
    <row r="717" spans="1:31" ht="230.25" outlineLevel="3" thickBot="1" x14ac:dyDescent="0.25">
      <c r="A717" s="199" t="s">
        <v>1562</v>
      </c>
      <c r="B717" s="478"/>
      <c r="C717" s="480"/>
      <c r="D717" s="604"/>
      <c r="E717" s="411" t="s">
        <v>1501</v>
      </c>
      <c r="F717" s="208" t="s">
        <v>427</v>
      </c>
      <c r="G717" s="405" t="s">
        <v>1448</v>
      </c>
      <c r="H717" s="420" t="s">
        <v>1449</v>
      </c>
      <c r="I717" s="164">
        <v>4</v>
      </c>
      <c r="J717" s="163" t="s">
        <v>833</v>
      </c>
      <c r="K717" s="165" t="s">
        <v>338</v>
      </c>
      <c r="L717" s="138">
        <v>1</v>
      </c>
      <c r="M717" s="166">
        <f t="shared" si="146"/>
        <v>4</v>
      </c>
      <c r="N717" s="133" t="s">
        <v>291</v>
      </c>
      <c r="O717" s="420" t="s">
        <v>1443</v>
      </c>
      <c r="P717" s="138">
        <v>2</v>
      </c>
      <c r="Q717" s="225">
        <f t="shared" si="147"/>
        <v>8</v>
      </c>
      <c r="R717" s="428" t="s">
        <v>1444</v>
      </c>
      <c r="S717" s="428" t="s">
        <v>1445</v>
      </c>
      <c r="T717" s="133"/>
      <c r="U717" s="405"/>
      <c r="V717" s="135"/>
      <c r="W717" s="133"/>
      <c r="X717" s="405"/>
      <c r="Y717" s="405"/>
      <c r="Z717" s="135"/>
      <c r="AA717" s="136"/>
      <c r="AB717" s="111"/>
      <c r="AC717" s="227"/>
      <c r="AD717" s="226">
        <f t="shared" si="162"/>
        <v>11044</v>
      </c>
    </row>
    <row r="718" spans="1:31" ht="204.75" outlineLevel="3" thickBot="1" x14ac:dyDescent="0.25">
      <c r="A718" s="199" t="s">
        <v>1563</v>
      </c>
      <c r="B718" s="477" t="s">
        <v>430</v>
      </c>
      <c r="C718" s="479" t="s">
        <v>431</v>
      </c>
      <c r="D718" s="477" t="s">
        <v>432</v>
      </c>
      <c r="E718" s="404" t="s">
        <v>352</v>
      </c>
      <c r="F718" s="404" t="s">
        <v>433</v>
      </c>
      <c r="G718" s="405" t="s">
        <v>1436</v>
      </c>
      <c r="H718" s="420" t="s">
        <v>238</v>
      </c>
      <c r="I718" s="164">
        <v>2</v>
      </c>
      <c r="J718" s="163" t="s">
        <v>302</v>
      </c>
      <c r="K718" s="165" t="s">
        <v>338</v>
      </c>
      <c r="L718" s="138">
        <v>1</v>
      </c>
      <c r="M718" s="166">
        <f t="shared" si="146"/>
        <v>2</v>
      </c>
      <c r="N718" s="133" t="s">
        <v>291</v>
      </c>
      <c r="O718" s="420" t="s">
        <v>242</v>
      </c>
      <c r="P718" s="138">
        <v>5</v>
      </c>
      <c r="Q718" s="134">
        <f t="shared" si="147"/>
        <v>10</v>
      </c>
      <c r="R718" s="428"/>
      <c r="S718" s="428"/>
      <c r="T718" s="133"/>
      <c r="U718" s="405"/>
      <c r="V718" s="135"/>
      <c r="W718" s="133"/>
      <c r="X718" s="405"/>
      <c r="Y718" s="405"/>
      <c r="Z718" s="135"/>
      <c r="AA718" s="136">
        <f>X718*Y718*Z718</f>
        <v>0</v>
      </c>
      <c r="AB718" s="111"/>
      <c r="AC718" s="226"/>
      <c r="AD718" s="226">
        <f t="shared" si="162"/>
        <v>6977</v>
      </c>
    </row>
    <row r="719" spans="1:31" ht="294" outlineLevel="3" thickBot="1" x14ac:dyDescent="0.25">
      <c r="A719" s="199" t="s">
        <v>1564</v>
      </c>
      <c r="B719" s="483"/>
      <c r="C719" s="484"/>
      <c r="D719" s="585"/>
      <c r="E719" s="411" t="s">
        <v>355</v>
      </c>
      <c r="F719" s="208" t="s">
        <v>1565</v>
      </c>
      <c r="G719" s="428" t="s">
        <v>1441</v>
      </c>
      <c r="H719" s="420" t="s">
        <v>1442</v>
      </c>
      <c r="I719" s="164">
        <v>2</v>
      </c>
      <c r="J719" s="163" t="s">
        <v>307</v>
      </c>
      <c r="K719" s="165" t="s">
        <v>338</v>
      </c>
      <c r="L719" s="138">
        <v>1</v>
      </c>
      <c r="M719" s="166">
        <f t="shared" si="146"/>
        <v>2</v>
      </c>
      <c r="N719" s="133" t="s">
        <v>291</v>
      </c>
      <c r="O719" s="420" t="s">
        <v>1443</v>
      </c>
      <c r="P719" s="138">
        <v>2</v>
      </c>
      <c r="Q719" s="225">
        <f t="shared" si="147"/>
        <v>4</v>
      </c>
      <c r="R719" s="428" t="s">
        <v>1444</v>
      </c>
      <c r="S719" s="428" t="s">
        <v>1445</v>
      </c>
      <c r="T719" s="133"/>
      <c r="U719" s="405"/>
      <c r="V719" s="135"/>
      <c r="W719" s="133"/>
      <c r="X719" s="405"/>
      <c r="Y719" s="405"/>
      <c r="Z719" s="135"/>
      <c r="AA719" s="136"/>
      <c r="AB719" s="111"/>
      <c r="AC719" s="363"/>
      <c r="AD719" s="226">
        <f t="shared" si="162"/>
        <v>6978</v>
      </c>
    </row>
    <row r="720" spans="1:31" ht="192" outlineLevel="3" thickBot="1" x14ac:dyDescent="0.25">
      <c r="A720" s="199" t="s">
        <v>1566</v>
      </c>
      <c r="B720" s="478"/>
      <c r="C720" s="480"/>
      <c r="D720" s="584"/>
      <c r="E720" s="403" t="s">
        <v>1557</v>
      </c>
      <c r="F720" s="209" t="s">
        <v>1565</v>
      </c>
      <c r="G720" s="405" t="s">
        <v>1448</v>
      </c>
      <c r="H720" s="420" t="s">
        <v>1449</v>
      </c>
      <c r="I720" s="164">
        <v>4</v>
      </c>
      <c r="J720" s="163" t="s">
        <v>307</v>
      </c>
      <c r="K720" s="165" t="s">
        <v>338</v>
      </c>
      <c r="L720" s="138">
        <v>1</v>
      </c>
      <c r="M720" s="166">
        <f t="shared" ref="M720" si="167">I720*L720</f>
        <v>4</v>
      </c>
      <c r="N720" s="133" t="s">
        <v>291</v>
      </c>
      <c r="O720" s="420" t="s">
        <v>1443</v>
      </c>
      <c r="P720" s="138">
        <v>2</v>
      </c>
      <c r="Q720" s="225">
        <f t="shared" ref="Q720" si="168">I720*L720*P720</f>
        <v>8</v>
      </c>
      <c r="R720" s="428" t="s">
        <v>1444</v>
      </c>
      <c r="S720" s="428" t="s">
        <v>1445</v>
      </c>
      <c r="T720" s="133"/>
      <c r="U720" s="405"/>
      <c r="V720" s="135"/>
      <c r="W720" s="133"/>
      <c r="X720" s="405"/>
      <c r="Y720" s="405"/>
      <c r="Z720" s="135"/>
      <c r="AA720" s="136">
        <f>X720*Y720*Z720</f>
        <v>0</v>
      </c>
      <c r="AB720" s="111"/>
      <c r="AC720" s="363"/>
      <c r="AD720" s="226">
        <f t="shared" si="162"/>
        <v>11045</v>
      </c>
    </row>
    <row r="721" spans="1:30" ht="294" outlineLevel="3" thickBot="1" x14ac:dyDescent="0.25">
      <c r="A721" s="199" t="s">
        <v>1567</v>
      </c>
      <c r="B721" s="477" t="s">
        <v>1568</v>
      </c>
      <c r="C721" s="479" t="s">
        <v>464</v>
      </c>
      <c r="D721" s="583" t="s">
        <v>1569</v>
      </c>
      <c r="E721" s="411" t="s">
        <v>437</v>
      </c>
      <c r="F721" s="208" t="s">
        <v>418</v>
      </c>
      <c r="G721" s="428" t="s">
        <v>1441</v>
      </c>
      <c r="H721" s="420" t="s">
        <v>1442</v>
      </c>
      <c r="I721" s="164">
        <v>2</v>
      </c>
      <c r="J721" s="163" t="s">
        <v>438</v>
      </c>
      <c r="K721" s="165" t="s">
        <v>338</v>
      </c>
      <c r="L721" s="138">
        <v>1</v>
      </c>
      <c r="M721" s="166">
        <f t="shared" si="146"/>
        <v>2</v>
      </c>
      <c r="N721" s="133" t="s">
        <v>291</v>
      </c>
      <c r="O721" s="420" t="s">
        <v>1443</v>
      </c>
      <c r="P721" s="138">
        <v>2</v>
      </c>
      <c r="Q721" s="225">
        <f t="shared" si="147"/>
        <v>4</v>
      </c>
      <c r="R721" s="428" t="s">
        <v>1444</v>
      </c>
      <c r="S721" s="428" t="s">
        <v>1445</v>
      </c>
      <c r="T721" s="133"/>
      <c r="U721" s="405"/>
      <c r="V721" s="135"/>
      <c r="W721" s="133"/>
      <c r="X721" s="405"/>
      <c r="Y721" s="405"/>
      <c r="Z721" s="135"/>
      <c r="AA721" s="136"/>
      <c r="AB721" s="111"/>
      <c r="AC721" s="226"/>
      <c r="AD721" s="226">
        <f t="shared" si="162"/>
        <v>6979</v>
      </c>
    </row>
    <row r="722" spans="1:30" ht="166.5" outlineLevel="3" thickBot="1" x14ac:dyDescent="0.25">
      <c r="A722" s="199" t="s">
        <v>1570</v>
      </c>
      <c r="B722" s="483"/>
      <c r="C722" s="484"/>
      <c r="D722" s="585"/>
      <c r="E722" s="403" t="s">
        <v>1467</v>
      </c>
      <c r="F722" s="209" t="s">
        <v>418</v>
      </c>
      <c r="G722" s="428" t="s">
        <v>1462</v>
      </c>
      <c r="H722" s="420" t="s">
        <v>1449</v>
      </c>
      <c r="I722" s="164">
        <v>4</v>
      </c>
      <c r="J722" s="163" t="s">
        <v>438</v>
      </c>
      <c r="K722" s="165" t="s">
        <v>338</v>
      </c>
      <c r="L722" s="138">
        <v>1</v>
      </c>
      <c r="M722" s="166">
        <f t="shared" si="146"/>
        <v>4</v>
      </c>
      <c r="N722" s="133" t="s">
        <v>291</v>
      </c>
      <c r="O722" s="420" t="s">
        <v>1443</v>
      </c>
      <c r="P722" s="138">
        <v>2</v>
      </c>
      <c r="Q722" s="225">
        <f t="shared" si="147"/>
        <v>8</v>
      </c>
      <c r="R722" s="428" t="s">
        <v>1444</v>
      </c>
      <c r="S722" s="428" t="s">
        <v>1445</v>
      </c>
      <c r="T722" s="133"/>
      <c r="U722" s="405"/>
      <c r="V722" s="135"/>
      <c r="W722" s="133"/>
      <c r="X722" s="405"/>
      <c r="Y722" s="405"/>
      <c r="Z722" s="135"/>
      <c r="AA722" s="136">
        <f>X722*Y722*Z722</f>
        <v>0</v>
      </c>
      <c r="AB722" s="111"/>
      <c r="AC722" s="226"/>
      <c r="AD722" s="226">
        <f t="shared" si="162"/>
        <v>11046</v>
      </c>
    </row>
    <row r="723" spans="1:30" ht="294" outlineLevel="3" thickBot="1" x14ac:dyDescent="0.25">
      <c r="A723" s="199" t="s">
        <v>1571</v>
      </c>
      <c r="B723" s="483"/>
      <c r="C723" s="484"/>
      <c r="D723" s="585"/>
      <c r="E723" s="411" t="s">
        <v>440</v>
      </c>
      <c r="F723" s="208" t="s">
        <v>468</v>
      </c>
      <c r="G723" s="428" t="s">
        <v>1441</v>
      </c>
      <c r="H723" s="420" t="s">
        <v>1442</v>
      </c>
      <c r="I723" s="164">
        <v>1</v>
      </c>
      <c r="J723" s="163" t="s">
        <v>402</v>
      </c>
      <c r="K723" s="165" t="s">
        <v>338</v>
      </c>
      <c r="L723" s="138">
        <v>1</v>
      </c>
      <c r="M723" s="166">
        <f t="shared" si="146"/>
        <v>1</v>
      </c>
      <c r="N723" s="133" t="s">
        <v>291</v>
      </c>
      <c r="O723" s="420" t="s">
        <v>1443</v>
      </c>
      <c r="P723" s="138">
        <v>2</v>
      </c>
      <c r="Q723" s="225">
        <f t="shared" si="147"/>
        <v>2</v>
      </c>
      <c r="R723" s="428" t="s">
        <v>1444</v>
      </c>
      <c r="S723" s="428" t="s">
        <v>1445</v>
      </c>
      <c r="T723" s="133"/>
      <c r="U723" s="405"/>
      <c r="V723" s="135"/>
      <c r="W723" s="133"/>
      <c r="X723" s="405"/>
      <c r="Y723" s="405"/>
      <c r="Z723" s="135"/>
      <c r="AA723" s="136">
        <f t="shared" ref="AA723:AA750" si="169">X723*Y723*Z723</f>
        <v>0</v>
      </c>
      <c r="AB723" s="111"/>
      <c r="AC723" s="226"/>
      <c r="AD723" s="226">
        <f t="shared" si="162"/>
        <v>6980</v>
      </c>
    </row>
    <row r="724" spans="1:30" ht="166.5" outlineLevel="3" thickBot="1" x14ac:dyDescent="0.25">
      <c r="A724" s="199" t="s">
        <v>1572</v>
      </c>
      <c r="B724" s="478"/>
      <c r="C724" s="480"/>
      <c r="D724" s="584"/>
      <c r="E724" s="403" t="s">
        <v>1501</v>
      </c>
      <c r="F724" s="209" t="s">
        <v>468</v>
      </c>
      <c r="G724" s="428" t="s">
        <v>1462</v>
      </c>
      <c r="H724" s="420" t="s">
        <v>1449</v>
      </c>
      <c r="I724" s="164">
        <v>4</v>
      </c>
      <c r="J724" s="163" t="s">
        <v>402</v>
      </c>
      <c r="K724" s="165" t="s">
        <v>338</v>
      </c>
      <c r="L724" s="138">
        <v>1</v>
      </c>
      <c r="M724" s="166">
        <f t="shared" ref="M724" si="170">I724*L724</f>
        <v>4</v>
      </c>
      <c r="N724" s="133" t="s">
        <v>291</v>
      </c>
      <c r="O724" s="420" t="s">
        <v>1443</v>
      </c>
      <c r="P724" s="138">
        <v>2</v>
      </c>
      <c r="Q724" s="225">
        <f t="shared" ref="Q724" si="171">I724*L724*P724</f>
        <v>8</v>
      </c>
      <c r="R724" s="428" t="s">
        <v>1444</v>
      </c>
      <c r="S724" s="428" t="s">
        <v>1445</v>
      </c>
      <c r="T724" s="133"/>
      <c r="U724" s="405"/>
      <c r="V724" s="135"/>
      <c r="W724" s="133"/>
      <c r="X724" s="405"/>
      <c r="Y724" s="405"/>
      <c r="Z724" s="135"/>
      <c r="AA724" s="136"/>
      <c r="AB724" s="111"/>
      <c r="AC724" s="226"/>
      <c r="AD724" s="226">
        <f t="shared" si="162"/>
        <v>11047</v>
      </c>
    </row>
    <row r="725" spans="1:30" ht="294" outlineLevel="3" thickBot="1" x14ac:dyDescent="0.25">
      <c r="A725" s="199" t="s">
        <v>1573</v>
      </c>
      <c r="B725" s="477" t="s">
        <v>443</v>
      </c>
      <c r="C725" s="589" t="s">
        <v>444</v>
      </c>
      <c r="D725" s="583" t="s">
        <v>445</v>
      </c>
      <c r="E725" s="411" t="s">
        <v>437</v>
      </c>
      <c r="F725" s="208" t="s">
        <v>446</v>
      </c>
      <c r="G725" s="428" t="s">
        <v>1441</v>
      </c>
      <c r="H725" s="420" t="s">
        <v>1442</v>
      </c>
      <c r="I725" s="164">
        <v>2</v>
      </c>
      <c r="J725" s="163" t="s">
        <v>438</v>
      </c>
      <c r="K725" s="165" t="s">
        <v>338</v>
      </c>
      <c r="L725" s="138">
        <v>1</v>
      </c>
      <c r="M725" s="166">
        <f t="shared" si="146"/>
        <v>2</v>
      </c>
      <c r="N725" s="133" t="s">
        <v>291</v>
      </c>
      <c r="O725" s="420" t="s">
        <v>1443</v>
      </c>
      <c r="P725" s="138">
        <v>2</v>
      </c>
      <c r="Q725" s="225">
        <f t="shared" si="147"/>
        <v>4</v>
      </c>
      <c r="R725" s="428" t="s">
        <v>1444</v>
      </c>
      <c r="S725" s="428" t="s">
        <v>1445</v>
      </c>
      <c r="T725" s="133"/>
      <c r="U725" s="405"/>
      <c r="V725" s="135"/>
      <c r="W725" s="133"/>
      <c r="X725" s="405"/>
      <c r="Y725" s="405"/>
      <c r="Z725" s="135"/>
      <c r="AA725" s="136"/>
      <c r="AB725" s="111"/>
      <c r="AC725" s="226"/>
      <c r="AD725" s="226">
        <f t="shared" si="162"/>
        <v>6981</v>
      </c>
    </row>
    <row r="726" spans="1:30" ht="166.5" outlineLevel="3" thickBot="1" x14ac:dyDescent="0.25">
      <c r="A726" s="199" t="s">
        <v>1574</v>
      </c>
      <c r="B726" s="483"/>
      <c r="C726" s="598"/>
      <c r="D726" s="585"/>
      <c r="E726" s="403" t="s">
        <v>1467</v>
      </c>
      <c r="F726" s="209" t="s">
        <v>446</v>
      </c>
      <c r="G726" s="405" t="s">
        <v>1448</v>
      </c>
      <c r="H726" s="420" t="s">
        <v>1449</v>
      </c>
      <c r="I726" s="164">
        <v>4</v>
      </c>
      <c r="J726" s="163" t="s">
        <v>438</v>
      </c>
      <c r="K726" s="165" t="s">
        <v>338</v>
      </c>
      <c r="L726" s="138">
        <v>1</v>
      </c>
      <c r="M726" s="166">
        <f t="shared" si="146"/>
        <v>4</v>
      </c>
      <c r="N726" s="133" t="s">
        <v>291</v>
      </c>
      <c r="O726" s="420" t="s">
        <v>1443</v>
      </c>
      <c r="P726" s="138">
        <v>2</v>
      </c>
      <c r="Q726" s="225">
        <f t="shared" si="147"/>
        <v>8</v>
      </c>
      <c r="R726" s="428" t="s">
        <v>1444</v>
      </c>
      <c r="S726" s="428" t="s">
        <v>1445</v>
      </c>
      <c r="T726" s="133"/>
      <c r="U726" s="405"/>
      <c r="V726" s="135"/>
      <c r="W726" s="133"/>
      <c r="X726" s="405"/>
      <c r="Y726" s="405"/>
      <c r="Z726" s="135"/>
      <c r="AA726" s="136"/>
      <c r="AB726" s="111"/>
      <c r="AC726" s="363"/>
      <c r="AD726" s="226">
        <f t="shared" si="162"/>
        <v>11048</v>
      </c>
    </row>
    <row r="727" spans="1:30" ht="294" outlineLevel="3" thickBot="1" x14ac:dyDescent="0.25">
      <c r="A727" s="199" t="s">
        <v>1575</v>
      </c>
      <c r="B727" s="483"/>
      <c r="C727" s="598"/>
      <c r="D727" s="585"/>
      <c r="E727" s="411" t="s">
        <v>440</v>
      </c>
      <c r="F727" s="208" t="s">
        <v>448</v>
      </c>
      <c r="G727" s="428" t="s">
        <v>1441</v>
      </c>
      <c r="H727" s="420" t="s">
        <v>1442</v>
      </c>
      <c r="I727" s="164">
        <v>2</v>
      </c>
      <c r="J727" s="163" t="s">
        <v>402</v>
      </c>
      <c r="K727" s="165" t="s">
        <v>338</v>
      </c>
      <c r="L727" s="138">
        <v>1</v>
      </c>
      <c r="M727" s="166">
        <f t="shared" si="146"/>
        <v>2</v>
      </c>
      <c r="N727" s="133" t="s">
        <v>291</v>
      </c>
      <c r="O727" s="420" t="s">
        <v>1443</v>
      </c>
      <c r="P727" s="138">
        <v>2</v>
      </c>
      <c r="Q727" s="225">
        <f t="shared" si="147"/>
        <v>4</v>
      </c>
      <c r="R727" s="428" t="s">
        <v>1444</v>
      </c>
      <c r="S727" s="428" t="s">
        <v>1445</v>
      </c>
      <c r="T727" s="133"/>
      <c r="U727" s="405"/>
      <c r="V727" s="135"/>
      <c r="W727" s="133"/>
      <c r="X727" s="405"/>
      <c r="Y727" s="405"/>
      <c r="Z727" s="135"/>
      <c r="AA727" s="136">
        <f t="shared" si="169"/>
        <v>0</v>
      </c>
      <c r="AB727" s="111"/>
      <c r="AC727" s="363"/>
      <c r="AD727" s="226">
        <f t="shared" si="162"/>
        <v>6982</v>
      </c>
    </row>
    <row r="728" spans="1:30" ht="153.75" outlineLevel="3" thickBot="1" x14ac:dyDescent="0.25">
      <c r="A728" s="199" t="s">
        <v>1576</v>
      </c>
      <c r="B728" s="478"/>
      <c r="C728" s="590"/>
      <c r="D728" s="584"/>
      <c r="E728" s="411" t="s">
        <v>1501</v>
      </c>
      <c r="F728" s="208" t="s">
        <v>448</v>
      </c>
      <c r="G728" s="405" t="s">
        <v>1448</v>
      </c>
      <c r="H728" s="420" t="s">
        <v>1449</v>
      </c>
      <c r="I728" s="164">
        <v>4</v>
      </c>
      <c r="J728" s="163" t="s">
        <v>402</v>
      </c>
      <c r="K728" s="165" t="s">
        <v>338</v>
      </c>
      <c r="L728" s="138">
        <v>1</v>
      </c>
      <c r="M728" s="166">
        <f t="shared" ref="M728" si="172">I728*L728</f>
        <v>4</v>
      </c>
      <c r="N728" s="133" t="s">
        <v>291</v>
      </c>
      <c r="O728" s="420" t="s">
        <v>1443</v>
      </c>
      <c r="P728" s="138">
        <v>2</v>
      </c>
      <c r="Q728" s="225">
        <f t="shared" ref="Q728" si="173">I728*L728*P728</f>
        <v>8</v>
      </c>
      <c r="R728" s="428" t="s">
        <v>1444</v>
      </c>
      <c r="S728" s="428" t="s">
        <v>1445</v>
      </c>
      <c r="T728" s="133"/>
      <c r="U728" s="405"/>
      <c r="V728" s="135"/>
      <c r="W728" s="133"/>
      <c r="X728" s="405"/>
      <c r="Y728" s="405"/>
      <c r="Z728" s="135"/>
      <c r="AA728" s="136"/>
      <c r="AB728" s="111"/>
      <c r="AC728" s="363"/>
      <c r="AD728" s="226">
        <f t="shared" si="162"/>
        <v>11049</v>
      </c>
    </row>
    <row r="729" spans="1:30" ht="24.75" customHeight="1" outlineLevel="3" thickBot="1" x14ac:dyDescent="0.25">
      <c r="A729" s="199" t="s">
        <v>1577</v>
      </c>
      <c r="B729" s="477" t="s">
        <v>450</v>
      </c>
      <c r="C729" s="479" t="s">
        <v>451</v>
      </c>
      <c r="D729" s="477" t="s">
        <v>452</v>
      </c>
      <c r="E729" s="404" t="s">
        <v>437</v>
      </c>
      <c r="F729" s="404" t="s">
        <v>441</v>
      </c>
      <c r="G729" s="405" t="s">
        <v>1436</v>
      </c>
      <c r="H729" s="420" t="s">
        <v>238</v>
      </c>
      <c r="I729" s="164">
        <v>1</v>
      </c>
      <c r="J729" s="163" t="s">
        <v>438</v>
      </c>
      <c r="K729" s="130" t="s">
        <v>338</v>
      </c>
      <c r="L729" s="138">
        <v>2</v>
      </c>
      <c r="M729" s="166">
        <f t="shared" si="146"/>
        <v>2</v>
      </c>
      <c r="N729" s="133" t="s">
        <v>291</v>
      </c>
      <c r="O729" s="69" t="s">
        <v>242</v>
      </c>
      <c r="P729" s="131">
        <v>5</v>
      </c>
      <c r="Q729" s="134">
        <f t="shared" si="147"/>
        <v>10</v>
      </c>
      <c r="R729" s="428"/>
      <c r="S729" s="428"/>
      <c r="T729" s="133"/>
      <c r="U729" s="405"/>
      <c r="V729" s="135"/>
      <c r="W729" s="133"/>
      <c r="X729" s="405"/>
      <c r="Y729" s="405"/>
      <c r="Z729" s="135"/>
      <c r="AA729" s="136"/>
      <c r="AB729" s="111"/>
      <c r="AC729" s="363"/>
      <c r="AD729" s="226">
        <f t="shared" si="162"/>
        <v>6983</v>
      </c>
    </row>
    <row r="730" spans="1:30" ht="294" outlineLevel="3" thickBot="1" x14ac:dyDescent="0.25">
      <c r="A730" s="199" t="s">
        <v>1578</v>
      </c>
      <c r="B730" s="483"/>
      <c r="C730" s="484"/>
      <c r="D730" s="585"/>
      <c r="E730" s="411" t="s">
        <v>440</v>
      </c>
      <c r="F730" s="208" t="s">
        <v>454</v>
      </c>
      <c r="G730" s="206" t="s">
        <v>1441</v>
      </c>
      <c r="H730" s="420" t="s">
        <v>1442</v>
      </c>
      <c r="I730" s="164">
        <v>2</v>
      </c>
      <c r="J730" s="163" t="s">
        <v>402</v>
      </c>
      <c r="K730" s="165" t="s">
        <v>338</v>
      </c>
      <c r="L730" s="138">
        <v>2</v>
      </c>
      <c r="M730" s="166">
        <f t="shared" si="146"/>
        <v>4</v>
      </c>
      <c r="N730" s="133" t="s">
        <v>291</v>
      </c>
      <c r="O730" s="420" t="s">
        <v>1443</v>
      </c>
      <c r="P730" s="138">
        <v>2</v>
      </c>
      <c r="Q730" s="134">
        <f t="shared" si="147"/>
        <v>8</v>
      </c>
      <c r="R730" s="428" t="s">
        <v>1444</v>
      </c>
      <c r="S730" s="428" t="s">
        <v>1445</v>
      </c>
      <c r="T730" s="133"/>
      <c r="U730" s="405"/>
      <c r="V730" s="135"/>
      <c r="W730" s="133"/>
      <c r="X730" s="405"/>
      <c r="Y730" s="405"/>
      <c r="Z730" s="135"/>
      <c r="AA730" s="136"/>
      <c r="AB730" s="111"/>
      <c r="AC730" s="226"/>
      <c r="AD730" s="226">
        <f t="shared" si="162"/>
        <v>6984</v>
      </c>
    </row>
    <row r="731" spans="1:30" ht="153.75" outlineLevel="3" thickBot="1" x14ac:dyDescent="0.25">
      <c r="A731" s="199" t="s">
        <v>1579</v>
      </c>
      <c r="B731" s="478"/>
      <c r="C731" s="480"/>
      <c r="D731" s="584"/>
      <c r="E731" s="403" t="s">
        <v>1501</v>
      </c>
      <c r="F731" s="209" t="s">
        <v>454</v>
      </c>
      <c r="G731" s="405" t="s">
        <v>1448</v>
      </c>
      <c r="H731" s="420" t="s">
        <v>1449</v>
      </c>
      <c r="I731" s="164">
        <v>4</v>
      </c>
      <c r="J731" s="163" t="s">
        <v>402</v>
      </c>
      <c r="K731" s="165" t="s">
        <v>338</v>
      </c>
      <c r="L731" s="138">
        <v>2</v>
      </c>
      <c r="M731" s="166">
        <f t="shared" si="146"/>
        <v>8</v>
      </c>
      <c r="N731" s="133" t="s">
        <v>291</v>
      </c>
      <c r="O731" s="420" t="s">
        <v>1443</v>
      </c>
      <c r="P731" s="138">
        <v>2</v>
      </c>
      <c r="Q731" s="225">
        <f t="shared" si="147"/>
        <v>16</v>
      </c>
      <c r="R731" s="428" t="s">
        <v>1444</v>
      </c>
      <c r="S731" s="428" t="s">
        <v>1445</v>
      </c>
      <c r="T731" s="133"/>
      <c r="U731" s="405"/>
      <c r="V731" s="135"/>
      <c r="W731" s="133"/>
      <c r="X731" s="405"/>
      <c r="Y731" s="405"/>
      <c r="Z731" s="135"/>
      <c r="AA731" s="136">
        <f t="shared" si="169"/>
        <v>0</v>
      </c>
      <c r="AB731" s="111"/>
      <c r="AC731" s="226"/>
      <c r="AD731" s="226">
        <f t="shared" si="162"/>
        <v>11050</v>
      </c>
    </row>
    <row r="732" spans="1:30" ht="294" outlineLevel="3" thickBot="1" x14ac:dyDescent="0.25">
      <c r="A732" s="199" t="s">
        <v>1580</v>
      </c>
      <c r="B732" s="477" t="s">
        <v>456</v>
      </c>
      <c r="C732" s="479" t="s">
        <v>457</v>
      </c>
      <c r="D732" s="583" t="s">
        <v>458</v>
      </c>
      <c r="E732" s="411" t="s">
        <v>1581</v>
      </c>
      <c r="F732" s="208" t="s">
        <v>418</v>
      </c>
      <c r="G732" s="428" t="s">
        <v>1441</v>
      </c>
      <c r="H732" s="420" t="s">
        <v>1442</v>
      </c>
      <c r="I732" s="164">
        <v>2</v>
      </c>
      <c r="J732" s="163" t="s">
        <v>328</v>
      </c>
      <c r="K732" s="165" t="s">
        <v>338</v>
      </c>
      <c r="L732" s="138">
        <v>1</v>
      </c>
      <c r="M732" s="166">
        <f t="shared" si="146"/>
        <v>2</v>
      </c>
      <c r="N732" s="133" t="s">
        <v>291</v>
      </c>
      <c r="O732" s="420" t="s">
        <v>1443</v>
      </c>
      <c r="P732" s="138">
        <v>2</v>
      </c>
      <c r="Q732" s="225">
        <f t="shared" si="147"/>
        <v>4</v>
      </c>
      <c r="R732" s="428" t="s">
        <v>1444</v>
      </c>
      <c r="S732" s="428" t="s">
        <v>1445</v>
      </c>
      <c r="T732" s="133"/>
      <c r="U732" s="405"/>
      <c r="V732" s="135"/>
      <c r="W732" s="133"/>
      <c r="X732" s="405"/>
      <c r="Y732" s="405"/>
      <c r="Z732" s="135"/>
      <c r="AA732" s="136"/>
      <c r="AB732" s="111"/>
      <c r="AC732" s="226"/>
      <c r="AD732" s="226">
        <f t="shared" si="162"/>
        <v>5553</v>
      </c>
    </row>
    <row r="733" spans="1:30" ht="153.75" outlineLevel="3" thickBot="1" x14ac:dyDescent="0.25">
      <c r="A733" s="199" t="s">
        <v>1582</v>
      </c>
      <c r="B733" s="483"/>
      <c r="C733" s="484"/>
      <c r="D733" s="585"/>
      <c r="E733" s="403" t="s">
        <v>1583</v>
      </c>
      <c r="F733" s="209" t="s">
        <v>418</v>
      </c>
      <c r="G733" s="405" t="s">
        <v>1448</v>
      </c>
      <c r="H733" s="420" t="s">
        <v>1449</v>
      </c>
      <c r="I733" s="164">
        <v>4</v>
      </c>
      <c r="J733" s="163" t="s">
        <v>328</v>
      </c>
      <c r="K733" s="165" t="s">
        <v>338</v>
      </c>
      <c r="L733" s="138">
        <v>1</v>
      </c>
      <c r="M733" s="166">
        <f t="shared" ref="M733" si="174">I733*L733</f>
        <v>4</v>
      </c>
      <c r="N733" s="133" t="s">
        <v>291</v>
      </c>
      <c r="O733" s="420" t="s">
        <v>1443</v>
      </c>
      <c r="P733" s="138">
        <v>2</v>
      </c>
      <c r="Q733" s="225">
        <f t="shared" ref="Q733" si="175">I733*L733*P733</f>
        <v>8</v>
      </c>
      <c r="R733" s="428" t="s">
        <v>1444</v>
      </c>
      <c r="S733" s="428" t="s">
        <v>1445</v>
      </c>
      <c r="T733" s="133"/>
      <c r="U733" s="405"/>
      <c r="V733" s="135"/>
      <c r="W733" s="133"/>
      <c r="X733" s="405"/>
      <c r="Y733" s="405"/>
      <c r="Z733" s="135"/>
      <c r="AA733" s="136"/>
      <c r="AB733" s="111"/>
      <c r="AC733" s="226"/>
      <c r="AD733" s="226">
        <f t="shared" si="162"/>
        <v>11051</v>
      </c>
    </row>
    <row r="734" spans="1:30" ht="294" outlineLevel="3" thickBot="1" x14ac:dyDescent="0.25">
      <c r="A734" s="199" t="s">
        <v>1584</v>
      </c>
      <c r="B734" s="483"/>
      <c r="C734" s="484"/>
      <c r="D734" s="585"/>
      <c r="E734" s="411" t="s">
        <v>330</v>
      </c>
      <c r="F734" s="208" t="s">
        <v>844</v>
      </c>
      <c r="G734" s="428" t="s">
        <v>1441</v>
      </c>
      <c r="H734" s="420" t="s">
        <v>1442</v>
      </c>
      <c r="I734" s="164">
        <v>2</v>
      </c>
      <c r="J734" s="163" t="s">
        <v>332</v>
      </c>
      <c r="K734" s="165" t="s">
        <v>338</v>
      </c>
      <c r="L734" s="138">
        <v>1</v>
      </c>
      <c r="M734" s="166">
        <f t="shared" si="146"/>
        <v>2</v>
      </c>
      <c r="N734" s="133" t="s">
        <v>291</v>
      </c>
      <c r="O734" s="420" t="s">
        <v>1443</v>
      </c>
      <c r="P734" s="138">
        <v>2</v>
      </c>
      <c r="Q734" s="225">
        <f t="shared" si="147"/>
        <v>4</v>
      </c>
      <c r="R734" s="428" t="s">
        <v>1444</v>
      </c>
      <c r="S734" s="428" t="s">
        <v>1445</v>
      </c>
      <c r="T734" s="133"/>
      <c r="U734" s="405"/>
      <c r="V734" s="135"/>
      <c r="W734" s="133"/>
      <c r="X734" s="405"/>
      <c r="Y734" s="405"/>
      <c r="Z734" s="135"/>
      <c r="AA734" s="136"/>
      <c r="AB734" s="111"/>
      <c r="AC734" s="363"/>
      <c r="AD734" s="226">
        <f t="shared" si="162"/>
        <v>5554</v>
      </c>
    </row>
    <row r="735" spans="1:30" ht="204.75" outlineLevel="3" thickBot="1" x14ac:dyDescent="0.25">
      <c r="A735" s="199" t="s">
        <v>1585</v>
      </c>
      <c r="B735" s="478"/>
      <c r="C735" s="480"/>
      <c r="D735" s="584"/>
      <c r="E735" s="411" t="s">
        <v>1586</v>
      </c>
      <c r="F735" s="208" t="s">
        <v>844</v>
      </c>
      <c r="G735" s="405" t="s">
        <v>1448</v>
      </c>
      <c r="H735" s="420" t="s">
        <v>1449</v>
      </c>
      <c r="I735" s="164">
        <v>4</v>
      </c>
      <c r="J735" s="163" t="s">
        <v>332</v>
      </c>
      <c r="K735" s="165" t="s">
        <v>338</v>
      </c>
      <c r="L735" s="138">
        <v>1</v>
      </c>
      <c r="M735" s="166">
        <f t="shared" si="146"/>
        <v>4</v>
      </c>
      <c r="N735" s="133" t="s">
        <v>291</v>
      </c>
      <c r="O735" s="420" t="s">
        <v>1443</v>
      </c>
      <c r="P735" s="138">
        <v>2</v>
      </c>
      <c r="Q735" s="225">
        <f t="shared" si="147"/>
        <v>8</v>
      </c>
      <c r="R735" s="428" t="s">
        <v>1444</v>
      </c>
      <c r="S735" s="428" t="s">
        <v>1445</v>
      </c>
      <c r="T735" s="133"/>
      <c r="U735" s="405"/>
      <c r="V735" s="135"/>
      <c r="W735" s="133"/>
      <c r="X735" s="405"/>
      <c r="Y735" s="405"/>
      <c r="Z735" s="135"/>
      <c r="AA735" s="136">
        <f t="shared" si="169"/>
        <v>0</v>
      </c>
      <c r="AB735" s="111"/>
      <c r="AC735" s="226"/>
      <c r="AD735" s="226">
        <f t="shared" si="162"/>
        <v>11052</v>
      </c>
    </row>
    <row r="736" spans="1:30" ht="128.25" outlineLevel="3" thickBot="1" x14ac:dyDescent="0.25">
      <c r="A736" s="252" t="s">
        <v>1587</v>
      </c>
      <c r="B736" s="489" t="s">
        <v>1588</v>
      </c>
      <c r="C736" s="486" t="s">
        <v>464</v>
      </c>
      <c r="D736" s="489" t="s">
        <v>1382</v>
      </c>
      <c r="E736" s="426" t="s">
        <v>425</v>
      </c>
      <c r="F736" s="426" t="s">
        <v>337</v>
      </c>
      <c r="G736" s="405" t="s">
        <v>1436</v>
      </c>
      <c r="H736" s="420" t="s">
        <v>238</v>
      </c>
      <c r="I736" s="164">
        <v>1</v>
      </c>
      <c r="J736" s="163" t="s">
        <v>438</v>
      </c>
      <c r="K736" s="165" t="s">
        <v>338</v>
      </c>
      <c r="L736" s="138">
        <v>1</v>
      </c>
      <c r="M736" s="166">
        <f t="shared" si="146"/>
        <v>1</v>
      </c>
      <c r="N736" s="133" t="s">
        <v>291</v>
      </c>
      <c r="O736" s="420" t="s">
        <v>242</v>
      </c>
      <c r="P736" s="138">
        <v>5</v>
      </c>
      <c r="Q736" s="225">
        <f t="shared" si="147"/>
        <v>5</v>
      </c>
      <c r="R736" s="428"/>
      <c r="S736" s="428"/>
      <c r="T736" s="133"/>
      <c r="U736" s="405"/>
      <c r="V736" s="135"/>
      <c r="W736" s="133"/>
      <c r="X736" s="405"/>
      <c r="Y736" s="405"/>
      <c r="Z736" s="135"/>
      <c r="AA736" s="136"/>
      <c r="AB736" s="111"/>
      <c r="AC736" s="226"/>
      <c r="AD736" s="226">
        <f t="shared" si="162"/>
        <v>5555</v>
      </c>
    </row>
    <row r="737" spans="1:30" ht="294" outlineLevel="3" thickBot="1" x14ac:dyDescent="0.25">
      <c r="A737" s="252" t="s">
        <v>1589</v>
      </c>
      <c r="B737" s="496"/>
      <c r="C737" s="501"/>
      <c r="D737" s="582"/>
      <c r="E737" s="416" t="s">
        <v>340</v>
      </c>
      <c r="F737" s="327" t="s">
        <v>468</v>
      </c>
      <c r="G737" s="313" t="s">
        <v>1441</v>
      </c>
      <c r="H737" s="420" t="s">
        <v>1442</v>
      </c>
      <c r="I737" s="164">
        <v>2</v>
      </c>
      <c r="J737" s="163" t="s">
        <v>402</v>
      </c>
      <c r="K737" s="165" t="s">
        <v>338</v>
      </c>
      <c r="L737" s="138">
        <v>1</v>
      </c>
      <c r="M737" s="166">
        <f t="shared" ref="M737:M738" si="176">I737*L737</f>
        <v>2</v>
      </c>
      <c r="N737" s="133" t="s">
        <v>291</v>
      </c>
      <c r="O737" s="420" t="s">
        <v>1443</v>
      </c>
      <c r="P737" s="138">
        <v>2</v>
      </c>
      <c r="Q737" s="225">
        <f t="shared" ref="Q737:Q738" si="177">I737*L737*P737</f>
        <v>4</v>
      </c>
      <c r="R737" s="428" t="s">
        <v>1444</v>
      </c>
      <c r="S737" s="428" t="s">
        <v>1445</v>
      </c>
      <c r="T737" s="133"/>
      <c r="U737" s="405"/>
      <c r="V737" s="135"/>
      <c r="W737" s="133"/>
      <c r="X737" s="405"/>
      <c r="Y737" s="405"/>
      <c r="Z737" s="135"/>
      <c r="AA737" s="136"/>
      <c r="AB737" s="111"/>
      <c r="AC737" s="226"/>
      <c r="AD737" s="226">
        <f t="shared" si="162"/>
        <v>5556</v>
      </c>
    </row>
    <row r="738" spans="1:30" ht="153.75" outlineLevel="3" thickBot="1" x14ac:dyDescent="0.25">
      <c r="A738" s="243" t="s">
        <v>1590</v>
      </c>
      <c r="B738" s="490"/>
      <c r="C738" s="578"/>
      <c r="D738" s="606"/>
      <c r="E738" s="416" t="s">
        <v>1591</v>
      </c>
      <c r="F738" s="430" t="s">
        <v>468</v>
      </c>
      <c r="G738" s="415" t="s">
        <v>1448</v>
      </c>
      <c r="H738" s="420" t="s">
        <v>1449</v>
      </c>
      <c r="I738" s="164">
        <v>4</v>
      </c>
      <c r="J738" s="163" t="s">
        <v>402</v>
      </c>
      <c r="K738" s="165" t="s">
        <v>338</v>
      </c>
      <c r="L738" s="138">
        <v>1</v>
      </c>
      <c r="M738" s="166">
        <f t="shared" si="176"/>
        <v>4</v>
      </c>
      <c r="N738" s="133" t="s">
        <v>291</v>
      </c>
      <c r="O738" s="420" t="s">
        <v>1443</v>
      </c>
      <c r="P738" s="138">
        <v>2</v>
      </c>
      <c r="Q738" s="225">
        <f t="shared" si="177"/>
        <v>8</v>
      </c>
      <c r="R738" s="428" t="s">
        <v>1444</v>
      </c>
      <c r="S738" s="428" t="s">
        <v>1445</v>
      </c>
      <c r="T738" s="133"/>
      <c r="U738" s="405"/>
      <c r="V738" s="135"/>
      <c r="W738" s="133"/>
      <c r="X738" s="405"/>
      <c r="Y738" s="405"/>
      <c r="Z738" s="135"/>
      <c r="AA738" s="136"/>
      <c r="AB738" s="111"/>
      <c r="AC738" s="226"/>
      <c r="AD738" s="226">
        <f t="shared" si="162"/>
        <v>11053</v>
      </c>
    </row>
    <row r="739" spans="1:30" ht="21" outlineLevel="2" thickBot="1" x14ac:dyDescent="0.25">
      <c r="A739" s="199"/>
      <c r="B739" s="117" t="s">
        <v>469</v>
      </c>
      <c r="C739" s="190"/>
      <c r="D739" s="118"/>
      <c r="E739" s="118"/>
      <c r="F739" s="118"/>
      <c r="G739" s="118"/>
      <c r="H739" s="118"/>
      <c r="I739" s="118"/>
      <c r="J739" s="118"/>
      <c r="K739" s="118"/>
      <c r="L739" s="118"/>
      <c r="M739" s="118"/>
      <c r="N739" s="118"/>
      <c r="O739" s="118"/>
      <c r="P739" s="118"/>
      <c r="Q739" s="118"/>
      <c r="R739" s="118"/>
      <c r="S739" s="118"/>
      <c r="T739" s="118"/>
      <c r="U739" s="118"/>
      <c r="V739" s="118"/>
      <c r="W739" s="118"/>
      <c r="X739" s="118"/>
      <c r="Y739" s="118"/>
      <c r="Z739" s="118"/>
      <c r="AA739" s="118"/>
      <c r="AB739" s="119"/>
      <c r="AC739" s="363"/>
      <c r="AD739" s="226">
        <f t="shared" si="162"/>
        <v>0</v>
      </c>
    </row>
    <row r="740" spans="1:30" ht="294" outlineLevel="3" thickBot="1" x14ac:dyDescent="0.25">
      <c r="A740" s="199" t="s">
        <v>1592</v>
      </c>
      <c r="B740" s="503" t="s">
        <v>471</v>
      </c>
      <c r="C740" s="505" t="s">
        <v>472</v>
      </c>
      <c r="D740" s="594" t="s">
        <v>473</v>
      </c>
      <c r="E740" s="411" t="s">
        <v>474</v>
      </c>
      <c r="F740" s="208" t="s">
        <v>1061</v>
      </c>
      <c r="G740" s="428" t="s">
        <v>1441</v>
      </c>
      <c r="H740" s="420" t="s">
        <v>1442</v>
      </c>
      <c r="I740" s="164">
        <v>2</v>
      </c>
      <c r="J740" s="163" t="s">
        <v>476</v>
      </c>
      <c r="K740" s="165" t="s">
        <v>338</v>
      </c>
      <c r="L740" s="138">
        <v>1</v>
      </c>
      <c r="M740" s="166">
        <f t="shared" ref="M740:M784" si="178">I740*L740</f>
        <v>2</v>
      </c>
      <c r="N740" s="133" t="s">
        <v>291</v>
      </c>
      <c r="O740" s="420" t="s">
        <v>1443</v>
      </c>
      <c r="P740" s="138">
        <v>2</v>
      </c>
      <c r="Q740" s="225">
        <f t="shared" ref="Q740:Q784" si="179">I740*L740*P740</f>
        <v>4</v>
      </c>
      <c r="R740" s="428" t="s">
        <v>1444</v>
      </c>
      <c r="S740" s="428" t="s">
        <v>1445</v>
      </c>
      <c r="T740" s="133"/>
      <c r="U740" s="405"/>
      <c r="V740" s="135"/>
      <c r="W740" s="133"/>
      <c r="X740" s="405"/>
      <c r="Y740" s="405"/>
      <c r="Z740" s="135"/>
      <c r="AA740" s="136"/>
      <c r="AB740" s="111"/>
      <c r="AC740" s="363"/>
      <c r="AD740" s="226">
        <f t="shared" si="162"/>
        <v>5557</v>
      </c>
    </row>
    <row r="741" spans="1:30" ht="153.75" outlineLevel="3" thickBot="1" x14ac:dyDescent="0.25">
      <c r="A741" s="199" t="s">
        <v>1593</v>
      </c>
      <c r="B741" s="483"/>
      <c r="C741" s="484"/>
      <c r="D741" s="585"/>
      <c r="E741" s="403" t="s">
        <v>1594</v>
      </c>
      <c r="F741" s="209" t="s">
        <v>1061</v>
      </c>
      <c r="G741" s="405" t="s">
        <v>1448</v>
      </c>
      <c r="H741" s="420" t="s">
        <v>1449</v>
      </c>
      <c r="I741" s="164">
        <v>4</v>
      </c>
      <c r="J741" s="163" t="s">
        <v>476</v>
      </c>
      <c r="K741" s="165" t="s">
        <v>338</v>
      </c>
      <c r="L741" s="138">
        <v>1</v>
      </c>
      <c r="M741" s="166">
        <f t="shared" si="178"/>
        <v>4</v>
      </c>
      <c r="N741" s="133" t="s">
        <v>291</v>
      </c>
      <c r="O741" s="420" t="s">
        <v>1443</v>
      </c>
      <c r="P741" s="138">
        <v>2</v>
      </c>
      <c r="Q741" s="225">
        <f t="shared" si="179"/>
        <v>8</v>
      </c>
      <c r="R741" s="428" t="s">
        <v>1444</v>
      </c>
      <c r="S741" s="428" t="s">
        <v>1445</v>
      </c>
      <c r="T741" s="133"/>
      <c r="U741" s="405"/>
      <c r="V741" s="135"/>
      <c r="W741" s="133"/>
      <c r="X741" s="405"/>
      <c r="Y741" s="405"/>
      <c r="Z741" s="135"/>
      <c r="AA741" s="136">
        <f t="shared" si="169"/>
        <v>0</v>
      </c>
      <c r="AB741" s="111"/>
      <c r="AC741" s="363"/>
      <c r="AD741" s="226">
        <f t="shared" si="162"/>
        <v>11054</v>
      </c>
    </row>
    <row r="742" spans="1:30" ht="294" outlineLevel="3" thickBot="1" x14ac:dyDescent="0.25">
      <c r="A742" s="199" t="s">
        <v>1595</v>
      </c>
      <c r="B742" s="483"/>
      <c r="C742" s="484"/>
      <c r="D742" s="585"/>
      <c r="E742" s="411" t="s">
        <v>478</v>
      </c>
      <c r="F742" s="208" t="s">
        <v>1063</v>
      </c>
      <c r="G742" s="428" t="s">
        <v>1441</v>
      </c>
      <c r="H742" s="420" t="s">
        <v>1442</v>
      </c>
      <c r="I742" s="164">
        <v>2</v>
      </c>
      <c r="J742" s="163" t="s">
        <v>476</v>
      </c>
      <c r="K742" s="165" t="s">
        <v>338</v>
      </c>
      <c r="L742" s="138">
        <v>1</v>
      </c>
      <c r="M742" s="166">
        <f t="shared" si="178"/>
        <v>2</v>
      </c>
      <c r="N742" s="133" t="s">
        <v>291</v>
      </c>
      <c r="O742" s="420" t="s">
        <v>1443</v>
      </c>
      <c r="P742" s="138">
        <v>2</v>
      </c>
      <c r="Q742" s="225">
        <f t="shared" si="179"/>
        <v>4</v>
      </c>
      <c r="R742" s="428" t="s">
        <v>1444</v>
      </c>
      <c r="S742" s="428" t="s">
        <v>1445</v>
      </c>
      <c r="T742" s="133"/>
      <c r="U742" s="405"/>
      <c r="V742" s="135"/>
      <c r="W742" s="133"/>
      <c r="X742" s="405"/>
      <c r="Y742" s="405"/>
      <c r="Z742" s="135"/>
      <c r="AA742" s="136"/>
      <c r="AB742" s="111"/>
      <c r="AC742" s="363"/>
      <c r="AD742" s="226">
        <f t="shared" si="162"/>
        <v>5558</v>
      </c>
    </row>
    <row r="743" spans="1:30" ht="153.75" outlineLevel="3" thickBot="1" x14ac:dyDescent="0.25">
      <c r="A743" s="199" t="s">
        <v>1596</v>
      </c>
      <c r="B743" s="483"/>
      <c r="C743" s="484"/>
      <c r="D743" s="585"/>
      <c r="E743" s="411" t="s">
        <v>1597</v>
      </c>
      <c r="F743" s="208" t="s">
        <v>1063</v>
      </c>
      <c r="G743" s="405" t="s">
        <v>1448</v>
      </c>
      <c r="H743" s="420" t="s">
        <v>1449</v>
      </c>
      <c r="I743" s="164">
        <v>4</v>
      </c>
      <c r="J743" s="163" t="s">
        <v>476</v>
      </c>
      <c r="K743" s="165" t="s">
        <v>338</v>
      </c>
      <c r="L743" s="138">
        <v>1</v>
      </c>
      <c r="M743" s="166">
        <f t="shared" ref="M743" si="180">I743*L743</f>
        <v>4</v>
      </c>
      <c r="N743" s="133" t="s">
        <v>291</v>
      </c>
      <c r="O743" s="420" t="s">
        <v>1443</v>
      </c>
      <c r="P743" s="138">
        <v>2</v>
      </c>
      <c r="Q743" s="225">
        <f t="shared" ref="Q743" si="181">I743*L743*P743</f>
        <v>8</v>
      </c>
      <c r="R743" s="428" t="s">
        <v>1444</v>
      </c>
      <c r="S743" s="428" t="s">
        <v>1445</v>
      </c>
      <c r="T743" s="133"/>
      <c r="U743" s="405"/>
      <c r="V743" s="135"/>
      <c r="W743" s="133"/>
      <c r="X743" s="405"/>
      <c r="Y743" s="405"/>
      <c r="Z743" s="135"/>
      <c r="AA743" s="136"/>
      <c r="AB743" s="111"/>
      <c r="AC743" s="226"/>
      <c r="AD743" s="226">
        <f t="shared" si="162"/>
        <v>11055</v>
      </c>
    </row>
    <row r="744" spans="1:30" ht="128.25" outlineLevel="3" thickBot="1" x14ac:dyDescent="0.25">
      <c r="A744" s="199" t="s">
        <v>1598</v>
      </c>
      <c r="B744" s="478"/>
      <c r="C744" s="480"/>
      <c r="D744" s="478"/>
      <c r="E744" s="207" t="s">
        <v>852</v>
      </c>
      <c r="F744" s="207" t="s">
        <v>482</v>
      </c>
      <c r="G744" s="405" t="s">
        <v>1436</v>
      </c>
      <c r="H744" s="127" t="s">
        <v>238</v>
      </c>
      <c r="I744" s="128">
        <v>1</v>
      </c>
      <c r="J744" s="163" t="s">
        <v>483</v>
      </c>
      <c r="K744" s="130" t="s">
        <v>338</v>
      </c>
      <c r="L744" s="131">
        <v>2</v>
      </c>
      <c r="M744" s="132">
        <f t="shared" si="178"/>
        <v>2</v>
      </c>
      <c r="N744" s="133" t="s">
        <v>291</v>
      </c>
      <c r="O744" s="69" t="s">
        <v>242</v>
      </c>
      <c r="P744" s="131">
        <v>5</v>
      </c>
      <c r="Q744" s="134">
        <f t="shared" si="179"/>
        <v>10</v>
      </c>
      <c r="R744" s="428"/>
      <c r="S744" s="428"/>
      <c r="T744" s="133"/>
      <c r="U744" s="405"/>
      <c r="V744" s="135"/>
      <c r="W744" s="133"/>
      <c r="X744" s="405"/>
      <c r="Y744" s="405"/>
      <c r="Z744" s="135"/>
      <c r="AA744" s="136">
        <f t="shared" si="169"/>
        <v>0</v>
      </c>
      <c r="AB744" s="111"/>
      <c r="AC744" s="226"/>
      <c r="AD744" s="226">
        <f t="shared" si="162"/>
        <v>5559</v>
      </c>
    </row>
    <row r="745" spans="1:30" ht="294" outlineLevel="3" thickBot="1" x14ac:dyDescent="0.25">
      <c r="A745" s="199" t="s">
        <v>1599</v>
      </c>
      <c r="B745" s="477" t="s">
        <v>485</v>
      </c>
      <c r="C745" s="479" t="s">
        <v>486</v>
      </c>
      <c r="D745" s="583" t="s">
        <v>487</v>
      </c>
      <c r="E745" s="411" t="s">
        <v>300</v>
      </c>
      <c r="F745" s="208" t="s">
        <v>1600</v>
      </c>
      <c r="G745" s="428" t="s">
        <v>1441</v>
      </c>
      <c r="H745" s="420" t="s">
        <v>1442</v>
      </c>
      <c r="I745" s="164">
        <v>2</v>
      </c>
      <c r="J745" s="163" t="s">
        <v>302</v>
      </c>
      <c r="K745" s="165" t="s">
        <v>338</v>
      </c>
      <c r="L745" s="138">
        <v>1</v>
      </c>
      <c r="M745" s="166">
        <f t="shared" si="178"/>
        <v>2</v>
      </c>
      <c r="N745" s="133" t="s">
        <v>291</v>
      </c>
      <c r="O745" s="420" t="s">
        <v>1443</v>
      </c>
      <c r="P745" s="138">
        <v>2</v>
      </c>
      <c r="Q745" s="225">
        <f t="shared" si="179"/>
        <v>4</v>
      </c>
      <c r="R745" s="428" t="s">
        <v>1444</v>
      </c>
      <c r="S745" s="428" t="s">
        <v>1445</v>
      </c>
      <c r="T745" s="133"/>
      <c r="U745" s="405"/>
      <c r="V745" s="135"/>
      <c r="W745" s="133"/>
      <c r="X745" s="405"/>
      <c r="Y745" s="405"/>
      <c r="Z745" s="135"/>
      <c r="AA745" s="136"/>
      <c r="AB745" s="111"/>
      <c r="AC745" s="226"/>
      <c r="AD745" s="226">
        <f t="shared" si="162"/>
        <v>5560</v>
      </c>
    </row>
    <row r="746" spans="1:30" ht="153.75" outlineLevel="3" thickBot="1" x14ac:dyDescent="0.25">
      <c r="A746" s="199" t="s">
        <v>1601</v>
      </c>
      <c r="B746" s="483"/>
      <c r="C746" s="484"/>
      <c r="D746" s="585"/>
      <c r="E746" s="403" t="s">
        <v>1602</v>
      </c>
      <c r="F746" s="209" t="s">
        <v>1600</v>
      </c>
      <c r="G746" s="405" t="s">
        <v>1448</v>
      </c>
      <c r="H746" s="420" t="s">
        <v>1449</v>
      </c>
      <c r="I746" s="164">
        <v>4</v>
      </c>
      <c r="J746" s="163" t="s">
        <v>302</v>
      </c>
      <c r="K746" s="165" t="s">
        <v>338</v>
      </c>
      <c r="L746" s="138">
        <v>1</v>
      </c>
      <c r="M746" s="166">
        <f t="shared" si="178"/>
        <v>4</v>
      </c>
      <c r="N746" s="133" t="s">
        <v>291</v>
      </c>
      <c r="O746" s="420" t="s">
        <v>1443</v>
      </c>
      <c r="P746" s="138">
        <v>2</v>
      </c>
      <c r="Q746" s="225">
        <f t="shared" si="179"/>
        <v>8</v>
      </c>
      <c r="R746" s="428" t="s">
        <v>1444</v>
      </c>
      <c r="S746" s="428" t="s">
        <v>1445</v>
      </c>
      <c r="T746" s="133"/>
      <c r="U746" s="405"/>
      <c r="V746" s="135"/>
      <c r="W746" s="133"/>
      <c r="X746" s="405"/>
      <c r="Y746" s="405"/>
      <c r="Z746" s="135"/>
      <c r="AA746" s="136"/>
      <c r="AB746" s="111"/>
      <c r="AC746" s="226"/>
      <c r="AD746" s="226">
        <f t="shared" si="162"/>
        <v>11056</v>
      </c>
    </row>
    <row r="747" spans="1:30" ht="294" outlineLevel="3" thickBot="1" x14ac:dyDescent="0.25">
      <c r="A747" s="199" t="s">
        <v>1603</v>
      </c>
      <c r="B747" s="483"/>
      <c r="C747" s="484"/>
      <c r="D747" s="585"/>
      <c r="E747" s="411" t="s">
        <v>393</v>
      </c>
      <c r="F747" s="208" t="s">
        <v>1067</v>
      </c>
      <c r="G747" s="428" t="s">
        <v>1441</v>
      </c>
      <c r="H747" s="420" t="s">
        <v>1442</v>
      </c>
      <c r="I747" s="164">
        <v>2</v>
      </c>
      <c r="J747" s="163" t="s">
        <v>307</v>
      </c>
      <c r="K747" s="165" t="s">
        <v>338</v>
      </c>
      <c r="L747" s="138">
        <v>1</v>
      </c>
      <c r="M747" s="166">
        <f t="shared" si="178"/>
        <v>2</v>
      </c>
      <c r="N747" s="133" t="s">
        <v>291</v>
      </c>
      <c r="O747" s="420" t="s">
        <v>1443</v>
      </c>
      <c r="P747" s="138">
        <v>2</v>
      </c>
      <c r="Q747" s="225">
        <f t="shared" si="179"/>
        <v>4</v>
      </c>
      <c r="R747" s="428" t="s">
        <v>1444</v>
      </c>
      <c r="S747" s="428" t="s">
        <v>1445</v>
      </c>
      <c r="T747" s="133"/>
      <c r="U747" s="405"/>
      <c r="V747" s="135"/>
      <c r="W747" s="133"/>
      <c r="X747" s="405"/>
      <c r="Y747" s="405"/>
      <c r="Z747" s="135"/>
      <c r="AA747" s="136"/>
      <c r="AB747" s="111"/>
      <c r="AC747" s="226"/>
      <c r="AD747" s="226">
        <f t="shared" si="162"/>
        <v>5561</v>
      </c>
    </row>
    <row r="748" spans="1:30" ht="153.75" outlineLevel="3" thickBot="1" x14ac:dyDescent="0.25">
      <c r="A748" s="199" t="s">
        <v>1604</v>
      </c>
      <c r="B748" s="478"/>
      <c r="C748" s="480"/>
      <c r="D748" s="584"/>
      <c r="E748" s="403" t="s">
        <v>1605</v>
      </c>
      <c r="F748" s="209" t="s">
        <v>1067</v>
      </c>
      <c r="G748" s="405" t="s">
        <v>1448</v>
      </c>
      <c r="H748" s="420" t="s">
        <v>1449</v>
      </c>
      <c r="I748" s="164">
        <v>4</v>
      </c>
      <c r="J748" s="163" t="s">
        <v>307</v>
      </c>
      <c r="K748" s="165" t="s">
        <v>338</v>
      </c>
      <c r="L748" s="138">
        <v>1</v>
      </c>
      <c r="M748" s="166">
        <f t="shared" ref="M748" si="182">I748*L748</f>
        <v>4</v>
      </c>
      <c r="N748" s="133" t="s">
        <v>291</v>
      </c>
      <c r="O748" s="420" t="s">
        <v>1443</v>
      </c>
      <c r="P748" s="138">
        <v>2</v>
      </c>
      <c r="Q748" s="225">
        <f t="shared" ref="Q748" si="183">I748*L748*P748</f>
        <v>8</v>
      </c>
      <c r="R748" s="428" t="s">
        <v>1444</v>
      </c>
      <c r="S748" s="428" t="s">
        <v>1445</v>
      </c>
      <c r="T748" s="133"/>
      <c r="U748" s="405"/>
      <c r="V748" s="135"/>
      <c r="W748" s="133"/>
      <c r="X748" s="405"/>
      <c r="Y748" s="405"/>
      <c r="Z748" s="135"/>
      <c r="AA748" s="136">
        <f t="shared" si="169"/>
        <v>0</v>
      </c>
      <c r="AB748" s="111"/>
      <c r="AC748" s="226"/>
      <c r="AD748" s="226">
        <f t="shared" si="162"/>
        <v>11057</v>
      </c>
    </row>
    <row r="749" spans="1:30" ht="294" outlineLevel="3" thickBot="1" x14ac:dyDescent="0.25">
      <c r="A749" s="252" t="s">
        <v>1606</v>
      </c>
      <c r="B749" s="489" t="s">
        <v>492</v>
      </c>
      <c r="C749" s="486" t="s">
        <v>493</v>
      </c>
      <c r="D749" s="489" t="s">
        <v>487</v>
      </c>
      <c r="E749" s="411" t="s">
        <v>300</v>
      </c>
      <c r="F749" s="411" t="s">
        <v>1067</v>
      </c>
      <c r="G749" s="428" t="s">
        <v>1441</v>
      </c>
      <c r="H749" s="420" t="s">
        <v>1442</v>
      </c>
      <c r="I749" s="164">
        <v>2</v>
      </c>
      <c r="J749" s="163" t="s">
        <v>302</v>
      </c>
      <c r="K749" s="165" t="s">
        <v>338</v>
      </c>
      <c r="L749" s="138">
        <v>1</v>
      </c>
      <c r="M749" s="166">
        <f t="shared" si="178"/>
        <v>2</v>
      </c>
      <c r="N749" s="133" t="s">
        <v>291</v>
      </c>
      <c r="O749" s="420" t="s">
        <v>1443</v>
      </c>
      <c r="P749" s="138">
        <v>2</v>
      </c>
      <c r="Q749" s="225">
        <f t="shared" si="179"/>
        <v>4</v>
      </c>
      <c r="R749" s="428" t="s">
        <v>1444</v>
      </c>
      <c r="S749" s="428" t="s">
        <v>1445</v>
      </c>
      <c r="T749" s="133"/>
      <c r="U749" s="405"/>
      <c r="V749" s="135"/>
      <c r="W749" s="133"/>
      <c r="X749" s="405"/>
      <c r="Y749" s="405"/>
      <c r="Z749" s="135"/>
      <c r="AA749" s="136"/>
      <c r="AB749" s="111"/>
      <c r="AC749" s="226"/>
      <c r="AD749" s="226">
        <f t="shared" si="162"/>
        <v>5562</v>
      </c>
    </row>
    <row r="750" spans="1:30" ht="153.75" outlineLevel="3" thickBot="1" x14ac:dyDescent="0.25">
      <c r="A750" s="243" t="s">
        <v>1607</v>
      </c>
      <c r="B750" s="496"/>
      <c r="C750" s="501"/>
      <c r="D750" s="496"/>
      <c r="E750" s="403" t="s">
        <v>1472</v>
      </c>
      <c r="F750" s="405" t="s">
        <v>1067</v>
      </c>
      <c r="G750" s="405" t="s">
        <v>1448</v>
      </c>
      <c r="H750" s="420" t="s">
        <v>1449</v>
      </c>
      <c r="I750" s="164">
        <v>4</v>
      </c>
      <c r="J750" s="163" t="s">
        <v>302</v>
      </c>
      <c r="K750" s="165" t="s">
        <v>338</v>
      </c>
      <c r="L750" s="138">
        <v>1</v>
      </c>
      <c r="M750" s="166">
        <f t="shared" si="178"/>
        <v>4</v>
      </c>
      <c r="N750" s="133" t="s">
        <v>291</v>
      </c>
      <c r="O750" s="420" t="s">
        <v>1443</v>
      </c>
      <c r="P750" s="138">
        <v>2</v>
      </c>
      <c r="Q750" s="225">
        <f t="shared" si="179"/>
        <v>8</v>
      </c>
      <c r="R750" s="428" t="s">
        <v>1444</v>
      </c>
      <c r="S750" s="428" t="s">
        <v>1445</v>
      </c>
      <c r="T750" s="133"/>
      <c r="U750" s="405"/>
      <c r="V750" s="135"/>
      <c r="W750" s="133"/>
      <c r="X750" s="405"/>
      <c r="Y750" s="405"/>
      <c r="Z750" s="135"/>
      <c r="AA750" s="136">
        <f t="shared" si="169"/>
        <v>0</v>
      </c>
      <c r="AB750" s="111"/>
      <c r="AC750" s="226"/>
      <c r="AD750" s="226">
        <f t="shared" si="162"/>
        <v>11058</v>
      </c>
    </row>
    <row r="751" spans="1:30" ht="294" outlineLevel="3" thickBot="1" x14ac:dyDescent="0.25">
      <c r="A751" s="252" t="s">
        <v>1608</v>
      </c>
      <c r="B751" s="496"/>
      <c r="C751" s="501"/>
      <c r="D751" s="496"/>
      <c r="E751" s="411" t="s">
        <v>393</v>
      </c>
      <c r="F751" s="405" t="s">
        <v>496</v>
      </c>
      <c r="G751" s="428" t="s">
        <v>1441</v>
      </c>
      <c r="H751" s="420" t="s">
        <v>1442</v>
      </c>
      <c r="I751" s="164">
        <v>2</v>
      </c>
      <c r="J751" s="163" t="s">
        <v>307</v>
      </c>
      <c r="K751" s="165" t="s">
        <v>338</v>
      </c>
      <c r="L751" s="138">
        <v>1</v>
      </c>
      <c r="M751" s="166">
        <f t="shared" si="178"/>
        <v>2</v>
      </c>
      <c r="N751" s="133" t="s">
        <v>291</v>
      </c>
      <c r="O751" s="420" t="s">
        <v>1443</v>
      </c>
      <c r="P751" s="138">
        <v>2</v>
      </c>
      <c r="Q751" s="225">
        <f t="shared" si="179"/>
        <v>4</v>
      </c>
      <c r="R751" s="428" t="s">
        <v>1444</v>
      </c>
      <c r="S751" s="428" t="s">
        <v>1445</v>
      </c>
      <c r="T751" s="133"/>
      <c r="U751" s="405"/>
      <c r="V751" s="135"/>
      <c r="W751" s="133"/>
      <c r="X751" s="405"/>
      <c r="Y751" s="405"/>
      <c r="Z751" s="135"/>
      <c r="AA751" s="136"/>
      <c r="AB751" s="111"/>
      <c r="AC751" s="363"/>
      <c r="AD751" s="226">
        <f t="shared" si="162"/>
        <v>5563</v>
      </c>
    </row>
    <row r="752" spans="1:30" ht="153.75" outlineLevel="3" thickBot="1" x14ac:dyDescent="0.25">
      <c r="A752" s="243" t="s">
        <v>1609</v>
      </c>
      <c r="B752" s="491"/>
      <c r="C752" s="487"/>
      <c r="D752" s="491"/>
      <c r="E752" s="403" t="s">
        <v>1557</v>
      </c>
      <c r="F752" s="405" t="s">
        <v>496</v>
      </c>
      <c r="G752" s="405" t="s">
        <v>1448</v>
      </c>
      <c r="H752" s="420" t="s">
        <v>1449</v>
      </c>
      <c r="I752" s="164">
        <v>4</v>
      </c>
      <c r="J752" s="163" t="s">
        <v>307</v>
      </c>
      <c r="K752" s="165" t="s">
        <v>338</v>
      </c>
      <c r="L752" s="138">
        <v>1</v>
      </c>
      <c r="M752" s="166">
        <f t="shared" ref="M752" si="184">I752*L752</f>
        <v>4</v>
      </c>
      <c r="N752" s="133" t="s">
        <v>291</v>
      </c>
      <c r="O752" s="420" t="s">
        <v>1443</v>
      </c>
      <c r="P752" s="138">
        <v>2</v>
      </c>
      <c r="Q752" s="225">
        <f t="shared" ref="Q752" si="185">I752*L752*P752</f>
        <v>8</v>
      </c>
      <c r="R752" s="428" t="s">
        <v>1444</v>
      </c>
      <c r="S752" s="428" t="s">
        <v>1445</v>
      </c>
      <c r="T752" s="133"/>
      <c r="U752" s="405"/>
      <c r="V752" s="135"/>
      <c r="W752" s="133"/>
      <c r="X752" s="405"/>
      <c r="Y752" s="405"/>
      <c r="Z752" s="135"/>
      <c r="AA752" s="136"/>
      <c r="AB752" s="111"/>
      <c r="AC752" s="363"/>
      <c r="AD752" s="226">
        <f t="shared" si="162"/>
        <v>11059</v>
      </c>
    </row>
    <row r="753" spans="1:31" ht="294" outlineLevel="3" thickBot="1" x14ac:dyDescent="0.25">
      <c r="A753" s="199" t="s">
        <v>1610</v>
      </c>
      <c r="B753" s="477" t="s">
        <v>498</v>
      </c>
      <c r="C753" s="479" t="s">
        <v>499</v>
      </c>
      <c r="D753" s="583" t="s">
        <v>500</v>
      </c>
      <c r="E753" s="411" t="s">
        <v>300</v>
      </c>
      <c r="F753" s="208" t="s">
        <v>1071</v>
      </c>
      <c r="G753" s="428" t="s">
        <v>1441</v>
      </c>
      <c r="H753" s="420" t="s">
        <v>1442</v>
      </c>
      <c r="I753" s="164">
        <v>2</v>
      </c>
      <c r="J753" s="163" t="s">
        <v>302</v>
      </c>
      <c r="K753" s="165" t="s">
        <v>338</v>
      </c>
      <c r="L753" s="138">
        <v>1</v>
      </c>
      <c r="M753" s="166">
        <f t="shared" si="178"/>
        <v>2</v>
      </c>
      <c r="N753" s="133" t="s">
        <v>291</v>
      </c>
      <c r="O753" s="420" t="s">
        <v>1443</v>
      </c>
      <c r="P753" s="138">
        <v>2</v>
      </c>
      <c r="Q753" s="225">
        <f t="shared" si="179"/>
        <v>4</v>
      </c>
      <c r="R753" s="428" t="s">
        <v>1444</v>
      </c>
      <c r="S753" s="428" t="s">
        <v>1445</v>
      </c>
      <c r="T753" s="133"/>
      <c r="U753" s="405"/>
      <c r="V753" s="135"/>
      <c r="W753" s="133"/>
      <c r="X753" s="405"/>
      <c r="Y753" s="405"/>
      <c r="Z753" s="135"/>
      <c r="AA753" s="136"/>
      <c r="AB753" s="111"/>
      <c r="AC753" s="363"/>
      <c r="AD753" s="226">
        <f t="shared" si="162"/>
        <v>5564</v>
      </c>
    </row>
    <row r="754" spans="1:31" ht="217.5" outlineLevel="3" thickBot="1" x14ac:dyDescent="0.25">
      <c r="A754" s="199" t="s">
        <v>1611</v>
      </c>
      <c r="B754" s="483"/>
      <c r="C754" s="484"/>
      <c r="D754" s="585"/>
      <c r="E754" s="403" t="s">
        <v>1472</v>
      </c>
      <c r="F754" s="209" t="s">
        <v>1071</v>
      </c>
      <c r="G754" s="405" t="s">
        <v>1448</v>
      </c>
      <c r="H754" s="420" t="s">
        <v>1449</v>
      </c>
      <c r="I754" s="164">
        <v>4</v>
      </c>
      <c r="J754" s="163" t="s">
        <v>302</v>
      </c>
      <c r="K754" s="165" t="s">
        <v>338</v>
      </c>
      <c r="L754" s="138">
        <v>1</v>
      </c>
      <c r="M754" s="166">
        <f t="shared" ref="M754" si="186">I754*L754</f>
        <v>4</v>
      </c>
      <c r="N754" s="133" t="s">
        <v>291</v>
      </c>
      <c r="O754" s="420" t="s">
        <v>1443</v>
      </c>
      <c r="P754" s="138">
        <v>2</v>
      </c>
      <c r="Q754" s="225">
        <f t="shared" ref="Q754" si="187">I754*L754*P754</f>
        <v>8</v>
      </c>
      <c r="R754" s="428" t="s">
        <v>1444</v>
      </c>
      <c r="S754" s="428" t="s">
        <v>1445</v>
      </c>
      <c r="T754" s="133"/>
      <c r="U754" s="405"/>
      <c r="V754" s="135"/>
      <c r="W754" s="133"/>
      <c r="X754" s="405"/>
      <c r="Y754" s="405"/>
      <c r="Z754" s="135"/>
      <c r="AA754" s="136"/>
      <c r="AB754" s="111"/>
      <c r="AC754" s="227"/>
      <c r="AD754" s="226">
        <f t="shared" si="162"/>
        <v>11060</v>
      </c>
    </row>
    <row r="755" spans="1:31" ht="294" outlineLevel="3" thickBot="1" x14ac:dyDescent="0.25">
      <c r="A755" s="199" t="s">
        <v>1612</v>
      </c>
      <c r="B755" s="483"/>
      <c r="C755" s="484"/>
      <c r="D755" s="585"/>
      <c r="E755" s="411" t="s">
        <v>393</v>
      </c>
      <c r="F755" s="208" t="s">
        <v>1613</v>
      </c>
      <c r="G755" s="428" t="s">
        <v>1441</v>
      </c>
      <c r="H755" s="420" t="s">
        <v>1442</v>
      </c>
      <c r="I755" s="164">
        <v>2</v>
      </c>
      <c r="J755" s="163" t="s">
        <v>307</v>
      </c>
      <c r="K755" s="165" t="s">
        <v>338</v>
      </c>
      <c r="L755" s="138">
        <v>1</v>
      </c>
      <c r="M755" s="166">
        <f t="shared" si="178"/>
        <v>2</v>
      </c>
      <c r="N755" s="133" t="s">
        <v>291</v>
      </c>
      <c r="O755" s="420" t="s">
        <v>1443</v>
      </c>
      <c r="P755" s="138">
        <v>2</v>
      </c>
      <c r="Q755" s="225">
        <f t="shared" si="179"/>
        <v>4</v>
      </c>
      <c r="R755" s="428" t="s">
        <v>1444</v>
      </c>
      <c r="S755" s="428" t="s">
        <v>1445</v>
      </c>
      <c r="T755" s="133"/>
      <c r="U755" s="405"/>
      <c r="V755" s="135"/>
      <c r="W755" s="133"/>
      <c r="X755" s="405"/>
      <c r="Y755" s="405"/>
      <c r="Z755" s="135"/>
      <c r="AA755" s="136">
        <f>X755*Y755*Z755</f>
        <v>0</v>
      </c>
      <c r="AB755" s="111"/>
      <c r="AC755" s="226"/>
      <c r="AD755" s="226">
        <f t="shared" si="162"/>
        <v>5565</v>
      </c>
    </row>
    <row r="756" spans="1:31" ht="230.25" outlineLevel="3" thickBot="1" x14ac:dyDescent="0.25">
      <c r="A756" s="199" t="s">
        <v>1614</v>
      </c>
      <c r="B756" s="478"/>
      <c r="C756" s="480"/>
      <c r="D756" s="584"/>
      <c r="E756" s="403" t="s">
        <v>1605</v>
      </c>
      <c r="F756" s="209" t="s">
        <v>1613</v>
      </c>
      <c r="G756" s="405" t="s">
        <v>1448</v>
      </c>
      <c r="H756" s="420" t="s">
        <v>1449</v>
      </c>
      <c r="I756" s="164">
        <v>4</v>
      </c>
      <c r="J756" s="163" t="s">
        <v>307</v>
      </c>
      <c r="K756" s="165" t="s">
        <v>338</v>
      </c>
      <c r="L756" s="138">
        <v>1</v>
      </c>
      <c r="M756" s="166">
        <f t="shared" si="178"/>
        <v>4</v>
      </c>
      <c r="N756" s="133" t="s">
        <v>291</v>
      </c>
      <c r="O756" s="420" t="s">
        <v>1443</v>
      </c>
      <c r="P756" s="138">
        <v>2</v>
      </c>
      <c r="Q756" s="225">
        <f t="shared" si="179"/>
        <v>8</v>
      </c>
      <c r="R756" s="428" t="s">
        <v>1444</v>
      </c>
      <c r="S756" s="428" t="s">
        <v>1445</v>
      </c>
      <c r="T756" s="133"/>
      <c r="U756" s="405"/>
      <c r="V756" s="135"/>
      <c r="W756" s="133"/>
      <c r="X756" s="405"/>
      <c r="Y756" s="405"/>
      <c r="Z756" s="135"/>
      <c r="AA756" s="136"/>
      <c r="AB756" s="111"/>
      <c r="AC756" s="363"/>
      <c r="AD756" s="226">
        <f t="shared" si="162"/>
        <v>11061</v>
      </c>
    </row>
    <row r="757" spans="1:31" ht="294" outlineLevel="3" thickBot="1" x14ac:dyDescent="0.25">
      <c r="A757" s="199" t="s">
        <v>1615</v>
      </c>
      <c r="B757" s="477" t="s">
        <v>506</v>
      </c>
      <c r="C757" s="479" t="s">
        <v>507</v>
      </c>
      <c r="D757" s="583" t="s">
        <v>508</v>
      </c>
      <c r="E757" s="411" t="s">
        <v>300</v>
      </c>
      <c r="F757" s="208" t="s">
        <v>1616</v>
      </c>
      <c r="G757" s="428" t="s">
        <v>1441</v>
      </c>
      <c r="H757" s="420" t="s">
        <v>1442</v>
      </c>
      <c r="I757" s="164">
        <v>2</v>
      </c>
      <c r="J757" s="163" t="s">
        <v>302</v>
      </c>
      <c r="K757" s="165" t="s">
        <v>338</v>
      </c>
      <c r="L757" s="138">
        <v>1</v>
      </c>
      <c r="M757" s="166">
        <f t="shared" si="178"/>
        <v>2</v>
      </c>
      <c r="N757" s="133" t="s">
        <v>291</v>
      </c>
      <c r="O757" s="420" t="s">
        <v>1443</v>
      </c>
      <c r="P757" s="138">
        <v>2</v>
      </c>
      <c r="Q757" s="225">
        <f t="shared" si="179"/>
        <v>4</v>
      </c>
      <c r="R757" s="428" t="s">
        <v>1444</v>
      </c>
      <c r="S757" s="428" t="s">
        <v>1445</v>
      </c>
      <c r="T757" s="133"/>
      <c r="U757" s="405"/>
      <c r="V757" s="135"/>
      <c r="W757" s="133"/>
      <c r="X757" s="405"/>
      <c r="Y757" s="405"/>
      <c r="Z757" s="135"/>
      <c r="AA757" s="136"/>
      <c r="AB757" s="111"/>
      <c r="AC757" s="363"/>
      <c r="AD757" s="226">
        <f t="shared" si="162"/>
        <v>5566</v>
      </c>
    </row>
    <row r="758" spans="1:31" ht="281.25" outlineLevel="3" thickBot="1" x14ac:dyDescent="0.25">
      <c r="A758" s="199" t="s">
        <v>1617</v>
      </c>
      <c r="B758" s="483"/>
      <c r="C758" s="484"/>
      <c r="D758" s="585"/>
      <c r="E758" s="403" t="s">
        <v>1472</v>
      </c>
      <c r="F758" s="209" t="s">
        <v>1616</v>
      </c>
      <c r="G758" s="405" t="s">
        <v>1448</v>
      </c>
      <c r="H758" s="420" t="s">
        <v>1449</v>
      </c>
      <c r="I758" s="164">
        <v>4</v>
      </c>
      <c r="J758" s="163" t="s">
        <v>302</v>
      </c>
      <c r="K758" s="165" t="s">
        <v>338</v>
      </c>
      <c r="L758" s="138">
        <v>1</v>
      </c>
      <c r="M758" s="166">
        <f t="shared" ref="M758" si="188">I758*L758</f>
        <v>4</v>
      </c>
      <c r="N758" s="133" t="s">
        <v>291</v>
      </c>
      <c r="O758" s="420" t="s">
        <v>1443</v>
      </c>
      <c r="P758" s="138">
        <v>2</v>
      </c>
      <c r="Q758" s="225">
        <f t="shared" ref="Q758" si="189">I758*L758*P758</f>
        <v>8</v>
      </c>
      <c r="R758" s="428" t="s">
        <v>1444</v>
      </c>
      <c r="S758" s="428" t="s">
        <v>1445</v>
      </c>
      <c r="T758" s="133"/>
      <c r="U758" s="405"/>
      <c r="V758" s="135"/>
      <c r="W758" s="133"/>
      <c r="X758" s="405"/>
      <c r="Y758" s="405"/>
      <c r="Z758" s="135"/>
      <c r="AA758" s="136"/>
      <c r="AB758" s="111"/>
      <c r="AC758" s="363"/>
      <c r="AD758" s="226">
        <f t="shared" si="162"/>
        <v>11062</v>
      </c>
    </row>
    <row r="759" spans="1:31" ht="294" outlineLevel="3" thickBot="1" x14ac:dyDescent="0.25">
      <c r="A759" s="199" t="s">
        <v>1618</v>
      </c>
      <c r="B759" s="483"/>
      <c r="C759" s="484"/>
      <c r="D759" s="585"/>
      <c r="E759" s="411" t="s">
        <v>393</v>
      </c>
      <c r="F759" s="208" t="s">
        <v>1071</v>
      </c>
      <c r="G759" s="428" t="s">
        <v>1441</v>
      </c>
      <c r="H759" s="420" t="s">
        <v>1442</v>
      </c>
      <c r="I759" s="164">
        <v>2</v>
      </c>
      <c r="J759" s="163" t="s">
        <v>307</v>
      </c>
      <c r="K759" s="165" t="s">
        <v>338</v>
      </c>
      <c r="L759" s="138">
        <v>1</v>
      </c>
      <c r="M759" s="166">
        <f t="shared" si="178"/>
        <v>2</v>
      </c>
      <c r="N759" s="133" t="s">
        <v>291</v>
      </c>
      <c r="O759" s="420" t="s">
        <v>1443</v>
      </c>
      <c r="P759" s="138">
        <v>2</v>
      </c>
      <c r="Q759" s="225">
        <f t="shared" si="179"/>
        <v>4</v>
      </c>
      <c r="R759" s="428" t="s">
        <v>1444</v>
      </c>
      <c r="S759" s="428" t="s">
        <v>1445</v>
      </c>
      <c r="T759" s="133"/>
      <c r="U759" s="405"/>
      <c r="V759" s="135"/>
      <c r="W759" s="133"/>
      <c r="X759" s="405"/>
      <c r="Y759" s="405"/>
      <c r="Z759" s="135"/>
      <c r="AA759" s="136"/>
      <c r="AB759" s="111"/>
      <c r="AC759" s="363"/>
      <c r="AD759" s="226">
        <f t="shared" si="162"/>
        <v>5567</v>
      </c>
    </row>
    <row r="760" spans="1:31" ht="217.5" outlineLevel="3" thickBot="1" x14ac:dyDescent="0.25">
      <c r="A760" s="199" t="s">
        <v>1619</v>
      </c>
      <c r="B760" s="478"/>
      <c r="C760" s="480"/>
      <c r="D760" s="584"/>
      <c r="E760" s="411" t="s">
        <v>1605</v>
      </c>
      <c r="F760" s="208" t="s">
        <v>1071</v>
      </c>
      <c r="G760" s="405" t="s">
        <v>1448</v>
      </c>
      <c r="H760" s="420" t="s">
        <v>1449</v>
      </c>
      <c r="I760" s="164">
        <v>4</v>
      </c>
      <c r="J760" s="163" t="s">
        <v>302</v>
      </c>
      <c r="K760" s="165" t="s">
        <v>338</v>
      </c>
      <c r="L760" s="138">
        <v>1</v>
      </c>
      <c r="M760" s="166">
        <f t="shared" si="178"/>
        <v>4</v>
      </c>
      <c r="N760" s="133" t="s">
        <v>291</v>
      </c>
      <c r="O760" s="420" t="s">
        <v>1443</v>
      </c>
      <c r="P760" s="138">
        <v>2</v>
      </c>
      <c r="Q760" s="225">
        <f t="shared" si="179"/>
        <v>8</v>
      </c>
      <c r="R760" s="428" t="s">
        <v>1444</v>
      </c>
      <c r="S760" s="428" t="s">
        <v>1445</v>
      </c>
      <c r="T760" s="133"/>
      <c r="U760" s="405"/>
      <c r="V760" s="135"/>
      <c r="W760" s="133"/>
      <c r="X760" s="405"/>
      <c r="Y760" s="405"/>
      <c r="Z760" s="135"/>
      <c r="AA760" s="136"/>
      <c r="AB760" s="111"/>
      <c r="AC760" s="363"/>
      <c r="AD760" s="226">
        <f t="shared" si="162"/>
        <v>11063</v>
      </c>
    </row>
    <row r="761" spans="1:31" ht="128.25" outlineLevel="3" thickBot="1" x14ac:dyDescent="0.25">
      <c r="A761" s="199" t="s">
        <v>1620</v>
      </c>
      <c r="B761" s="477" t="s">
        <v>513</v>
      </c>
      <c r="C761" s="479" t="s">
        <v>514</v>
      </c>
      <c r="D761" s="477" t="s">
        <v>515</v>
      </c>
      <c r="E761" s="417" t="s">
        <v>300</v>
      </c>
      <c r="F761" s="417" t="s">
        <v>866</v>
      </c>
      <c r="G761" s="405" t="s">
        <v>1436</v>
      </c>
      <c r="H761" s="127" t="s">
        <v>238</v>
      </c>
      <c r="I761" s="128">
        <v>1</v>
      </c>
      <c r="J761" s="163" t="s">
        <v>302</v>
      </c>
      <c r="K761" s="130" t="s">
        <v>338</v>
      </c>
      <c r="L761" s="131">
        <v>1</v>
      </c>
      <c r="M761" s="132">
        <f t="shared" si="178"/>
        <v>1</v>
      </c>
      <c r="N761" s="133" t="s">
        <v>291</v>
      </c>
      <c r="O761" s="69" t="s">
        <v>242</v>
      </c>
      <c r="P761" s="131">
        <v>5</v>
      </c>
      <c r="Q761" s="134">
        <f t="shared" si="179"/>
        <v>5</v>
      </c>
      <c r="R761" s="428"/>
      <c r="S761" s="428"/>
      <c r="T761" s="133"/>
      <c r="U761" s="405"/>
      <c r="V761" s="135"/>
      <c r="W761" s="133"/>
      <c r="X761" s="405"/>
      <c r="Y761" s="405"/>
      <c r="Z761" s="135"/>
      <c r="AA761" s="136"/>
      <c r="AB761" s="111"/>
      <c r="AC761" s="363"/>
      <c r="AD761" s="226">
        <f t="shared" si="162"/>
        <v>5568</v>
      </c>
    </row>
    <row r="762" spans="1:31" s="317" customFormat="1" ht="128.25" outlineLevel="3" thickBot="1" x14ac:dyDescent="0.25">
      <c r="A762" s="199" t="s">
        <v>1621</v>
      </c>
      <c r="B762" s="478"/>
      <c r="C762" s="514"/>
      <c r="D762" s="478"/>
      <c r="E762" s="417" t="s">
        <v>393</v>
      </c>
      <c r="F762" s="417" t="s">
        <v>866</v>
      </c>
      <c r="G762" s="405" t="s">
        <v>1436</v>
      </c>
      <c r="H762" s="127" t="s">
        <v>238</v>
      </c>
      <c r="I762" s="128">
        <v>1</v>
      </c>
      <c r="J762" s="163" t="s">
        <v>307</v>
      </c>
      <c r="K762" s="130" t="s">
        <v>338</v>
      </c>
      <c r="L762" s="131">
        <v>1</v>
      </c>
      <c r="M762" s="132">
        <f t="shared" si="178"/>
        <v>1</v>
      </c>
      <c r="N762" s="133" t="s">
        <v>291</v>
      </c>
      <c r="O762" s="69" t="s">
        <v>242</v>
      </c>
      <c r="P762" s="131">
        <v>5</v>
      </c>
      <c r="Q762" s="134">
        <f t="shared" si="179"/>
        <v>5</v>
      </c>
      <c r="R762" s="428"/>
      <c r="S762" s="428"/>
      <c r="T762" s="133"/>
      <c r="U762" s="405"/>
      <c r="V762" s="135"/>
      <c r="W762" s="133"/>
      <c r="X762" s="405"/>
      <c r="Y762" s="405"/>
      <c r="Z762" s="135"/>
      <c r="AA762" s="136"/>
      <c r="AB762" s="111"/>
      <c r="AC762" s="368"/>
      <c r="AD762" s="226">
        <f t="shared" si="162"/>
        <v>5569</v>
      </c>
      <c r="AE762" s="264"/>
    </row>
    <row r="763" spans="1:31" s="317" customFormat="1" ht="128.25" outlineLevel="3" thickBot="1" x14ac:dyDescent="0.25">
      <c r="A763" s="199" t="s">
        <v>1622</v>
      </c>
      <c r="B763" s="477" t="s">
        <v>520</v>
      </c>
      <c r="C763" s="479" t="s">
        <v>521</v>
      </c>
      <c r="D763" s="477" t="s">
        <v>522</v>
      </c>
      <c r="E763" s="207" t="s">
        <v>275</v>
      </c>
      <c r="F763" s="207" t="s">
        <v>1078</v>
      </c>
      <c r="G763" s="405" t="s">
        <v>1436</v>
      </c>
      <c r="H763" s="127" t="s">
        <v>238</v>
      </c>
      <c r="I763" s="128">
        <v>1</v>
      </c>
      <c r="J763" s="163" t="s">
        <v>277</v>
      </c>
      <c r="K763" s="130" t="s">
        <v>338</v>
      </c>
      <c r="L763" s="131">
        <v>1</v>
      </c>
      <c r="M763" s="132">
        <f t="shared" si="178"/>
        <v>1</v>
      </c>
      <c r="N763" s="133" t="s">
        <v>291</v>
      </c>
      <c r="O763" s="69" t="s">
        <v>242</v>
      </c>
      <c r="P763" s="131">
        <v>5</v>
      </c>
      <c r="Q763" s="134">
        <f t="shared" si="179"/>
        <v>5</v>
      </c>
      <c r="R763" s="428"/>
      <c r="S763" s="428"/>
      <c r="T763" s="133"/>
      <c r="U763" s="405"/>
      <c r="V763" s="135"/>
      <c r="W763" s="133"/>
      <c r="X763" s="405"/>
      <c r="Y763" s="405"/>
      <c r="Z763" s="135"/>
      <c r="AA763" s="136"/>
      <c r="AB763" s="111"/>
      <c r="AC763" s="368"/>
      <c r="AD763" s="226">
        <f t="shared" si="162"/>
        <v>5570</v>
      </c>
      <c r="AE763" s="264"/>
    </row>
    <row r="764" spans="1:31" s="317" customFormat="1" ht="294" outlineLevel="3" thickBot="1" x14ac:dyDescent="0.25">
      <c r="A764" s="199" t="s">
        <v>1623</v>
      </c>
      <c r="B764" s="483"/>
      <c r="C764" s="484"/>
      <c r="D764" s="585"/>
      <c r="E764" s="411" t="s">
        <v>279</v>
      </c>
      <c r="F764" s="208" t="s">
        <v>1624</v>
      </c>
      <c r="G764" s="428" t="s">
        <v>1441</v>
      </c>
      <c r="H764" s="420" t="s">
        <v>1442</v>
      </c>
      <c r="I764" s="164">
        <v>2</v>
      </c>
      <c r="J764" s="163" t="s">
        <v>412</v>
      </c>
      <c r="K764" s="165" t="s">
        <v>338</v>
      </c>
      <c r="L764" s="138">
        <v>1</v>
      </c>
      <c r="M764" s="166">
        <f t="shared" si="178"/>
        <v>2</v>
      </c>
      <c r="N764" s="133" t="s">
        <v>291</v>
      </c>
      <c r="O764" s="420" t="s">
        <v>1443</v>
      </c>
      <c r="P764" s="138">
        <v>2</v>
      </c>
      <c r="Q764" s="338">
        <f t="shared" si="179"/>
        <v>4</v>
      </c>
      <c r="R764" s="428" t="s">
        <v>1444</v>
      </c>
      <c r="S764" s="428" t="s">
        <v>1445</v>
      </c>
      <c r="T764" s="133"/>
      <c r="U764" s="405"/>
      <c r="V764" s="135"/>
      <c r="W764" s="133"/>
      <c r="X764" s="405"/>
      <c r="Y764" s="405"/>
      <c r="Z764" s="135"/>
      <c r="AA764" s="136"/>
      <c r="AB764" s="111"/>
      <c r="AC764" s="368"/>
      <c r="AD764" s="226">
        <f t="shared" si="162"/>
        <v>5571</v>
      </c>
      <c r="AE764" s="264"/>
    </row>
    <row r="765" spans="1:31" s="317" customFormat="1" ht="153.75" outlineLevel="3" thickBot="1" x14ac:dyDescent="0.25">
      <c r="A765" s="199" t="s">
        <v>1625</v>
      </c>
      <c r="B765" s="478"/>
      <c r="C765" s="480"/>
      <c r="D765" s="584"/>
      <c r="E765" s="411" t="s">
        <v>1506</v>
      </c>
      <c r="F765" s="208" t="s">
        <v>1624</v>
      </c>
      <c r="G765" s="405" t="s">
        <v>1448</v>
      </c>
      <c r="H765" s="420" t="s">
        <v>1449</v>
      </c>
      <c r="I765" s="164">
        <v>4</v>
      </c>
      <c r="J765" s="163" t="s">
        <v>412</v>
      </c>
      <c r="K765" s="165" t="s">
        <v>338</v>
      </c>
      <c r="L765" s="138">
        <v>1</v>
      </c>
      <c r="M765" s="166">
        <f t="shared" ref="M765" si="190">I765*L765</f>
        <v>4</v>
      </c>
      <c r="N765" s="133" t="s">
        <v>291</v>
      </c>
      <c r="O765" s="420" t="s">
        <v>1443</v>
      </c>
      <c r="P765" s="138">
        <v>2</v>
      </c>
      <c r="Q765" s="225">
        <f t="shared" ref="Q765" si="191">I765*L765*P765</f>
        <v>8</v>
      </c>
      <c r="R765" s="428" t="s">
        <v>1444</v>
      </c>
      <c r="S765" s="428" t="s">
        <v>1445</v>
      </c>
      <c r="T765" s="133"/>
      <c r="U765" s="405"/>
      <c r="V765" s="135"/>
      <c r="W765" s="133"/>
      <c r="X765" s="405"/>
      <c r="Y765" s="405"/>
      <c r="Z765" s="135"/>
      <c r="AA765" s="136"/>
      <c r="AB765" s="111"/>
      <c r="AC765" s="368"/>
      <c r="AD765" s="226">
        <f t="shared" si="162"/>
        <v>11064</v>
      </c>
      <c r="AE765" s="264"/>
    </row>
    <row r="766" spans="1:31" s="317" customFormat="1" ht="128.25" outlineLevel="3" thickBot="1" x14ac:dyDescent="0.25">
      <c r="A766" s="200" t="s">
        <v>1626</v>
      </c>
      <c r="B766" s="485" t="s">
        <v>527</v>
      </c>
      <c r="C766" s="566" t="s">
        <v>528</v>
      </c>
      <c r="D766" s="485" t="s">
        <v>529</v>
      </c>
      <c r="E766" s="337" t="s">
        <v>300</v>
      </c>
      <c r="F766" s="337" t="s">
        <v>530</v>
      </c>
      <c r="G766" s="405" t="s">
        <v>1436</v>
      </c>
      <c r="H766" s="148" t="s">
        <v>238</v>
      </c>
      <c r="I766" s="149">
        <v>1</v>
      </c>
      <c r="J766" s="176" t="s">
        <v>302</v>
      </c>
      <c r="K766" s="151" t="s">
        <v>338</v>
      </c>
      <c r="L766" s="152">
        <v>1</v>
      </c>
      <c r="M766" s="153">
        <f t="shared" si="178"/>
        <v>1</v>
      </c>
      <c r="N766" s="154" t="s">
        <v>291</v>
      </c>
      <c r="O766" s="155" t="s">
        <v>242</v>
      </c>
      <c r="P766" s="152">
        <v>5</v>
      </c>
      <c r="Q766" s="156">
        <f t="shared" si="179"/>
        <v>5</v>
      </c>
      <c r="R766" s="428"/>
      <c r="S766" s="428"/>
      <c r="T766" s="133"/>
      <c r="U766" s="405"/>
      <c r="V766" s="135"/>
      <c r="W766" s="133"/>
      <c r="X766" s="405"/>
      <c r="Y766" s="405"/>
      <c r="Z766" s="135"/>
      <c r="AA766" s="136"/>
      <c r="AB766" s="111"/>
      <c r="AC766" s="368"/>
      <c r="AD766" s="226">
        <f t="shared" si="162"/>
        <v>5572</v>
      </c>
      <c r="AE766" s="264"/>
    </row>
    <row r="767" spans="1:31" s="251" customFormat="1" ht="128.25" outlineLevel="3" thickBot="1" x14ac:dyDescent="0.25">
      <c r="A767" s="200" t="s">
        <v>1627</v>
      </c>
      <c r="B767" s="515"/>
      <c r="C767" s="567"/>
      <c r="D767" s="515"/>
      <c r="E767" s="337" t="s">
        <v>393</v>
      </c>
      <c r="F767" s="337" t="s">
        <v>530</v>
      </c>
      <c r="G767" s="405" t="s">
        <v>1436</v>
      </c>
      <c r="H767" s="148" t="s">
        <v>238</v>
      </c>
      <c r="I767" s="149">
        <v>1</v>
      </c>
      <c r="J767" s="176" t="s">
        <v>307</v>
      </c>
      <c r="K767" s="151" t="s">
        <v>338</v>
      </c>
      <c r="L767" s="152">
        <v>1</v>
      </c>
      <c r="M767" s="153">
        <f t="shared" si="178"/>
        <v>1</v>
      </c>
      <c r="N767" s="154" t="s">
        <v>291</v>
      </c>
      <c r="O767" s="155" t="s">
        <v>242</v>
      </c>
      <c r="P767" s="152">
        <v>5</v>
      </c>
      <c r="Q767" s="156">
        <f t="shared" si="179"/>
        <v>5</v>
      </c>
      <c r="R767" s="428"/>
      <c r="S767" s="428"/>
      <c r="T767" s="133"/>
      <c r="U767" s="405"/>
      <c r="V767" s="135"/>
      <c r="W767" s="133"/>
      <c r="X767" s="405"/>
      <c r="Y767" s="405"/>
      <c r="Z767" s="135"/>
      <c r="AA767" s="136"/>
      <c r="AB767" s="111"/>
      <c r="AC767" s="365"/>
      <c r="AD767" s="226">
        <f t="shared" si="162"/>
        <v>5573</v>
      </c>
      <c r="AE767" s="352"/>
    </row>
    <row r="768" spans="1:31" ht="128.25" outlineLevel="3" thickBot="1" x14ac:dyDescent="0.25">
      <c r="A768" s="199" t="s">
        <v>1628</v>
      </c>
      <c r="B768" s="477" t="s">
        <v>533</v>
      </c>
      <c r="C768" s="479" t="s">
        <v>534</v>
      </c>
      <c r="D768" s="477" t="s">
        <v>535</v>
      </c>
      <c r="E768" s="417" t="s">
        <v>536</v>
      </c>
      <c r="F768" s="417" t="s">
        <v>874</v>
      </c>
      <c r="G768" s="405" t="s">
        <v>1436</v>
      </c>
      <c r="H768" s="127" t="s">
        <v>238</v>
      </c>
      <c r="I768" s="128">
        <v>1</v>
      </c>
      <c r="J768" s="163" t="s">
        <v>1005</v>
      </c>
      <c r="K768" s="130" t="s">
        <v>338</v>
      </c>
      <c r="L768" s="131">
        <v>1</v>
      </c>
      <c r="M768" s="132">
        <f t="shared" si="178"/>
        <v>1</v>
      </c>
      <c r="N768" s="133" t="s">
        <v>291</v>
      </c>
      <c r="O768" s="69" t="s">
        <v>242</v>
      </c>
      <c r="P768" s="131">
        <v>5</v>
      </c>
      <c r="Q768" s="134">
        <f>P768*L768*I768</f>
        <v>5</v>
      </c>
      <c r="R768" s="428"/>
      <c r="S768" s="428"/>
      <c r="T768" s="133"/>
      <c r="U768" s="405"/>
      <c r="V768" s="135"/>
      <c r="W768" s="133"/>
      <c r="X768" s="405"/>
      <c r="Y768" s="405"/>
      <c r="Z768" s="135"/>
      <c r="AA768" s="136"/>
      <c r="AB768" s="111"/>
      <c r="AC768" s="226"/>
      <c r="AD768" s="226">
        <f t="shared" si="162"/>
        <v>5574</v>
      </c>
    </row>
    <row r="769" spans="1:30" ht="153.75" outlineLevel="3" thickBot="1" x14ac:dyDescent="0.25">
      <c r="A769" s="199" t="s">
        <v>1629</v>
      </c>
      <c r="B769" s="478"/>
      <c r="C769" s="480"/>
      <c r="D769" s="478"/>
      <c r="E769" s="417" t="s">
        <v>279</v>
      </c>
      <c r="F769" s="417" t="s">
        <v>539</v>
      </c>
      <c r="G769" s="405" t="s">
        <v>1436</v>
      </c>
      <c r="H769" s="127" t="s">
        <v>238</v>
      </c>
      <c r="I769" s="128">
        <v>1</v>
      </c>
      <c r="J769" s="163" t="s">
        <v>412</v>
      </c>
      <c r="K769" s="130" t="s">
        <v>338</v>
      </c>
      <c r="L769" s="131">
        <v>1</v>
      </c>
      <c r="M769" s="132">
        <f t="shared" si="178"/>
        <v>1</v>
      </c>
      <c r="N769" s="133" t="s">
        <v>291</v>
      </c>
      <c r="O769" s="69" t="s">
        <v>242</v>
      </c>
      <c r="P769" s="131">
        <v>5</v>
      </c>
      <c r="Q769" s="134">
        <f t="shared" ref="Q769" si="192">I769*L769*P769</f>
        <v>5</v>
      </c>
      <c r="R769" s="428"/>
      <c r="S769" s="428"/>
      <c r="T769" s="133"/>
      <c r="U769" s="405"/>
      <c r="V769" s="135"/>
      <c r="W769" s="133"/>
      <c r="X769" s="405"/>
      <c r="Y769" s="405"/>
      <c r="Z769" s="135"/>
      <c r="AA769" s="136"/>
      <c r="AB769" s="111"/>
      <c r="AC769" s="226"/>
      <c r="AD769" s="226">
        <f t="shared" si="162"/>
        <v>5575</v>
      </c>
    </row>
    <row r="770" spans="1:30" ht="128.25" outlineLevel="3" thickBot="1" x14ac:dyDescent="0.25">
      <c r="A770" s="199" t="s">
        <v>1630</v>
      </c>
      <c r="B770" s="569" t="s">
        <v>541</v>
      </c>
      <c r="C770" s="499" t="s">
        <v>542</v>
      </c>
      <c r="D770" s="569" t="s">
        <v>877</v>
      </c>
      <c r="E770" s="417" t="s">
        <v>275</v>
      </c>
      <c r="F770" s="417" t="s">
        <v>878</v>
      </c>
      <c r="G770" s="405" t="s">
        <v>1436</v>
      </c>
      <c r="H770" s="127" t="s">
        <v>238</v>
      </c>
      <c r="I770" s="128">
        <v>1</v>
      </c>
      <c r="J770" s="163" t="s">
        <v>277</v>
      </c>
      <c r="K770" s="130" t="s">
        <v>338</v>
      </c>
      <c r="L770" s="131">
        <v>1</v>
      </c>
      <c r="M770" s="132">
        <f t="shared" si="178"/>
        <v>1</v>
      </c>
      <c r="N770" s="133" t="s">
        <v>291</v>
      </c>
      <c r="O770" s="69" t="s">
        <v>242</v>
      </c>
      <c r="P770" s="131">
        <v>5</v>
      </c>
      <c r="Q770" s="134">
        <f t="shared" si="179"/>
        <v>5</v>
      </c>
      <c r="R770" s="428"/>
      <c r="S770" s="428"/>
      <c r="T770" s="133"/>
      <c r="U770" s="405"/>
      <c r="V770" s="135"/>
      <c r="W770" s="133"/>
      <c r="X770" s="405"/>
      <c r="Y770" s="405"/>
      <c r="Z770" s="135"/>
      <c r="AA770" s="136"/>
      <c r="AB770" s="111"/>
      <c r="AC770" s="226"/>
      <c r="AD770" s="226">
        <f t="shared" si="162"/>
        <v>5576</v>
      </c>
    </row>
    <row r="771" spans="1:30" ht="128.25" outlineLevel="3" thickBot="1" x14ac:dyDescent="0.25">
      <c r="A771" s="199" t="s">
        <v>1631</v>
      </c>
      <c r="B771" s="570"/>
      <c r="C771" s="500"/>
      <c r="D771" s="570"/>
      <c r="E771" s="207" t="s">
        <v>279</v>
      </c>
      <c r="F771" s="384" t="s">
        <v>878</v>
      </c>
      <c r="G771" s="405" t="s">
        <v>1436</v>
      </c>
      <c r="H771" s="127" t="s">
        <v>238</v>
      </c>
      <c r="I771" s="128">
        <v>1</v>
      </c>
      <c r="J771" s="163" t="s">
        <v>412</v>
      </c>
      <c r="K771" s="130" t="s">
        <v>338</v>
      </c>
      <c r="L771" s="131">
        <v>1</v>
      </c>
      <c r="M771" s="132">
        <f t="shared" si="178"/>
        <v>1</v>
      </c>
      <c r="N771" s="133" t="s">
        <v>291</v>
      </c>
      <c r="O771" s="69" t="s">
        <v>242</v>
      </c>
      <c r="P771" s="131">
        <v>5</v>
      </c>
      <c r="Q771" s="134">
        <f t="shared" si="179"/>
        <v>5</v>
      </c>
      <c r="R771" s="428"/>
      <c r="S771" s="428"/>
      <c r="T771" s="133"/>
      <c r="U771" s="405"/>
      <c r="V771" s="135"/>
      <c r="W771" s="133"/>
      <c r="X771" s="405"/>
      <c r="Y771" s="405"/>
      <c r="Z771" s="135"/>
      <c r="AA771" s="136"/>
      <c r="AB771" s="111"/>
      <c r="AC771" s="226"/>
      <c r="AD771" s="226">
        <f t="shared" si="162"/>
        <v>5577</v>
      </c>
    </row>
    <row r="772" spans="1:30" ht="153.75" outlineLevel="3" thickBot="1" x14ac:dyDescent="0.25">
      <c r="A772" s="199" t="s">
        <v>1632</v>
      </c>
      <c r="B772" s="477" t="s">
        <v>547</v>
      </c>
      <c r="C772" s="479" t="s">
        <v>548</v>
      </c>
      <c r="D772" s="477" t="s">
        <v>549</v>
      </c>
      <c r="E772" s="411" t="s">
        <v>275</v>
      </c>
      <c r="F772" s="405" t="s">
        <v>537</v>
      </c>
      <c r="G772" s="405" t="s">
        <v>1436</v>
      </c>
      <c r="H772" s="420" t="s">
        <v>238</v>
      </c>
      <c r="I772" s="164">
        <v>1</v>
      </c>
      <c r="J772" s="163" t="s">
        <v>277</v>
      </c>
      <c r="K772" s="165" t="s">
        <v>1504</v>
      </c>
      <c r="L772" s="138">
        <v>1</v>
      </c>
      <c r="M772" s="166">
        <f t="shared" si="178"/>
        <v>1</v>
      </c>
      <c r="N772" s="133" t="s">
        <v>241</v>
      </c>
      <c r="O772" s="420" t="s">
        <v>242</v>
      </c>
      <c r="P772" s="138">
        <v>5</v>
      </c>
      <c r="Q772" s="225">
        <f t="shared" si="179"/>
        <v>5</v>
      </c>
      <c r="R772" s="428"/>
      <c r="S772" s="428"/>
      <c r="T772" s="133"/>
      <c r="U772" s="405"/>
      <c r="V772" s="135"/>
      <c r="W772" s="133"/>
      <c r="X772" s="405"/>
      <c r="Y772" s="405"/>
      <c r="Z772" s="135"/>
      <c r="AA772" s="136"/>
      <c r="AB772" s="111"/>
      <c r="AC772" s="226"/>
      <c r="AD772" s="226">
        <f t="shared" si="162"/>
        <v>12403</v>
      </c>
    </row>
    <row r="773" spans="1:30" ht="294" outlineLevel="3" thickBot="1" x14ac:dyDescent="0.25">
      <c r="A773" s="199" t="s">
        <v>1633</v>
      </c>
      <c r="B773" s="483"/>
      <c r="C773" s="484"/>
      <c r="D773" s="483"/>
      <c r="E773" s="405" t="s">
        <v>279</v>
      </c>
      <c r="F773" s="405" t="s">
        <v>882</v>
      </c>
      <c r="G773" s="405" t="s">
        <v>1441</v>
      </c>
      <c r="H773" s="420" t="s">
        <v>1442</v>
      </c>
      <c r="I773" s="164">
        <v>2</v>
      </c>
      <c r="J773" s="163" t="s">
        <v>281</v>
      </c>
      <c r="K773" s="165" t="s">
        <v>1504</v>
      </c>
      <c r="L773" s="138">
        <v>1</v>
      </c>
      <c r="M773" s="166">
        <f t="shared" si="178"/>
        <v>2</v>
      </c>
      <c r="N773" s="133" t="s">
        <v>283</v>
      </c>
      <c r="O773" s="420" t="s">
        <v>1443</v>
      </c>
      <c r="P773" s="138">
        <v>2</v>
      </c>
      <c r="Q773" s="225">
        <f t="shared" si="179"/>
        <v>4</v>
      </c>
      <c r="R773" s="428" t="s">
        <v>1444</v>
      </c>
      <c r="S773" s="428" t="s">
        <v>1445</v>
      </c>
      <c r="T773" s="133"/>
      <c r="U773" s="405"/>
      <c r="V773" s="135"/>
      <c r="W773" s="133"/>
      <c r="X773" s="405"/>
      <c r="Y773" s="405"/>
      <c r="Z773" s="135"/>
      <c r="AA773" s="136">
        <f t="shared" ref="AA773:AA826" si="193">X773*Y773*Z773</f>
        <v>0</v>
      </c>
      <c r="AB773" s="111"/>
      <c r="AC773" s="226"/>
      <c r="AD773" s="226">
        <f t="shared" si="162"/>
        <v>12404</v>
      </c>
    </row>
    <row r="774" spans="1:30" ht="166.5" outlineLevel="3" thickBot="1" x14ac:dyDescent="0.25">
      <c r="A774" s="199" t="s">
        <v>1634</v>
      </c>
      <c r="B774" s="478"/>
      <c r="C774" s="480"/>
      <c r="D774" s="478"/>
      <c r="E774" s="403" t="s">
        <v>1506</v>
      </c>
      <c r="F774" s="405" t="s">
        <v>882</v>
      </c>
      <c r="G774" s="405" t="s">
        <v>1448</v>
      </c>
      <c r="H774" s="420" t="s">
        <v>1449</v>
      </c>
      <c r="I774" s="164">
        <v>4</v>
      </c>
      <c r="J774" s="163" t="s">
        <v>281</v>
      </c>
      <c r="K774" s="165" t="s">
        <v>1504</v>
      </c>
      <c r="L774" s="138">
        <v>1</v>
      </c>
      <c r="M774" s="166">
        <f t="shared" si="178"/>
        <v>4</v>
      </c>
      <c r="N774" s="133" t="s">
        <v>291</v>
      </c>
      <c r="O774" s="420" t="s">
        <v>1443</v>
      </c>
      <c r="P774" s="138">
        <v>2</v>
      </c>
      <c r="Q774" s="225">
        <f t="shared" si="179"/>
        <v>8</v>
      </c>
      <c r="R774" s="428" t="s">
        <v>1444</v>
      </c>
      <c r="S774" s="428" t="s">
        <v>1445</v>
      </c>
      <c r="T774" s="133"/>
      <c r="U774" s="405"/>
      <c r="V774" s="135"/>
      <c r="W774" s="133"/>
      <c r="X774" s="405"/>
      <c r="Y774" s="405"/>
      <c r="Z774" s="135"/>
      <c r="AA774" s="136"/>
      <c r="AB774" s="111"/>
      <c r="AC774" s="226"/>
      <c r="AD774" s="226">
        <f t="shared" ref="AD774:AD837" si="194">VALUE(RIGHT((IF(A774="",0,A774)),5))</f>
        <v>12405</v>
      </c>
    </row>
    <row r="775" spans="1:30" ht="128.25" outlineLevel="3" thickBot="1" x14ac:dyDescent="0.25">
      <c r="A775" s="252" t="s">
        <v>1635</v>
      </c>
      <c r="B775" s="489" t="s">
        <v>553</v>
      </c>
      <c r="C775" s="408" t="s">
        <v>554</v>
      </c>
      <c r="D775" s="489" t="s">
        <v>555</v>
      </c>
      <c r="E775" s="416" t="s">
        <v>275</v>
      </c>
      <c r="F775" s="330" t="s">
        <v>556</v>
      </c>
      <c r="G775" s="405" t="s">
        <v>1436</v>
      </c>
      <c r="H775" s="255" t="s">
        <v>238</v>
      </c>
      <c r="I775" s="265">
        <v>1</v>
      </c>
      <c r="J775" s="253" t="s">
        <v>277</v>
      </c>
      <c r="K775" s="130" t="s">
        <v>338</v>
      </c>
      <c r="L775" s="258">
        <v>1</v>
      </c>
      <c r="M775" s="256">
        <f t="shared" si="178"/>
        <v>1</v>
      </c>
      <c r="N775" s="248" t="s">
        <v>241</v>
      </c>
      <c r="O775" s="257" t="s">
        <v>242</v>
      </c>
      <c r="P775" s="258">
        <v>5</v>
      </c>
      <c r="Q775" s="259">
        <f t="shared" si="179"/>
        <v>5</v>
      </c>
      <c r="R775" s="428"/>
      <c r="S775" s="428"/>
      <c r="T775" s="133"/>
      <c r="U775" s="405"/>
      <c r="V775" s="135"/>
      <c r="W775" s="133"/>
      <c r="X775" s="405"/>
      <c r="Y775" s="405"/>
      <c r="Z775" s="135"/>
      <c r="AA775" s="136"/>
      <c r="AB775" s="111"/>
      <c r="AC775" s="226"/>
      <c r="AD775" s="226">
        <f t="shared" si="194"/>
        <v>11065</v>
      </c>
    </row>
    <row r="776" spans="1:30" ht="294" outlineLevel="3" thickBot="1" x14ac:dyDescent="0.25">
      <c r="A776" s="252" t="s">
        <v>1636</v>
      </c>
      <c r="B776" s="496"/>
      <c r="C776" s="501"/>
      <c r="D776" s="496"/>
      <c r="E776" s="415" t="s">
        <v>279</v>
      </c>
      <c r="F776" s="330" t="s">
        <v>558</v>
      </c>
      <c r="G776" s="415" t="s">
        <v>1441</v>
      </c>
      <c r="H776" s="255" t="s">
        <v>1442</v>
      </c>
      <c r="I776" s="265">
        <v>2</v>
      </c>
      <c r="J776" s="253" t="s">
        <v>412</v>
      </c>
      <c r="K776" s="130" t="s">
        <v>338</v>
      </c>
      <c r="L776" s="258">
        <v>1</v>
      </c>
      <c r="M776" s="256">
        <f t="shared" si="178"/>
        <v>2</v>
      </c>
      <c r="N776" s="248" t="s">
        <v>291</v>
      </c>
      <c r="O776" s="420" t="s">
        <v>1443</v>
      </c>
      <c r="P776" s="138">
        <v>2</v>
      </c>
      <c r="Q776" s="259">
        <f t="shared" si="179"/>
        <v>4</v>
      </c>
      <c r="R776" s="428" t="s">
        <v>1444</v>
      </c>
      <c r="S776" s="428" t="s">
        <v>1445</v>
      </c>
      <c r="T776" s="133"/>
      <c r="U776" s="405"/>
      <c r="V776" s="135"/>
      <c r="W776" s="133"/>
      <c r="X776" s="405"/>
      <c r="Y776" s="405"/>
      <c r="Z776" s="135"/>
      <c r="AA776" s="136"/>
      <c r="AB776" s="111"/>
      <c r="AC776" s="226"/>
      <c r="AD776" s="226">
        <f t="shared" si="194"/>
        <v>11066</v>
      </c>
    </row>
    <row r="777" spans="1:30" ht="166.5" outlineLevel="3" thickBot="1" x14ac:dyDescent="0.25">
      <c r="A777" s="199" t="s">
        <v>1637</v>
      </c>
      <c r="B777" s="478"/>
      <c r="C777" s="480"/>
      <c r="D777" s="478"/>
      <c r="E777" s="403" t="s">
        <v>1506</v>
      </c>
      <c r="F777" s="425" t="s">
        <v>558</v>
      </c>
      <c r="G777" s="405" t="s">
        <v>1448</v>
      </c>
      <c r="H777" s="420" t="s">
        <v>1449</v>
      </c>
      <c r="I777" s="164">
        <v>4</v>
      </c>
      <c r="J777" s="163" t="s">
        <v>281</v>
      </c>
      <c r="K777" s="165" t="s">
        <v>1504</v>
      </c>
      <c r="L777" s="138">
        <v>1</v>
      </c>
      <c r="M777" s="166">
        <f t="shared" ref="M777" si="195">I777*L777</f>
        <v>4</v>
      </c>
      <c r="N777" s="133" t="s">
        <v>291</v>
      </c>
      <c r="O777" s="420" t="s">
        <v>1443</v>
      </c>
      <c r="P777" s="138">
        <v>2</v>
      </c>
      <c r="Q777" s="225">
        <f t="shared" ref="Q777" si="196">I777*L777*P777</f>
        <v>8</v>
      </c>
      <c r="R777" s="428" t="s">
        <v>1444</v>
      </c>
      <c r="S777" s="428" t="s">
        <v>1445</v>
      </c>
      <c r="T777" s="133"/>
      <c r="U777" s="405"/>
      <c r="V777" s="135"/>
      <c r="W777" s="133"/>
      <c r="X777" s="405"/>
      <c r="Y777" s="405"/>
      <c r="Z777" s="135"/>
      <c r="AA777" s="136"/>
      <c r="AB777" s="111"/>
      <c r="AC777" s="226"/>
      <c r="AD777" s="226">
        <f t="shared" si="194"/>
        <v>12406</v>
      </c>
    </row>
    <row r="778" spans="1:30" ht="128.25" outlineLevel="3" thickBot="1" x14ac:dyDescent="0.25">
      <c r="A778" s="252" t="s">
        <v>1638</v>
      </c>
      <c r="B778" s="489" t="s">
        <v>560</v>
      </c>
      <c r="C778" s="486" t="s">
        <v>561</v>
      </c>
      <c r="D778" s="489" t="s">
        <v>886</v>
      </c>
      <c r="E778" s="415" t="s">
        <v>300</v>
      </c>
      <c r="F778" s="330" t="s">
        <v>563</v>
      </c>
      <c r="G778" s="405" t="s">
        <v>1436</v>
      </c>
      <c r="H778" s="255" t="s">
        <v>238</v>
      </c>
      <c r="I778" s="265">
        <v>1</v>
      </c>
      <c r="J778" s="253" t="s">
        <v>302</v>
      </c>
      <c r="K778" s="130" t="s">
        <v>338</v>
      </c>
      <c r="L778" s="258">
        <v>1</v>
      </c>
      <c r="M778" s="256">
        <f t="shared" si="178"/>
        <v>1</v>
      </c>
      <c r="N778" s="248" t="s">
        <v>291</v>
      </c>
      <c r="O778" s="257" t="s">
        <v>242</v>
      </c>
      <c r="P778" s="258">
        <v>5</v>
      </c>
      <c r="Q778" s="259">
        <f t="shared" si="179"/>
        <v>5</v>
      </c>
      <c r="R778" s="428"/>
      <c r="S778" s="428"/>
      <c r="T778" s="133"/>
      <c r="U778" s="405"/>
      <c r="V778" s="135"/>
      <c r="W778" s="133"/>
      <c r="X778" s="405"/>
      <c r="Y778" s="405"/>
      <c r="Z778" s="135"/>
      <c r="AA778" s="136"/>
      <c r="AB778" s="111"/>
      <c r="AC778" s="226"/>
      <c r="AD778" s="226">
        <f t="shared" si="194"/>
        <v>11067</v>
      </c>
    </row>
    <row r="779" spans="1:30" ht="153.75" outlineLevel="3" thickBot="1" x14ac:dyDescent="0.25">
      <c r="A779" s="200" t="s">
        <v>1639</v>
      </c>
      <c r="B779" s="496"/>
      <c r="C779" s="501"/>
      <c r="D779" s="496"/>
      <c r="E779" s="413" t="s">
        <v>1472</v>
      </c>
      <c r="F779" s="386" t="s">
        <v>888</v>
      </c>
      <c r="G779" s="414" t="s">
        <v>1448</v>
      </c>
      <c r="H779" s="336" t="s">
        <v>1449</v>
      </c>
      <c r="I779" s="164">
        <v>4</v>
      </c>
      <c r="J779" s="176" t="s">
        <v>302</v>
      </c>
      <c r="K779" s="178" t="s">
        <v>338</v>
      </c>
      <c r="L779" s="179">
        <v>1</v>
      </c>
      <c r="M779" s="180">
        <f t="shared" ref="M779" si="197">I779*L779</f>
        <v>4</v>
      </c>
      <c r="N779" s="154" t="s">
        <v>291</v>
      </c>
      <c r="O779" s="336" t="s">
        <v>1443</v>
      </c>
      <c r="P779" s="179">
        <v>2</v>
      </c>
      <c r="Q779" s="343">
        <f t="shared" ref="Q779:Q780" si="198">I779*L779*P779</f>
        <v>8</v>
      </c>
      <c r="R779" s="428" t="s">
        <v>1444</v>
      </c>
      <c r="S779" s="428" t="s">
        <v>1445</v>
      </c>
      <c r="T779" s="133"/>
      <c r="U779" s="405"/>
      <c r="V779" s="135"/>
      <c r="W779" s="133"/>
      <c r="X779" s="405"/>
      <c r="Y779" s="405"/>
      <c r="Z779" s="135"/>
      <c r="AA779" s="136">
        <f t="shared" si="193"/>
        <v>0</v>
      </c>
      <c r="AB779" s="111"/>
      <c r="AC779" s="226"/>
      <c r="AD779" s="226">
        <f t="shared" si="194"/>
        <v>11068</v>
      </c>
    </row>
    <row r="780" spans="1:30" ht="294" outlineLevel="3" thickBot="1" x14ac:dyDescent="0.25">
      <c r="A780" s="252" t="s">
        <v>1640</v>
      </c>
      <c r="B780" s="496"/>
      <c r="C780" s="501"/>
      <c r="D780" s="496"/>
      <c r="E780" s="416" t="s">
        <v>393</v>
      </c>
      <c r="F780" s="415" t="s">
        <v>1641</v>
      </c>
      <c r="G780" s="415" t="s">
        <v>1441</v>
      </c>
      <c r="H780" s="255" t="s">
        <v>1442</v>
      </c>
      <c r="I780" s="265">
        <v>2</v>
      </c>
      <c r="J780" s="253" t="s">
        <v>307</v>
      </c>
      <c r="K780" s="130" t="s">
        <v>338</v>
      </c>
      <c r="L780" s="258">
        <v>1</v>
      </c>
      <c r="M780" s="256">
        <f t="shared" si="178"/>
        <v>2</v>
      </c>
      <c r="N780" s="248" t="s">
        <v>291</v>
      </c>
      <c r="O780" s="257" t="s">
        <v>242</v>
      </c>
      <c r="P780" s="258">
        <v>5</v>
      </c>
      <c r="Q780" s="259">
        <f t="shared" si="198"/>
        <v>10</v>
      </c>
      <c r="R780" s="428" t="s">
        <v>1444</v>
      </c>
      <c r="S780" s="428" t="s">
        <v>1445</v>
      </c>
      <c r="T780" s="133"/>
      <c r="U780" s="405"/>
      <c r="V780" s="135"/>
      <c r="W780" s="133"/>
      <c r="X780" s="405"/>
      <c r="Y780" s="405"/>
      <c r="Z780" s="135"/>
      <c r="AA780" s="136"/>
      <c r="AB780" s="111"/>
      <c r="AC780" s="226"/>
      <c r="AD780" s="226">
        <f t="shared" si="194"/>
        <v>11069</v>
      </c>
    </row>
    <row r="781" spans="1:30" ht="153.75" outlineLevel="3" thickBot="1" x14ac:dyDescent="0.25">
      <c r="A781" s="280" t="s">
        <v>1642</v>
      </c>
      <c r="B781" s="491"/>
      <c r="C781" s="487"/>
      <c r="D781" s="491"/>
      <c r="E781" s="431" t="s">
        <v>1557</v>
      </c>
      <c r="F781" s="409" t="s">
        <v>1641</v>
      </c>
      <c r="G781" s="415" t="s">
        <v>1448</v>
      </c>
      <c r="H781" s="332" t="s">
        <v>1449</v>
      </c>
      <c r="I781" s="318">
        <v>4</v>
      </c>
      <c r="J781" s="283" t="s">
        <v>302</v>
      </c>
      <c r="K781" s="130" t="s">
        <v>338</v>
      </c>
      <c r="L781" s="285">
        <v>1</v>
      </c>
      <c r="M781" s="286">
        <f t="shared" si="178"/>
        <v>4</v>
      </c>
      <c r="N781" s="287" t="s">
        <v>291</v>
      </c>
      <c r="O781" s="332" t="s">
        <v>1443</v>
      </c>
      <c r="P781" s="285">
        <v>2</v>
      </c>
      <c r="Q781" s="290">
        <f t="shared" ref="Q781" si="199">I781*L781*P781</f>
        <v>8</v>
      </c>
      <c r="R781" s="428" t="s">
        <v>1444</v>
      </c>
      <c r="S781" s="428" t="s">
        <v>1445</v>
      </c>
      <c r="T781" s="133"/>
      <c r="U781" s="405"/>
      <c r="V781" s="135"/>
      <c r="W781" s="133"/>
      <c r="X781" s="405"/>
      <c r="Y781" s="405"/>
      <c r="Z781" s="135"/>
      <c r="AA781" s="136">
        <f t="shared" si="193"/>
        <v>0</v>
      </c>
      <c r="AB781" s="111"/>
      <c r="AC781" s="226"/>
      <c r="AD781" s="226">
        <f t="shared" si="194"/>
        <v>11070</v>
      </c>
    </row>
    <row r="782" spans="1:30" ht="294" outlineLevel="3" thickBot="1" x14ac:dyDescent="0.25">
      <c r="A782" s="199" t="s">
        <v>1643</v>
      </c>
      <c r="B782" s="477" t="s">
        <v>567</v>
      </c>
      <c r="C782" s="479" t="s">
        <v>568</v>
      </c>
      <c r="D782" s="583" t="s">
        <v>569</v>
      </c>
      <c r="E782" s="411" t="s">
        <v>300</v>
      </c>
      <c r="F782" s="208" t="s">
        <v>1093</v>
      </c>
      <c r="G782" s="428" t="s">
        <v>1441</v>
      </c>
      <c r="H782" s="420" t="s">
        <v>1442</v>
      </c>
      <c r="I782" s="164">
        <v>2</v>
      </c>
      <c r="J782" s="163" t="s">
        <v>302</v>
      </c>
      <c r="K782" s="165" t="s">
        <v>338</v>
      </c>
      <c r="L782" s="138">
        <v>1</v>
      </c>
      <c r="M782" s="166">
        <f t="shared" si="178"/>
        <v>2</v>
      </c>
      <c r="N782" s="133" t="s">
        <v>291</v>
      </c>
      <c r="O782" s="420" t="s">
        <v>1443</v>
      </c>
      <c r="P782" s="138">
        <v>2</v>
      </c>
      <c r="Q782" s="225">
        <f t="shared" si="179"/>
        <v>4</v>
      </c>
      <c r="R782" s="428" t="s">
        <v>1444</v>
      </c>
      <c r="S782" s="428" t="s">
        <v>1445</v>
      </c>
      <c r="T782" s="133"/>
      <c r="U782" s="405"/>
      <c r="V782" s="135"/>
      <c r="W782" s="133"/>
      <c r="X782" s="405"/>
      <c r="Y782" s="405"/>
      <c r="Z782" s="135"/>
      <c r="AA782" s="136"/>
      <c r="AB782" s="111"/>
      <c r="AC782" s="226"/>
      <c r="AD782" s="226">
        <f t="shared" si="194"/>
        <v>5578</v>
      </c>
    </row>
    <row r="783" spans="1:30" ht="153.75" outlineLevel="3" thickBot="1" x14ac:dyDescent="0.25">
      <c r="A783" s="199" t="s">
        <v>1644</v>
      </c>
      <c r="B783" s="483"/>
      <c r="C783" s="484"/>
      <c r="D783" s="585"/>
      <c r="E783" s="403" t="s">
        <v>1472</v>
      </c>
      <c r="F783" s="209" t="s">
        <v>1093</v>
      </c>
      <c r="G783" s="405" t="s">
        <v>1448</v>
      </c>
      <c r="H783" s="420" t="s">
        <v>1449</v>
      </c>
      <c r="I783" s="164">
        <v>4</v>
      </c>
      <c r="J783" s="163" t="s">
        <v>302</v>
      </c>
      <c r="K783" s="165" t="s">
        <v>338</v>
      </c>
      <c r="L783" s="138">
        <v>1</v>
      </c>
      <c r="M783" s="166">
        <f t="shared" si="178"/>
        <v>4</v>
      </c>
      <c r="N783" s="133" t="s">
        <v>291</v>
      </c>
      <c r="O783" s="420" t="s">
        <v>1443</v>
      </c>
      <c r="P783" s="138">
        <v>2</v>
      </c>
      <c r="Q783" s="225">
        <f t="shared" si="179"/>
        <v>8</v>
      </c>
      <c r="R783" s="428" t="s">
        <v>1444</v>
      </c>
      <c r="S783" s="428" t="s">
        <v>1445</v>
      </c>
      <c r="T783" s="133"/>
      <c r="U783" s="405"/>
      <c r="V783" s="135"/>
      <c r="W783" s="133"/>
      <c r="X783" s="405"/>
      <c r="Y783" s="405"/>
      <c r="Z783" s="135"/>
      <c r="AA783" s="136">
        <f t="shared" si="193"/>
        <v>0</v>
      </c>
      <c r="AB783" s="111"/>
      <c r="AC783" s="226"/>
      <c r="AD783" s="226">
        <f t="shared" si="194"/>
        <v>11071</v>
      </c>
    </row>
    <row r="784" spans="1:30" ht="294" outlineLevel="3" thickBot="1" x14ac:dyDescent="0.25">
      <c r="A784" s="199" t="s">
        <v>1645</v>
      </c>
      <c r="B784" s="483"/>
      <c r="C784" s="484"/>
      <c r="D784" s="585"/>
      <c r="E784" s="411" t="s">
        <v>393</v>
      </c>
      <c r="F784" s="208" t="s">
        <v>1646</v>
      </c>
      <c r="G784" s="428" t="s">
        <v>1441</v>
      </c>
      <c r="H784" s="420" t="s">
        <v>1442</v>
      </c>
      <c r="I784" s="164">
        <v>2</v>
      </c>
      <c r="J784" s="163" t="s">
        <v>307</v>
      </c>
      <c r="K784" s="165" t="s">
        <v>338</v>
      </c>
      <c r="L784" s="138">
        <v>1</v>
      </c>
      <c r="M784" s="166">
        <f t="shared" si="178"/>
        <v>2</v>
      </c>
      <c r="N784" s="133" t="s">
        <v>291</v>
      </c>
      <c r="O784" s="420" t="s">
        <v>1443</v>
      </c>
      <c r="P784" s="138">
        <v>2</v>
      </c>
      <c r="Q784" s="225">
        <f t="shared" si="179"/>
        <v>4</v>
      </c>
      <c r="R784" s="428" t="s">
        <v>1444</v>
      </c>
      <c r="S784" s="428" t="s">
        <v>1445</v>
      </c>
      <c r="T784" s="133"/>
      <c r="U784" s="405"/>
      <c r="V784" s="135"/>
      <c r="W784" s="133"/>
      <c r="X784" s="405"/>
      <c r="Y784" s="405"/>
      <c r="Z784" s="135"/>
      <c r="AA784" s="136"/>
      <c r="AB784" s="111"/>
      <c r="AC784" s="226"/>
      <c r="AD784" s="226">
        <f t="shared" si="194"/>
        <v>5579</v>
      </c>
    </row>
    <row r="785" spans="1:32" ht="153.75" outlineLevel="3" thickBot="1" x14ac:dyDescent="0.25">
      <c r="A785" s="199" t="s">
        <v>1647</v>
      </c>
      <c r="B785" s="478"/>
      <c r="C785" s="480"/>
      <c r="D785" s="584"/>
      <c r="E785" s="411" t="s">
        <v>1605</v>
      </c>
      <c r="F785" s="208" t="s">
        <v>1646</v>
      </c>
      <c r="G785" s="405" t="s">
        <v>1448</v>
      </c>
      <c r="H785" s="420" t="s">
        <v>1449</v>
      </c>
      <c r="I785" s="164">
        <v>4</v>
      </c>
      <c r="J785" s="163" t="s">
        <v>307</v>
      </c>
      <c r="K785" s="165" t="s">
        <v>338</v>
      </c>
      <c r="L785" s="138">
        <v>1</v>
      </c>
      <c r="M785" s="166">
        <f t="shared" ref="M785" si="200">I785*L785</f>
        <v>4</v>
      </c>
      <c r="N785" s="133" t="s">
        <v>291</v>
      </c>
      <c r="O785" s="420" t="s">
        <v>1443</v>
      </c>
      <c r="P785" s="138">
        <v>2</v>
      </c>
      <c r="Q785" s="225">
        <f t="shared" ref="Q785" si="201">I785*L785*P785</f>
        <v>8</v>
      </c>
      <c r="R785" s="428" t="s">
        <v>1444</v>
      </c>
      <c r="S785" s="428" t="s">
        <v>1445</v>
      </c>
      <c r="T785" s="133"/>
      <c r="U785" s="405"/>
      <c r="V785" s="135"/>
      <c r="W785" s="133"/>
      <c r="X785" s="405"/>
      <c r="Y785" s="405"/>
      <c r="Z785" s="135"/>
      <c r="AA785" s="136"/>
      <c r="AB785" s="111"/>
      <c r="AC785" s="226"/>
      <c r="AD785" s="226">
        <f t="shared" si="194"/>
        <v>11072</v>
      </c>
    </row>
    <row r="786" spans="1:32" ht="21" outlineLevel="2" thickBot="1" x14ac:dyDescent="0.25">
      <c r="A786" s="199"/>
      <c r="B786" s="205" t="s">
        <v>573</v>
      </c>
      <c r="C786" s="204"/>
      <c r="D786" s="203"/>
      <c r="E786" s="118"/>
      <c r="F786" s="118"/>
      <c r="G786" s="118"/>
      <c r="H786" s="118"/>
      <c r="I786" s="118"/>
      <c r="J786" s="118"/>
      <c r="K786" s="118"/>
      <c r="L786" s="118"/>
      <c r="M786" s="118"/>
      <c r="N786" s="118"/>
      <c r="O786" s="118"/>
      <c r="P786" s="118"/>
      <c r="Q786" s="118"/>
      <c r="R786" s="118"/>
      <c r="S786" s="118"/>
      <c r="T786" s="118"/>
      <c r="U786" s="118"/>
      <c r="V786" s="118"/>
      <c r="W786" s="118"/>
      <c r="X786" s="118"/>
      <c r="Y786" s="118"/>
      <c r="Z786" s="118"/>
      <c r="AA786" s="118"/>
      <c r="AB786" s="119"/>
      <c r="AC786" s="226"/>
      <c r="AD786" s="226">
        <f t="shared" si="194"/>
        <v>0</v>
      </c>
    </row>
    <row r="787" spans="1:32" ht="294" outlineLevel="3" thickBot="1" x14ac:dyDescent="0.25">
      <c r="A787" s="199" t="s">
        <v>1648</v>
      </c>
      <c r="B787" s="505" t="s">
        <v>575</v>
      </c>
      <c r="C787" s="505" t="s">
        <v>576</v>
      </c>
      <c r="D787" s="594" t="s">
        <v>577</v>
      </c>
      <c r="E787" s="411" t="s">
        <v>894</v>
      </c>
      <c r="F787" s="208" t="s">
        <v>1649</v>
      </c>
      <c r="G787" s="428" t="s">
        <v>1441</v>
      </c>
      <c r="H787" s="420" t="s">
        <v>1442</v>
      </c>
      <c r="I787" s="164">
        <v>2</v>
      </c>
      <c r="J787" s="163" t="s">
        <v>580</v>
      </c>
      <c r="K787" s="165" t="s">
        <v>338</v>
      </c>
      <c r="L787" s="138">
        <v>1</v>
      </c>
      <c r="M787" s="166">
        <f t="shared" ref="M787:M882" si="202">I787*L787</f>
        <v>2</v>
      </c>
      <c r="N787" s="133" t="s">
        <v>291</v>
      </c>
      <c r="O787" s="420" t="s">
        <v>1443</v>
      </c>
      <c r="P787" s="138">
        <v>2</v>
      </c>
      <c r="Q787" s="225">
        <f t="shared" ref="Q787:Q881" si="203">I787*L787*P787</f>
        <v>4</v>
      </c>
      <c r="R787" s="428" t="s">
        <v>1444</v>
      </c>
      <c r="S787" s="428" t="s">
        <v>1445</v>
      </c>
      <c r="T787" s="133"/>
      <c r="U787" s="405"/>
      <c r="V787" s="135"/>
      <c r="W787" s="133"/>
      <c r="X787" s="405"/>
      <c r="Y787" s="405"/>
      <c r="Z787" s="135"/>
      <c r="AA787" s="136"/>
      <c r="AB787" s="111"/>
      <c r="AC787" s="226"/>
      <c r="AD787" s="226">
        <f t="shared" si="194"/>
        <v>5580</v>
      </c>
    </row>
    <row r="788" spans="1:32" ht="166.5" outlineLevel="3" thickBot="1" x14ac:dyDescent="0.25">
      <c r="A788" s="199" t="s">
        <v>1650</v>
      </c>
      <c r="B788" s="484"/>
      <c r="C788" s="484"/>
      <c r="D788" s="585"/>
      <c r="E788" s="403" t="s">
        <v>1651</v>
      </c>
      <c r="F788" s="209" t="s">
        <v>1649</v>
      </c>
      <c r="G788" s="405" t="s">
        <v>1448</v>
      </c>
      <c r="H788" s="420" t="s">
        <v>1449</v>
      </c>
      <c r="I788" s="164">
        <v>4</v>
      </c>
      <c r="J788" s="163" t="s">
        <v>580</v>
      </c>
      <c r="K788" s="165" t="s">
        <v>338</v>
      </c>
      <c r="L788" s="138">
        <v>1</v>
      </c>
      <c r="M788" s="166">
        <f t="shared" si="202"/>
        <v>4</v>
      </c>
      <c r="N788" s="133" t="s">
        <v>291</v>
      </c>
      <c r="O788" s="420" t="s">
        <v>1443</v>
      </c>
      <c r="P788" s="138">
        <v>2</v>
      </c>
      <c r="Q788" s="225">
        <f t="shared" si="203"/>
        <v>8</v>
      </c>
      <c r="R788" s="428" t="s">
        <v>1444</v>
      </c>
      <c r="S788" s="428" t="s">
        <v>1445</v>
      </c>
      <c r="T788" s="133"/>
      <c r="U788" s="405"/>
      <c r="V788" s="135"/>
      <c r="W788" s="133"/>
      <c r="X788" s="405"/>
      <c r="Y788" s="405"/>
      <c r="Z788" s="135"/>
      <c r="AA788" s="136"/>
      <c r="AB788" s="111"/>
      <c r="AC788" s="226"/>
      <c r="AD788" s="226">
        <f t="shared" si="194"/>
        <v>11073</v>
      </c>
    </row>
    <row r="789" spans="1:32" ht="294" outlineLevel="3" thickBot="1" x14ac:dyDescent="0.25">
      <c r="A789" s="199" t="s">
        <v>1652</v>
      </c>
      <c r="B789" s="484"/>
      <c r="C789" s="484"/>
      <c r="D789" s="585"/>
      <c r="E789" s="411" t="s">
        <v>1653</v>
      </c>
      <c r="F789" s="208" t="s">
        <v>583</v>
      </c>
      <c r="G789" s="428" t="s">
        <v>1441</v>
      </c>
      <c r="H789" s="420" t="s">
        <v>1442</v>
      </c>
      <c r="I789" s="164">
        <v>2</v>
      </c>
      <c r="J789" s="163" t="s">
        <v>580</v>
      </c>
      <c r="K789" s="165" t="s">
        <v>338</v>
      </c>
      <c r="L789" s="138">
        <v>1</v>
      </c>
      <c r="M789" s="166">
        <f t="shared" si="202"/>
        <v>2</v>
      </c>
      <c r="N789" s="133" t="s">
        <v>291</v>
      </c>
      <c r="O789" s="420" t="s">
        <v>1443</v>
      </c>
      <c r="P789" s="138">
        <v>2</v>
      </c>
      <c r="Q789" s="225">
        <f t="shared" si="203"/>
        <v>4</v>
      </c>
      <c r="R789" s="428" t="s">
        <v>1444</v>
      </c>
      <c r="S789" s="428" t="s">
        <v>1445</v>
      </c>
      <c r="T789" s="133"/>
      <c r="U789" s="405"/>
      <c r="V789" s="135"/>
      <c r="W789" s="133"/>
      <c r="X789" s="405"/>
      <c r="Y789" s="405"/>
      <c r="Z789" s="135"/>
      <c r="AA789" s="136"/>
      <c r="AB789" s="111"/>
      <c r="AC789" s="226"/>
      <c r="AD789" s="226">
        <f t="shared" si="194"/>
        <v>5581</v>
      </c>
    </row>
    <row r="790" spans="1:32" ht="153.75" outlineLevel="3" thickBot="1" x14ac:dyDescent="0.25">
      <c r="A790" s="199" t="s">
        <v>1654</v>
      </c>
      <c r="B790" s="484"/>
      <c r="C790" s="484"/>
      <c r="D790" s="585"/>
      <c r="E790" s="403" t="s">
        <v>1655</v>
      </c>
      <c r="F790" s="209" t="s">
        <v>583</v>
      </c>
      <c r="G790" s="405" t="s">
        <v>1448</v>
      </c>
      <c r="H790" s="420" t="s">
        <v>1449</v>
      </c>
      <c r="I790" s="164">
        <v>4</v>
      </c>
      <c r="J790" s="163" t="s">
        <v>580</v>
      </c>
      <c r="K790" s="165" t="s">
        <v>338</v>
      </c>
      <c r="L790" s="138">
        <v>1</v>
      </c>
      <c r="M790" s="166">
        <f t="shared" ref="M790" si="204">I790*L790</f>
        <v>4</v>
      </c>
      <c r="N790" s="133" t="s">
        <v>291</v>
      </c>
      <c r="O790" s="420" t="s">
        <v>1443</v>
      </c>
      <c r="P790" s="138">
        <v>2</v>
      </c>
      <c r="Q790" s="225">
        <f t="shared" ref="Q790" si="205">I790*L790*P790</f>
        <v>8</v>
      </c>
      <c r="R790" s="428" t="s">
        <v>1444</v>
      </c>
      <c r="S790" s="428" t="s">
        <v>1445</v>
      </c>
      <c r="T790" s="133"/>
      <c r="U790" s="405"/>
      <c r="V790" s="135"/>
      <c r="W790" s="133"/>
      <c r="X790" s="405"/>
      <c r="Y790" s="405"/>
      <c r="Z790" s="135"/>
      <c r="AA790" s="136">
        <f t="shared" ref="AA790" si="206">X790*Y790*Z790</f>
        <v>0</v>
      </c>
      <c r="AB790" s="111"/>
      <c r="AC790" s="226"/>
      <c r="AD790" s="226">
        <f t="shared" si="194"/>
        <v>11074</v>
      </c>
    </row>
    <row r="791" spans="1:32" ht="294" outlineLevel="3" thickBot="1" x14ac:dyDescent="0.25">
      <c r="A791" s="199" t="s">
        <v>1656</v>
      </c>
      <c r="B791" s="484"/>
      <c r="C791" s="484"/>
      <c r="D791" s="585"/>
      <c r="E791" s="411" t="s">
        <v>1657</v>
      </c>
      <c r="F791" s="208" t="s">
        <v>586</v>
      </c>
      <c r="G791" s="428" t="s">
        <v>1441</v>
      </c>
      <c r="H791" s="420" t="s">
        <v>1442</v>
      </c>
      <c r="I791" s="164">
        <v>2</v>
      </c>
      <c r="J791" s="163" t="s">
        <v>580</v>
      </c>
      <c r="K791" s="165" t="s">
        <v>338</v>
      </c>
      <c r="L791" s="138">
        <v>1</v>
      </c>
      <c r="M791" s="166">
        <f t="shared" si="202"/>
        <v>2</v>
      </c>
      <c r="N791" s="133" t="s">
        <v>291</v>
      </c>
      <c r="O791" s="420" t="s">
        <v>1443</v>
      </c>
      <c r="P791" s="138">
        <v>2</v>
      </c>
      <c r="Q791" s="225">
        <f t="shared" si="203"/>
        <v>4</v>
      </c>
      <c r="R791" s="428" t="s">
        <v>1444</v>
      </c>
      <c r="S791" s="428" t="s">
        <v>1445</v>
      </c>
      <c r="T791" s="133"/>
      <c r="U791" s="405"/>
      <c r="V791" s="135"/>
      <c r="W791" s="133"/>
      <c r="X791" s="405"/>
      <c r="Y791" s="405"/>
      <c r="Z791" s="135"/>
      <c r="AA791" s="136"/>
      <c r="AB791" s="111"/>
      <c r="AC791" s="363"/>
      <c r="AD791" s="226">
        <f t="shared" si="194"/>
        <v>5582</v>
      </c>
    </row>
    <row r="792" spans="1:32" ht="243" outlineLevel="3" thickBot="1" x14ac:dyDescent="0.25">
      <c r="A792" s="199" t="s">
        <v>1658</v>
      </c>
      <c r="B792" s="514"/>
      <c r="C792" s="514"/>
      <c r="D792" s="595"/>
      <c r="E792" s="403" t="s">
        <v>1659</v>
      </c>
      <c r="F792" s="209" t="s">
        <v>586</v>
      </c>
      <c r="G792" s="405" t="s">
        <v>1448</v>
      </c>
      <c r="H792" s="420" t="s">
        <v>1449</v>
      </c>
      <c r="I792" s="164">
        <v>4</v>
      </c>
      <c r="J792" s="163" t="s">
        <v>580</v>
      </c>
      <c r="K792" s="165" t="s">
        <v>338</v>
      </c>
      <c r="L792" s="138">
        <v>1</v>
      </c>
      <c r="M792" s="166">
        <f t="shared" si="202"/>
        <v>4</v>
      </c>
      <c r="N792" s="133" t="s">
        <v>291</v>
      </c>
      <c r="O792" s="420" t="s">
        <v>1443</v>
      </c>
      <c r="P792" s="138">
        <v>2</v>
      </c>
      <c r="Q792" s="225">
        <f t="shared" si="203"/>
        <v>8</v>
      </c>
      <c r="R792" s="428" t="s">
        <v>1444</v>
      </c>
      <c r="S792" s="428" t="s">
        <v>1445</v>
      </c>
      <c r="T792" s="133"/>
      <c r="U792" s="405"/>
      <c r="V792" s="135"/>
      <c r="W792" s="133"/>
      <c r="X792" s="405"/>
      <c r="Y792" s="405"/>
      <c r="Z792" s="135"/>
      <c r="AA792" s="136"/>
      <c r="AB792" s="111"/>
      <c r="AC792" s="363"/>
      <c r="AD792" s="226">
        <f t="shared" si="194"/>
        <v>11075</v>
      </c>
    </row>
    <row r="793" spans="1:32" ht="294" outlineLevel="3" thickBot="1" x14ac:dyDescent="0.25">
      <c r="A793" s="199" t="s">
        <v>1660</v>
      </c>
      <c r="B793" s="505" t="s">
        <v>575</v>
      </c>
      <c r="C793" s="505" t="s">
        <v>576</v>
      </c>
      <c r="D793" s="594" t="s">
        <v>577</v>
      </c>
      <c r="E793" s="411" t="s">
        <v>1661</v>
      </c>
      <c r="F793" s="208" t="s">
        <v>1100</v>
      </c>
      <c r="G793" s="428" t="s">
        <v>1441</v>
      </c>
      <c r="H793" s="420" t="s">
        <v>1442</v>
      </c>
      <c r="I793" s="164">
        <v>2</v>
      </c>
      <c r="J793" s="163" t="s">
        <v>580</v>
      </c>
      <c r="K793" s="165" t="s">
        <v>338</v>
      </c>
      <c r="L793" s="138">
        <v>1</v>
      </c>
      <c r="M793" s="166">
        <f t="shared" si="202"/>
        <v>2</v>
      </c>
      <c r="N793" s="133" t="s">
        <v>291</v>
      </c>
      <c r="O793" s="420" t="s">
        <v>1443</v>
      </c>
      <c r="P793" s="138">
        <v>2</v>
      </c>
      <c r="Q793" s="225">
        <f t="shared" si="203"/>
        <v>4</v>
      </c>
      <c r="R793" s="428" t="s">
        <v>1444</v>
      </c>
      <c r="S793" s="428" t="s">
        <v>1445</v>
      </c>
      <c r="T793" s="133"/>
      <c r="U793" s="405"/>
      <c r="V793" s="135"/>
      <c r="W793" s="133"/>
      <c r="X793" s="405"/>
      <c r="Y793" s="405"/>
      <c r="Z793" s="135"/>
      <c r="AA793" s="136"/>
      <c r="AB793" s="111"/>
      <c r="AC793" s="363"/>
      <c r="AD793" s="226">
        <f t="shared" si="194"/>
        <v>8908</v>
      </c>
    </row>
    <row r="794" spans="1:32" ht="153.75" outlineLevel="3" thickBot="1" x14ac:dyDescent="0.25">
      <c r="A794" s="199" t="s">
        <v>1662</v>
      </c>
      <c r="B794" s="484"/>
      <c r="C794" s="484"/>
      <c r="D794" s="585"/>
      <c r="E794" s="403" t="s">
        <v>1663</v>
      </c>
      <c r="F794" s="209" t="s">
        <v>1100</v>
      </c>
      <c r="G794" s="405" t="s">
        <v>1448</v>
      </c>
      <c r="H794" s="420" t="s">
        <v>1449</v>
      </c>
      <c r="I794" s="164">
        <v>4</v>
      </c>
      <c r="J794" s="163" t="s">
        <v>580</v>
      </c>
      <c r="K794" s="165" t="s">
        <v>338</v>
      </c>
      <c r="L794" s="138">
        <v>1</v>
      </c>
      <c r="M794" s="166">
        <f t="shared" ref="M794" si="207">I794*L794</f>
        <v>4</v>
      </c>
      <c r="N794" s="133" t="s">
        <v>291</v>
      </c>
      <c r="O794" s="420" t="s">
        <v>1443</v>
      </c>
      <c r="P794" s="138">
        <v>2</v>
      </c>
      <c r="Q794" s="225">
        <f t="shared" ref="Q794" si="208">I794*L794*P794</f>
        <v>8</v>
      </c>
      <c r="R794" s="428" t="s">
        <v>1444</v>
      </c>
      <c r="S794" s="428" t="s">
        <v>1445</v>
      </c>
      <c r="T794" s="133"/>
      <c r="U794" s="405"/>
      <c r="V794" s="135"/>
      <c r="W794" s="133"/>
      <c r="X794" s="405"/>
      <c r="Y794" s="405"/>
      <c r="Z794" s="135"/>
      <c r="AA794" s="136"/>
      <c r="AB794" s="111"/>
      <c r="AC794" s="363"/>
      <c r="AD794" s="226">
        <f t="shared" si="194"/>
        <v>11076</v>
      </c>
    </row>
    <row r="795" spans="1:32" s="303" customFormat="1" ht="294" outlineLevel="3" thickBot="1" x14ac:dyDescent="0.25">
      <c r="A795" s="199" t="s">
        <v>1664</v>
      </c>
      <c r="B795" s="484"/>
      <c r="C795" s="484"/>
      <c r="D795" s="585"/>
      <c r="E795" s="411" t="s">
        <v>590</v>
      </c>
      <c r="F795" s="208" t="s">
        <v>591</v>
      </c>
      <c r="G795" s="428" t="s">
        <v>1441</v>
      </c>
      <c r="H795" s="420" t="s">
        <v>1442</v>
      </c>
      <c r="I795" s="164">
        <v>2</v>
      </c>
      <c r="J795" s="163" t="s">
        <v>580</v>
      </c>
      <c r="K795" s="165" t="s">
        <v>338</v>
      </c>
      <c r="L795" s="138">
        <v>1</v>
      </c>
      <c r="M795" s="166">
        <f t="shared" si="202"/>
        <v>2</v>
      </c>
      <c r="N795" s="133" t="s">
        <v>291</v>
      </c>
      <c r="O795" s="420" t="s">
        <v>1443</v>
      </c>
      <c r="P795" s="138">
        <v>2</v>
      </c>
      <c r="Q795" s="225">
        <f t="shared" si="203"/>
        <v>4</v>
      </c>
      <c r="R795" s="428" t="s">
        <v>1444</v>
      </c>
      <c r="S795" s="428" t="s">
        <v>1445</v>
      </c>
      <c r="T795" s="133"/>
      <c r="U795" s="405"/>
      <c r="V795" s="135"/>
      <c r="W795" s="133"/>
      <c r="X795" s="405"/>
      <c r="Y795" s="405"/>
      <c r="Z795" s="135"/>
      <c r="AA795" s="136"/>
      <c r="AB795" s="111"/>
      <c r="AC795" s="367"/>
      <c r="AD795" s="226">
        <f t="shared" si="194"/>
        <v>8909</v>
      </c>
      <c r="AE795" s="239"/>
    </row>
    <row r="796" spans="1:32" s="303" customFormat="1" ht="204.75" outlineLevel="3" thickBot="1" x14ac:dyDescent="0.25">
      <c r="A796" s="199" t="s">
        <v>1665</v>
      </c>
      <c r="B796" s="484"/>
      <c r="C796" s="484"/>
      <c r="D796" s="585"/>
      <c r="E796" s="403" t="s">
        <v>1666</v>
      </c>
      <c r="F796" s="209" t="s">
        <v>591</v>
      </c>
      <c r="G796" s="405" t="s">
        <v>1448</v>
      </c>
      <c r="H796" s="420" t="s">
        <v>1449</v>
      </c>
      <c r="I796" s="164">
        <v>4</v>
      </c>
      <c r="J796" s="163" t="s">
        <v>580</v>
      </c>
      <c r="K796" s="165" t="s">
        <v>338</v>
      </c>
      <c r="L796" s="138">
        <v>1</v>
      </c>
      <c r="M796" s="166">
        <f t="shared" si="202"/>
        <v>4</v>
      </c>
      <c r="N796" s="133" t="s">
        <v>291</v>
      </c>
      <c r="O796" s="420" t="s">
        <v>1443</v>
      </c>
      <c r="P796" s="138">
        <v>2</v>
      </c>
      <c r="Q796" s="225">
        <f t="shared" si="203"/>
        <v>8</v>
      </c>
      <c r="R796" s="428" t="s">
        <v>1444</v>
      </c>
      <c r="S796" s="428" t="s">
        <v>1445</v>
      </c>
      <c r="T796" s="133"/>
      <c r="U796" s="405"/>
      <c r="V796" s="135"/>
      <c r="W796" s="133"/>
      <c r="X796" s="405"/>
      <c r="Y796" s="405"/>
      <c r="Z796" s="135"/>
      <c r="AA796" s="136"/>
      <c r="AB796" s="111"/>
      <c r="AC796" s="367"/>
      <c r="AD796" s="226">
        <f t="shared" si="194"/>
        <v>11077</v>
      </c>
      <c r="AE796" s="239"/>
    </row>
    <row r="797" spans="1:32" s="242" customFormat="1" ht="294" outlineLevel="3" thickBot="1" x14ac:dyDescent="0.25">
      <c r="A797" s="199" t="s">
        <v>1667</v>
      </c>
      <c r="B797" s="484"/>
      <c r="C797" s="484"/>
      <c r="D797" s="585"/>
      <c r="E797" s="411" t="s">
        <v>1668</v>
      </c>
      <c r="F797" s="208" t="s">
        <v>594</v>
      </c>
      <c r="G797" s="428" t="s">
        <v>1441</v>
      </c>
      <c r="H797" s="420" t="s">
        <v>1442</v>
      </c>
      <c r="I797" s="164">
        <v>2</v>
      </c>
      <c r="J797" s="163" t="s">
        <v>580</v>
      </c>
      <c r="K797" s="165" t="s">
        <v>338</v>
      </c>
      <c r="L797" s="138">
        <v>1</v>
      </c>
      <c r="M797" s="166">
        <f t="shared" si="202"/>
        <v>2</v>
      </c>
      <c r="N797" s="133" t="s">
        <v>291</v>
      </c>
      <c r="O797" s="420" t="s">
        <v>1443</v>
      </c>
      <c r="P797" s="138">
        <v>2</v>
      </c>
      <c r="Q797" s="225">
        <f t="shared" si="203"/>
        <v>4</v>
      </c>
      <c r="R797" s="428" t="s">
        <v>1444</v>
      </c>
      <c r="S797" s="428" t="s">
        <v>1445</v>
      </c>
      <c r="T797" s="133"/>
      <c r="U797" s="405"/>
      <c r="V797" s="135"/>
      <c r="W797" s="133"/>
      <c r="X797" s="405"/>
      <c r="Y797" s="405"/>
      <c r="Z797" s="135"/>
      <c r="AA797" s="136"/>
      <c r="AB797" s="111"/>
      <c r="AC797" s="239"/>
      <c r="AD797" s="226">
        <f t="shared" si="194"/>
        <v>8910</v>
      </c>
      <c r="AE797" s="239"/>
      <c r="AF797" s="346"/>
    </row>
    <row r="798" spans="1:32" s="303" customFormat="1" ht="204.75" outlineLevel="3" thickBot="1" x14ac:dyDescent="0.25">
      <c r="A798" s="199" t="s">
        <v>1669</v>
      </c>
      <c r="B798" s="480"/>
      <c r="C798" s="480"/>
      <c r="D798" s="584"/>
      <c r="E798" s="403" t="s">
        <v>1670</v>
      </c>
      <c r="F798" s="209" t="s">
        <v>594</v>
      </c>
      <c r="G798" s="405" t="s">
        <v>1448</v>
      </c>
      <c r="H798" s="420" t="s">
        <v>1449</v>
      </c>
      <c r="I798" s="164">
        <v>4</v>
      </c>
      <c r="J798" s="163" t="s">
        <v>580</v>
      </c>
      <c r="K798" s="165" t="s">
        <v>338</v>
      </c>
      <c r="L798" s="138">
        <v>1</v>
      </c>
      <c r="M798" s="166">
        <f t="shared" ref="M798" si="209">I798*L798</f>
        <v>4</v>
      </c>
      <c r="N798" s="133" t="s">
        <v>291</v>
      </c>
      <c r="O798" s="420" t="s">
        <v>1443</v>
      </c>
      <c r="P798" s="138">
        <v>2</v>
      </c>
      <c r="Q798" s="225">
        <f t="shared" ref="Q798" si="210">I798*L798*P798</f>
        <v>8</v>
      </c>
      <c r="R798" s="428" t="s">
        <v>1444</v>
      </c>
      <c r="S798" s="428" t="s">
        <v>1445</v>
      </c>
      <c r="T798" s="133"/>
      <c r="U798" s="405"/>
      <c r="V798" s="135"/>
      <c r="W798" s="133"/>
      <c r="X798" s="405"/>
      <c r="Y798" s="405"/>
      <c r="Z798" s="135"/>
      <c r="AA798" s="136"/>
      <c r="AB798" s="111"/>
      <c r="AC798" s="367"/>
      <c r="AD798" s="226">
        <f t="shared" si="194"/>
        <v>11078</v>
      </c>
      <c r="AE798" s="239"/>
    </row>
    <row r="799" spans="1:32" s="239" customFormat="1" ht="294" outlineLevel="3" thickBot="1" x14ac:dyDescent="0.25">
      <c r="A799" s="199" t="s">
        <v>1671</v>
      </c>
      <c r="B799" s="477" t="s">
        <v>596</v>
      </c>
      <c r="C799" s="479" t="s">
        <v>597</v>
      </c>
      <c r="D799" s="419" t="s">
        <v>1672</v>
      </c>
      <c r="E799" s="411" t="s">
        <v>1673</v>
      </c>
      <c r="F799" s="208" t="s">
        <v>1111</v>
      </c>
      <c r="G799" s="428" t="s">
        <v>1441</v>
      </c>
      <c r="H799" s="420" t="s">
        <v>1442</v>
      </c>
      <c r="I799" s="164">
        <v>2</v>
      </c>
      <c r="J799" s="163" t="s">
        <v>277</v>
      </c>
      <c r="K799" s="165" t="s">
        <v>338</v>
      </c>
      <c r="L799" s="138">
        <v>1</v>
      </c>
      <c r="M799" s="166">
        <f t="shared" si="202"/>
        <v>2</v>
      </c>
      <c r="N799" s="133" t="s">
        <v>291</v>
      </c>
      <c r="O799" s="420" t="s">
        <v>1443</v>
      </c>
      <c r="P799" s="138">
        <v>2</v>
      </c>
      <c r="Q799" s="225">
        <f t="shared" si="203"/>
        <v>4</v>
      </c>
      <c r="R799" s="428" t="s">
        <v>1444</v>
      </c>
      <c r="S799" s="428" t="s">
        <v>1445</v>
      </c>
      <c r="T799" s="133"/>
      <c r="U799" s="405"/>
      <c r="V799" s="135"/>
      <c r="W799" s="133"/>
      <c r="X799" s="405"/>
      <c r="Y799" s="405"/>
      <c r="Z799" s="135"/>
      <c r="AA799" s="136"/>
      <c r="AB799" s="111"/>
      <c r="AD799" s="226">
        <f t="shared" si="194"/>
        <v>5583</v>
      </c>
    </row>
    <row r="800" spans="1:32" s="303" customFormat="1" ht="153.75" outlineLevel="3" thickBot="1" x14ac:dyDescent="0.25">
      <c r="A800" s="199" t="s">
        <v>1674</v>
      </c>
      <c r="B800" s="481"/>
      <c r="C800" s="484"/>
      <c r="D800" s="585"/>
      <c r="E800" s="403" t="s">
        <v>1675</v>
      </c>
      <c r="F800" s="209" t="s">
        <v>1111</v>
      </c>
      <c r="G800" s="405" t="s">
        <v>1448</v>
      </c>
      <c r="H800" s="420" t="s">
        <v>1449</v>
      </c>
      <c r="I800" s="164">
        <v>4</v>
      </c>
      <c r="J800" s="163" t="s">
        <v>277</v>
      </c>
      <c r="K800" s="165" t="s">
        <v>338</v>
      </c>
      <c r="L800" s="138">
        <v>1</v>
      </c>
      <c r="M800" s="166">
        <f t="shared" si="202"/>
        <v>4</v>
      </c>
      <c r="N800" s="133" t="s">
        <v>291</v>
      </c>
      <c r="O800" s="420" t="s">
        <v>1443</v>
      </c>
      <c r="P800" s="138">
        <v>2</v>
      </c>
      <c r="Q800" s="225">
        <f t="shared" si="203"/>
        <v>8</v>
      </c>
      <c r="R800" s="428" t="s">
        <v>1444</v>
      </c>
      <c r="S800" s="428" t="s">
        <v>1445</v>
      </c>
      <c r="T800" s="133"/>
      <c r="U800" s="405"/>
      <c r="V800" s="135"/>
      <c r="W800" s="133"/>
      <c r="X800" s="405"/>
      <c r="Y800" s="405"/>
      <c r="Z800" s="135"/>
      <c r="AA800" s="136"/>
      <c r="AB800" s="111"/>
      <c r="AC800" s="367"/>
      <c r="AD800" s="226">
        <f t="shared" si="194"/>
        <v>11079</v>
      </c>
      <c r="AE800" s="239"/>
    </row>
    <row r="801" spans="1:31" s="303" customFormat="1" ht="294" outlineLevel="3" thickBot="1" x14ac:dyDescent="0.25">
      <c r="A801" s="199" t="s">
        <v>1676</v>
      </c>
      <c r="B801" s="481"/>
      <c r="C801" s="484"/>
      <c r="D801" s="585"/>
      <c r="E801" s="411" t="s">
        <v>1677</v>
      </c>
      <c r="F801" s="208" t="s">
        <v>1108</v>
      </c>
      <c r="G801" s="428" t="s">
        <v>1441</v>
      </c>
      <c r="H801" s="420" t="s">
        <v>1442</v>
      </c>
      <c r="I801" s="164">
        <v>2</v>
      </c>
      <c r="J801" s="163" t="s">
        <v>412</v>
      </c>
      <c r="K801" s="165" t="s">
        <v>338</v>
      </c>
      <c r="L801" s="138">
        <v>1</v>
      </c>
      <c r="M801" s="166">
        <f t="shared" si="202"/>
        <v>2</v>
      </c>
      <c r="N801" s="133" t="s">
        <v>291</v>
      </c>
      <c r="O801" s="420" t="s">
        <v>1443</v>
      </c>
      <c r="P801" s="138">
        <v>2</v>
      </c>
      <c r="Q801" s="225">
        <f t="shared" si="203"/>
        <v>4</v>
      </c>
      <c r="R801" s="428" t="s">
        <v>1444</v>
      </c>
      <c r="S801" s="428" t="s">
        <v>1445</v>
      </c>
      <c r="T801" s="133"/>
      <c r="U801" s="405"/>
      <c r="V801" s="135"/>
      <c r="W801" s="133"/>
      <c r="X801" s="405"/>
      <c r="Y801" s="405"/>
      <c r="Z801" s="135"/>
      <c r="AA801" s="136">
        <f t="shared" ref="AA801" si="211">X801*Y801*Z801</f>
        <v>0</v>
      </c>
      <c r="AB801" s="111"/>
      <c r="AC801" s="367"/>
      <c r="AD801" s="226">
        <f t="shared" si="194"/>
        <v>5584</v>
      </c>
      <c r="AE801" s="239"/>
    </row>
    <row r="802" spans="1:31" s="303" customFormat="1" ht="153.75" outlineLevel="3" thickBot="1" x14ac:dyDescent="0.25">
      <c r="A802" s="199" t="s">
        <v>1678</v>
      </c>
      <c r="B802" s="482"/>
      <c r="C802" s="480"/>
      <c r="D802" s="584"/>
      <c r="E802" s="411" t="s">
        <v>1679</v>
      </c>
      <c r="F802" s="208" t="s">
        <v>1108</v>
      </c>
      <c r="G802" s="405" t="s">
        <v>1448</v>
      </c>
      <c r="H802" s="420" t="s">
        <v>1449</v>
      </c>
      <c r="I802" s="164">
        <v>4</v>
      </c>
      <c r="J802" s="163" t="s">
        <v>412</v>
      </c>
      <c r="K802" s="165" t="s">
        <v>338</v>
      </c>
      <c r="L802" s="138">
        <v>1</v>
      </c>
      <c r="M802" s="166">
        <f t="shared" ref="M802" si="212">I802*L802</f>
        <v>4</v>
      </c>
      <c r="N802" s="133" t="s">
        <v>291</v>
      </c>
      <c r="O802" s="420" t="s">
        <v>1443</v>
      </c>
      <c r="P802" s="138">
        <v>2</v>
      </c>
      <c r="Q802" s="225">
        <f t="shared" ref="Q802" si="213">I802*L802*P802</f>
        <v>8</v>
      </c>
      <c r="R802" s="428" t="s">
        <v>1444</v>
      </c>
      <c r="S802" s="428" t="s">
        <v>1445</v>
      </c>
      <c r="T802" s="133"/>
      <c r="U802" s="405"/>
      <c r="V802" s="135"/>
      <c r="W802" s="133"/>
      <c r="X802" s="405"/>
      <c r="Y802" s="405"/>
      <c r="Z802" s="135"/>
      <c r="AA802" s="136"/>
      <c r="AB802" s="111"/>
      <c r="AC802" s="367"/>
      <c r="AD802" s="226">
        <f t="shared" si="194"/>
        <v>11080</v>
      </c>
      <c r="AE802" s="239"/>
    </row>
    <row r="803" spans="1:31" s="303" customFormat="1" ht="141" outlineLevel="3" thickBot="1" x14ac:dyDescent="0.25">
      <c r="A803" s="199" t="s">
        <v>1680</v>
      </c>
      <c r="B803" s="477" t="s">
        <v>602</v>
      </c>
      <c r="C803" s="479" t="s">
        <v>603</v>
      </c>
      <c r="D803" s="477" t="s">
        <v>604</v>
      </c>
      <c r="E803" s="417" t="s">
        <v>300</v>
      </c>
      <c r="F803" s="417" t="s">
        <v>605</v>
      </c>
      <c r="G803" s="405" t="s">
        <v>1436</v>
      </c>
      <c r="H803" s="127" t="s">
        <v>238</v>
      </c>
      <c r="I803" s="128">
        <v>1</v>
      </c>
      <c r="J803" s="163" t="s">
        <v>302</v>
      </c>
      <c r="K803" s="130" t="s">
        <v>338</v>
      </c>
      <c r="L803" s="131">
        <v>1</v>
      </c>
      <c r="M803" s="132">
        <f t="shared" si="202"/>
        <v>1</v>
      </c>
      <c r="N803" s="133" t="s">
        <v>291</v>
      </c>
      <c r="O803" s="69" t="s">
        <v>242</v>
      </c>
      <c r="P803" s="131">
        <v>5</v>
      </c>
      <c r="Q803" s="134">
        <f t="shared" si="203"/>
        <v>5</v>
      </c>
      <c r="R803" s="428"/>
      <c r="S803" s="428"/>
      <c r="T803" s="133"/>
      <c r="U803" s="405"/>
      <c r="V803" s="135"/>
      <c r="W803" s="133"/>
      <c r="X803" s="405"/>
      <c r="Y803" s="405"/>
      <c r="Z803" s="135"/>
      <c r="AA803" s="136"/>
      <c r="AB803" s="111"/>
      <c r="AC803" s="367"/>
      <c r="AD803" s="226">
        <f t="shared" si="194"/>
        <v>5585</v>
      </c>
      <c r="AE803" s="239"/>
    </row>
    <row r="804" spans="1:31" s="303" customFormat="1" ht="192" outlineLevel="3" thickBot="1" x14ac:dyDescent="0.25">
      <c r="A804" s="199" t="s">
        <v>1681</v>
      </c>
      <c r="B804" s="478"/>
      <c r="C804" s="480"/>
      <c r="D804" s="478"/>
      <c r="E804" s="417" t="s">
        <v>393</v>
      </c>
      <c r="F804" s="417" t="s">
        <v>607</v>
      </c>
      <c r="G804" s="405" t="s">
        <v>1436</v>
      </c>
      <c r="H804" s="127" t="s">
        <v>238</v>
      </c>
      <c r="I804" s="128">
        <v>1</v>
      </c>
      <c r="J804" s="163" t="s">
        <v>307</v>
      </c>
      <c r="K804" s="130" t="s">
        <v>338</v>
      </c>
      <c r="L804" s="131">
        <v>1</v>
      </c>
      <c r="M804" s="132">
        <f t="shared" si="202"/>
        <v>1</v>
      </c>
      <c r="N804" s="133" t="s">
        <v>291</v>
      </c>
      <c r="O804" s="69" t="s">
        <v>242</v>
      </c>
      <c r="P804" s="131">
        <v>5</v>
      </c>
      <c r="Q804" s="134">
        <f t="shared" si="203"/>
        <v>5</v>
      </c>
      <c r="R804" s="428"/>
      <c r="S804" s="428"/>
      <c r="T804" s="133"/>
      <c r="U804" s="405"/>
      <c r="V804" s="135"/>
      <c r="W804" s="133"/>
      <c r="X804" s="405"/>
      <c r="Y804" s="405"/>
      <c r="Z804" s="135"/>
      <c r="AA804" s="136"/>
      <c r="AB804" s="111"/>
      <c r="AC804" s="367"/>
      <c r="AD804" s="226">
        <f t="shared" si="194"/>
        <v>5586</v>
      </c>
      <c r="AE804" s="239"/>
    </row>
    <row r="805" spans="1:31" s="303" customFormat="1" ht="128.25" outlineLevel="3" thickBot="1" x14ac:dyDescent="0.25">
      <c r="A805" s="199" t="s">
        <v>1682</v>
      </c>
      <c r="B805" s="569" t="s">
        <v>609</v>
      </c>
      <c r="C805" s="499" t="s">
        <v>610</v>
      </c>
      <c r="D805" s="477" t="s">
        <v>611</v>
      </c>
      <c r="E805" s="417" t="s">
        <v>288</v>
      </c>
      <c r="F805" s="417" t="s">
        <v>612</v>
      </c>
      <c r="G805" s="405" t="s">
        <v>1436</v>
      </c>
      <c r="H805" s="127" t="s">
        <v>238</v>
      </c>
      <c r="I805" s="128">
        <v>1</v>
      </c>
      <c r="J805" s="163" t="s">
        <v>438</v>
      </c>
      <c r="K805" s="130" t="s">
        <v>338</v>
      </c>
      <c r="L805" s="131">
        <v>1</v>
      </c>
      <c r="M805" s="132">
        <f t="shared" si="202"/>
        <v>1</v>
      </c>
      <c r="N805" s="133" t="s">
        <v>291</v>
      </c>
      <c r="O805" s="69" t="s">
        <v>242</v>
      </c>
      <c r="P805" s="131">
        <v>5</v>
      </c>
      <c r="Q805" s="134">
        <f t="shared" si="203"/>
        <v>5</v>
      </c>
      <c r="R805" s="428"/>
      <c r="S805" s="428"/>
      <c r="T805" s="133"/>
      <c r="U805" s="405"/>
      <c r="V805" s="135"/>
      <c r="W805" s="133"/>
      <c r="X805" s="405"/>
      <c r="Y805" s="405"/>
      <c r="Z805" s="135"/>
      <c r="AA805" s="136"/>
      <c r="AB805" s="111"/>
      <c r="AC805" s="367"/>
      <c r="AD805" s="226">
        <f t="shared" si="194"/>
        <v>5587</v>
      </c>
      <c r="AE805" s="239"/>
    </row>
    <row r="806" spans="1:31" ht="166.5" outlineLevel="3" thickBot="1" x14ac:dyDescent="0.25">
      <c r="A806" s="199" t="s">
        <v>1683</v>
      </c>
      <c r="B806" s="570"/>
      <c r="C806" s="500"/>
      <c r="D806" s="478"/>
      <c r="E806" s="417" t="s">
        <v>614</v>
      </c>
      <c r="F806" s="417" t="s">
        <v>615</v>
      </c>
      <c r="G806" s="405" t="s">
        <v>1436</v>
      </c>
      <c r="H806" s="127" t="s">
        <v>238</v>
      </c>
      <c r="I806" s="128">
        <v>1</v>
      </c>
      <c r="J806" s="163" t="s">
        <v>402</v>
      </c>
      <c r="K806" s="130" t="s">
        <v>338</v>
      </c>
      <c r="L806" s="131">
        <v>1</v>
      </c>
      <c r="M806" s="132">
        <f t="shared" si="202"/>
        <v>1</v>
      </c>
      <c r="N806" s="133" t="s">
        <v>291</v>
      </c>
      <c r="O806" s="69" t="s">
        <v>242</v>
      </c>
      <c r="P806" s="131">
        <v>5</v>
      </c>
      <c r="Q806" s="134">
        <f t="shared" si="203"/>
        <v>5</v>
      </c>
      <c r="R806" s="428"/>
      <c r="S806" s="428"/>
      <c r="T806" s="133"/>
      <c r="U806" s="405"/>
      <c r="V806" s="135"/>
      <c r="W806" s="133"/>
      <c r="X806" s="405"/>
      <c r="Y806" s="405"/>
      <c r="Z806" s="135"/>
      <c r="AA806" s="136"/>
      <c r="AB806" s="111"/>
      <c r="AC806" s="363"/>
      <c r="AD806" s="226">
        <f t="shared" si="194"/>
        <v>5588</v>
      </c>
    </row>
    <row r="807" spans="1:31" ht="141" outlineLevel="3" thickBot="1" x14ac:dyDescent="0.25">
      <c r="A807" s="245" t="s">
        <v>1684</v>
      </c>
      <c r="B807" s="492" t="s">
        <v>617</v>
      </c>
      <c r="C807" s="494" t="s">
        <v>618</v>
      </c>
      <c r="D807" s="492" t="s">
        <v>1288</v>
      </c>
      <c r="E807" s="409" t="s">
        <v>300</v>
      </c>
      <c r="F807" s="329" t="s">
        <v>620</v>
      </c>
      <c r="G807" s="405" t="s">
        <v>1436</v>
      </c>
      <c r="H807" s="295" t="s">
        <v>238</v>
      </c>
      <c r="I807" s="296">
        <v>1</v>
      </c>
      <c r="J807" s="297" t="s">
        <v>302</v>
      </c>
      <c r="K807" s="130" t="s">
        <v>338</v>
      </c>
      <c r="L807" s="234">
        <v>1</v>
      </c>
      <c r="M807" s="231">
        <f t="shared" si="202"/>
        <v>1</v>
      </c>
      <c r="N807" s="232" t="s">
        <v>291</v>
      </c>
      <c r="O807" s="233" t="s">
        <v>242</v>
      </c>
      <c r="P807" s="234">
        <v>5</v>
      </c>
      <c r="Q807" s="235">
        <f t="shared" si="203"/>
        <v>5</v>
      </c>
      <c r="R807" s="428"/>
      <c r="S807" s="428"/>
      <c r="T807" s="133"/>
      <c r="U807" s="405"/>
      <c r="V807" s="135"/>
      <c r="W807" s="133"/>
      <c r="X807" s="405"/>
      <c r="Y807" s="405"/>
      <c r="Z807" s="135"/>
      <c r="AA807" s="136"/>
      <c r="AB807" s="111"/>
      <c r="AC807" s="226"/>
      <c r="AD807" s="226">
        <f t="shared" si="194"/>
        <v>11081</v>
      </c>
    </row>
    <row r="808" spans="1:31" ht="128.25" outlineLevel="3" thickBot="1" x14ac:dyDescent="0.25">
      <c r="A808" s="245" t="s">
        <v>1685</v>
      </c>
      <c r="B808" s="493"/>
      <c r="C808" s="495"/>
      <c r="D808" s="493"/>
      <c r="E808" s="409" t="s">
        <v>393</v>
      </c>
      <c r="F808" s="329" t="s">
        <v>622</v>
      </c>
      <c r="G808" s="405" t="s">
        <v>1436</v>
      </c>
      <c r="H808" s="295" t="s">
        <v>238</v>
      </c>
      <c r="I808" s="296">
        <v>1</v>
      </c>
      <c r="J808" s="297" t="s">
        <v>307</v>
      </c>
      <c r="K808" s="130" t="s">
        <v>338</v>
      </c>
      <c r="L808" s="234">
        <v>1</v>
      </c>
      <c r="M808" s="231">
        <f t="shared" si="202"/>
        <v>1</v>
      </c>
      <c r="N808" s="232" t="s">
        <v>291</v>
      </c>
      <c r="O808" s="233" t="s">
        <v>242</v>
      </c>
      <c r="P808" s="234">
        <v>5</v>
      </c>
      <c r="Q808" s="235">
        <f t="shared" si="203"/>
        <v>5</v>
      </c>
      <c r="R808" s="428"/>
      <c r="S808" s="428"/>
      <c r="T808" s="133"/>
      <c r="U808" s="405"/>
      <c r="V808" s="135"/>
      <c r="W808" s="133"/>
      <c r="X808" s="405"/>
      <c r="Y808" s="405"/>
      <c r="Z808" s="135"/>
      <c r="AA808" s="136"/>
      <c r="AB808" s="111"/>
      <c r="AC808" s="226"/>
      <c r="AD808" s="226">
        <f t="shared" si="194"/>
        <v>11082</v>
      </c>
    </row>
    <row r="809" spans="1:31" s="317" customFormat="1" ht="294" outlineLevel="3" thickBot="1" x14ac:dyDescent="0.25">
      <c r="A809" s="304" t="s">
        <v>1686</v>
      </c>
      <c r="B809" s="492" t="s">
        <v>349</v>
      </c>
      <c r="C809" s="479" t="s">
        <v>624</v>
      </c>
      <c r="D809" s="492" t="s">
        <v>915</v>
      </c>
      <c r="E809" s="410" t="s">
        <v>352</v>
      </c>
      <c r="F809" s="329" t="s">
        <v>626</v>
      </c>
      <c r="G809" s="409" t="s">
        <v>1441</v>
      </c>
      <c r="H809" s="295" t="s">
        <v>1442</v>
      </c>
      <c r="I809" s="296">
        <v>2</v>
      </c>
      <c r="J809" s="410" t="s">
        <v>302</v>
      </c>
      <c r="K809" s="130" t="s">
        <v>338</v>
      </c>
      <c r="L809" s="410">
        <v>1</v>
      </c>
      <c r="M809" s="231">
        <f t="shared" si="202"/>
        <v>2</v>
      </c>
      <c r="N809" s="232" t="s">
        <v>303</v>
      </c>
      <c r="O809" s="233" t="s">
        <v>242</v>
      </c>
      <c r="P809" s="234">
        <v>5</v>
      </c>
      <c r="Q809" s="235">
        <f>P809*L809*I809</f>
        <v>10</v>
      </c>
      <c r="R809" s="428"/>
      <c r="S809" s="428"/>
      <c r="T809" s="133"/>
      <c r="U809" s="405"/>
      <c r="V809" s="135"/>
      <c r="W809" s="133"/>
      <c r="X809" s="405"/>
      <c r="Y809" s="405"/>
      <c r="Z809" s="135"/>
      <c r="AA809" s="136">
        <f t="shared" ref="AA809" si="214">X809*Y809*Z809</f>
        <v>0</v>
      </c>
      <c r="AB809" s="111"/>
      <c r="AC809" s="368"/>
      <c r="AD809" s="226">
        <f t="shared" si="194"/>
        <v>11083</v>
      </c>
      <c r="AE809" s="264"/>
    </row>
    <row r="810" spans="1:31" s="317" customFormat="1" ht="153.75" outlineLevel="3" thickBot="1" x14ac:dyDescent="0.25">
      <c r="A810" s="304" t="s">
        <v>1687</v>
      </c>
      <c r="B810" s="577"/>
      <c r="C810" s="484"/>
      <c r="D810" s="577"/>
      <c r="E810" s="431" t="s">
        <v>1688</v>
      </c>
      <c r="F810" s="333" t="s">
        <v>809</v>
      </c>
      <c r="G810" s="415" t="s">
        <v>1448</v>
      </c>
      <c r="H810" s="332" t="s">
        <v>1449</v>
      </c>
      <c r="I810" s="318">
        <v>4</v>
      </c>
      <c r="J810" s="333" t="s">
        <v>302</v>
      </c>
      <c r="K810" s="130" t="s">
        <v>338</v>
      </c>
      <c r="L810" s="285">
        <v>1</v>
      </c>
      <c r="M810" s="286">
        <f t="shared" ref="M810" si="215">I810*L810</f>
        <v>4</v>
      </c>
      <c r="N810" s="287" t="s">
        <v>303</v>
      </c>
      <c r="O810" s="332" t="s">
        <v>1443</v>
      </c>
      <c r="P810" s="285">
        <v>2</v>
      </c>
      <c r="Q810" s="290">
        <f t="shared" ref="Q810" si="216">I810*L810*P810</f>
        <v>8</v>
      </c>
      <c r="R810" s="428" t="s">
        <v>1444</v>
      </c>
      <c r="S810" s="428" t="s">
        <v>1445</v>
      </c>
      <c r="T810" s="133"/>
      <c r="U810" s="405"/>
      <c r="V810" s="135"/>
      <c r="W810" s="133"/>
      <c r="X810" s="405"/>
      <c r="Y810" s="405"/>
      <c r="Z810" s="135"/>
      <c r="AA810" s="136"/>
      <c r="AB810" s="111"/>
      <c r="AC810" s="368"/>
      <c r="AD810" s="226">
        <f t="shared" si="194"/>
        <v>11084</v>
      </c>
      <c r="AE810" s="264"/>
    </row>
    <row r="811" spans="1:31" s="317" customFormat="1" ht="294" outlineLevel="3" thickBot="1" x14ac:dyDescent="0.25">
      <c r="A811" s="306" t="s">
        <v>1689</v>
      </c>
      <c r="B811" s="577"/>
      <c r="C811" s="484"/>
      <c r="D811" s="577"/>
      <c r="E811" s="410" t="s">
        <v>355</v>
      </c>
      <c r="F811" s="410" t="s">
        <v>628</v>
      </c>
      <c r="G811" s="409" t="s">
        <v>1441</v>
      </c>
      <c r="H811" s="295" t="s">
        <v>1442</v>
      </c>
      <c r="I811" s="296">
        <v>2</v>
      </c>
      <c r="J811" s="410" t="s">
        <v>307</v>
      </c>
      <c r="K811" s="130" t="s">
        <v>338</v>
      </c>
      <c r="L811" s="410">
        <v>1</v>
      </c>
      <c r="M811" s="231">
        <f t="shared" si="202"/>
        <v>2</v>
      </c>
      <c r="N811" s="232" t="s">
        <v>303</v>
      </c>
      <c r="O811" s="233" t="s">
        <v>242</v>
      </c>
      <c r="P811" s="234">
        <v>5</v>
      </c>
      <c r="Q811" s="235">
        <f>P811*L811*I811</f>
        <v>10</v>
      </c>
      <c r="R811" s="428" t="s">
        <v>1444</v>
      </c>
      <c r="S811" s="428" t="s">
        <v>1445</v>
      </c>
      <c r="T811" s="133"/>
      <c r="U811" s="405"/>
      <c r="V811" s="135"/>
      <c r="W811" s="133"/>
      <c r="X811" s="405"/>
      <c r="Y811" s="405"/>
      <c r="Z811" s="135"/>
      <c r="AA811" s="136"/>
      <c r="AB811" s="111"/>
      <c r="AC811" s="368"/>
      <c r="AD811" s="226">
        <f t="shared" si="194"/>
        <v>11085</v>
      </c>
      <c r="AE811" s="264"/>
    </row>
    <row r="812" spans="1:31" s="317" customFormat="1" ht="153.75" outlineLevel="3" thickBot="1" x14ac:dyDescent="0.25">
      <c r="A812" s="306" t="s">
        <v>1690</v>
      </c>
      <c r="B812" s="493"/>
      <c r="C812" s="480"/>
      <c r="D812" s="493"/>
      <c r="E812" s="333" t="s">
        <v>1691</v>
      </c>
      <c r="F812" s="410" t="s">
        <v>628</v>
      </c>
      <c r="G812" s="415" t="s">
        <v>1448</v>
      </c>
      <c r="H812" s="332" t="s">
        <v>1449</v>
      </c>
      <c r="I812" s="318">
        <v>4</v>
      </c>
      <c r="J812" s="410" t="s">
        <v>307</v>
      </c>
      <c r="K812" s="130" t="s">
        <v>338</v>
      </c>
      <c r="L812" s="285">
        <v>1</v>
      </c>
      <c r="M812" s="286">
        <f t="shared" si="202"/>
        <v>4</v>
      </c>
      <c r="N812" s="287" t="s">
        <v>303</v>
      </c>
      <c r="O812" s="332" t="s">
        <v>1443</v>
      </c>
      <c r="P812" s="285">
        <v>2</v>
      </c>
      <c r="Q812" s="290">
        <f t="shared" ref="Q812" si="217">I812*L812*P812</f>
        <v>8</v>
      </c>
      <c r="R812" s="428" t="s">
        <v>1444</v>
      </c>
      <c r="S812" s="428" t="s">
        <v>1445</v>
      </c>
      <c r="T812" s="133"/>
      <c r="U812" s="405"/>
      <c r="V812" s="135"/>
      <c r="W812" s="133"/>
      <c r="X812" s="405"/>
      <c r="Y812" s="405"/>
      <c r="Z812" s="135"/>
      <c r="AA812" s="136"/>
      <c r="AB812" s="111"/>
      <c r="AC812" s="368"/>
      <c r="AD812" s="226">
        <f t="shared" si="194"/>
        <v>11086</v>
      </c>
      <c r="AE812" s="264"/>
    </row>
    <row r="813" spans="1:31" ht="128.25" outlineLevel="3" thickBot="1" x14ac:dyDescent="0.25">
      <c r="A813" s="199" t="s">
        <v>1692</v>
      </c>
      <c r="B813" s="477" t="s">
        <v>630</v>
      </c>
      <c r="C813" s="479" t="s">
        <v>631</v>
      </c>
      <c r="D813" s="477" t="s">
        <v>632</v>
      </c>
      <c r="E813" s="405" t="s">
        <v>633</v>
      </c>
      <c r="F813" s="405" t="s">
        <v>634</v>
      </c>
      <c r="G813" s="405" t="s">
        <v>1436</v>
      </c>
      <c r="H813" s="420" t="s">
        <v>238</v>
      </c>
      <c r="I813" s="164">
        <v>1</v>
      </c>
      <c r="J813" s="163" t="s">
        <v>277</v>
      </c>
      <c r="K813" s="165" t="s">
        <v>338</v>
      </c>
      <c r="L813" s="138">
        <v>1</v>
      </c>
      <c r="M813" s="231">
        <f t="shared" si="202"/>
        <v>1</v>
      </c>
      <c r="N813" s="232" t="s">
        <v>291</v>
      </c>
      <c r="O813" s="233" t="s">
        <v>242</v>
      </c>
      <c r="P813" s="234">
        <v>5</v>
      </c>
      <c r="Q813" s="235">
        <f t="shared" ref="Q813:Q816" si="218">I813*L813*P813</f>
        <v>5</v>
      </c>
      <c r="R813" s="428"/>
      <c r="S813" s="428"/>
      <c r="T813" s="133"/>
      <c r="U813" s="405"/>
      <c r="V813" s="135"/>
      <c r="W813" s="133"/>
      <c r="X813" s="405"/>
      <c r="Y813" s="405"/>
      <c r="Z813" s="135"/>
      <c r="AA813" s="136"/>
      <c r="AB813" s="111"/>
      <c r="AC813" s="226"/>
      <c r="AD813" s="226">
        <f t="shared" si="194"/>
        <v>11087</v>
      </c>
    </row>
    <row r="814" spans="1:31" ht="294" outlineLevel="3" thickBot="1" x14ac:dyDescent="0.25">
      <c r="A814" s="245" t="s">
        <v>1693</v>
      </c>
      <c r="B814" s="481"/>
      <c r="C814" s="502"/>
      <c r="D814" s="481"/>
      <c r="E814" s="409" t="s">
        <v>636</v>
      </c>
      <c r="F814" s="409" t="s">
        <v>637</v>
      </c>
      <c r="G814" s="409" t="s">
        <v>1441</v>
      </c>
      <c r="H814" s="295" t="s">
        <v>1442</v>
      </c>
      <c r="I814" s="296">
        <v>2</v>
      </c>
      <c r="J814" s="297" t="s">
        <v>277</v>
      </c>
      <c r="K814" s="130" t="s">
        <v>338</v>
      </c>
      <c r="L814" s="234">
        <v>1</v>
      </c>
      <c r="M814" s="231">
        <f t="shared" si="202"/>
        <v>2</v>
      </c>
      <c r="N814" s="232" t="s">
        <v>291</v>
      </c>
      <c r="O814" s="233" t="s">
        <v>242</v>
      </c>
      <c r="P814" s="234">
        <v>5</v>
      </c>
      <c r="Q814" s="235">
        <f t="shared" si="218"/>
        <v>10</v>
      </c>
      <c r="R814" s="428" t="s">
        <v>1444</v>
      </c>
      <c r="S814" s="428" t="s">
        <v>1445</v>
      </c>
      <c r="T814" s="133"/>
      <c r="U814" s="405"/>
      <c r="V814" s="135"/>
      <c r="W814" s="133"/>
      <c r="X814" s="405"/>
      <c r="Y814" s="405"/>
      <c r="Z814" s="135"/>
      <c r="AA814" s="136"/>
      <c r="AB814" s="111"/>
      <c r="AC814" s="226"/>
      <c r="AD814" s="226">
        <f t="shared" si="194"/>
        <v>11088</v>
      </c>
    </row>
    <row r="815" spans="1:31" ht="153.75" outlineLevel="3" thickBot="1" x14ac:dyDescent="0.25">
      <c r="A815" s="245" t="s">
        <v>1694</v>
      </c>
      <c r="B815" s="482"/>
      <c r="C815" s="502"/>
      <c r="D815" s="482"/>
      <c r="E815" s="431" t="s">
        <v>1695</v>
      </c>
      <c r="F815" s="409" t="s">
        <v>637</v>
      </c>
      <c r="G815" s="415" t="s">
        <v>1448</v>
      </c>
      <c r="H815" s="332" t="s">
        <v>1449</v>
      </c>
      <c r="I815" s="318">
        <v>4</v>
      </c>
      <c r="J815" s="297" t="s">
        <v>277</v>
      </c>
      <c r="K815" s="130" t="s">
        <v>338</v>
      </c>
      <c r="L815" s="285">
        <v>1</v>
      </c>
      <c r="M815" s="286">
        <f t="shared" si="202"/>
        <v>4</v>
      </c>
      <c r="N815" s="287" t="s">
        <v>303</v>
      </c>
      <c r="O815" s="332" t="s">
        <v>1443</v>
      </c>
      <c r="P815" s="285">
        <v>2</v>
      </c>
      <c r="Q815" s="290">
        <f t="shared" si="218"/>
        <v>8</v>
      </c>
      <c r="R815" s="428" t="s">
        <v>1444</v>
      </c>
      <c r="S815" s="428" t="s">
        <v>1445</v>
      </c>
      <c r="T815" s="133"/>
      <c r="U815" s="405"/>
      <c r="V815" s="135"/>
      <c r="W815" s="133"/>
      <c r="X815" s="405"/>
      <c r="Y815" s="405"/>
      <c r="Z815" s="135"/>
      <c r="AA815" s="136">
        <f t="shared" si="193"/>
        <v>0</v>
      </c>
      <c r="AB815" s="111"/>
      <c r="AC815" s="226"/>
      <c r="AD815" s="226">
        <f t="shared" si="194"/>
        <v>11089</v>
      </c>
    </row>
    <row r="816" spans="1:31" ht="294" outlineLevel="3" thickBot="1" x14ac:dyDescent="0.25">
      <c r="A816" s="245" t="s">
        <v>1696</v>
      </c>
      <c r="B816" s="477"/>
      <c r="C816" s="502"/>
      <c r="D816" s="477"/>
      <c r="E816" s="409" t="s">
        <v>279</v>
      </c>
      <c r="F816" s="409" t="s">
        <v>639</v>
      </c>
      <c r="G816" s="409" t="s">
        <v>1441</v>
      </c>
      <c r="H816" s="295" t="s">
        <v>1442</v>
      </c>
      <c r="I816" s="296">
        <v>2</v>
      </c>
      <c r="J816" s="297" t="s">
        <v>412</v>
      </c>
      <c r="K816" s="130" t="s">
        <v>338</v>
      </c>
      <c r="L816" s="234">
        <v>1</v>
      </c>
      <c r="M816" s="231">
        <f t="shared" si="202"/>
        <v>2</v>
      </c>
      <c r="N816" s="232" t="s">
        <v>291</v>
      </c>
      <c r="O816" s="233" t="s">
        <v>242</v>
      </c>
      <c r="P816" s="234">
        <v>5</v>
      </c>
      <c r="Q816" s="235">
        <f t="shared" si="218"/>
        <v>10</v>
      </c>
      <c r="R816" s="428" t="s">
        <v>1444</v>
      </c>
      <c r="S816" s="428" t="s">
        <v>1445</v>
      </c>
      <c r="T816" s="133"/>
      <c r="U816" s="405"/>
      <c r="V816" s="135"/>
      <c r="W816" s="133"/>
      <c r="X816" s="405"/>
      <c r="Y816" s="405"/>
      <c r="Z816" s="135"/>
      <c r="AA816" s="136"/>
      <c r="AB816" s="111"/>
      <c r="AC816" s="226"/>
      <c r="AD816" s="226">
        <f t="shared" si="194"/>
        <v>11090</v>
      </c>
    </row>
    <row r="817" spans="1:30" ht="153.75" outlineLevel="3" thickBot="1" x14ac:dyDescent="0.25">
      <c r="A817" s="245" t="s">
        <v>1697</v>
      </c>
      <c r="B817" s="483"/>
      <c r="C817" s="495"/>
      <c r="D817" s="478"/>
      <c r="E817" s="431" t="s">
        <v>1679</v>
      </c>
      <c r="F817" s="409" t="s">
        <v>639</v>
      </c>
      <c r="G817" s="415" t="s">
        <v>1448</v>
      </c>
      <c r="H817" s="332" t="s">
        <v>1449</v>
      </c>
      <c r="I817" s="318">
        <v>4</v>
      </c>
      <c r="J817" s="297" t="s">
        <v>412</v>
      </c>
      <c r="K817" s="130" t="s">
        <v>338</v>
      </c>
      <c r="L817" s="285">
        <v>1</v>
      </c>
      <c r="M817" s="286">
        <f t="shared" ref="M817" si="219">I817*L817</f>
        <v>4</v>
      </c>
      <c r="N817" s="287" t="s">
        <v>303</v>
      </c>
      <c r="O817" s="332" t="s">
        <v>1443</v>
      </c>
      <c r="P817" s="285">
        <v>2</v>
      </c>
      <c r="Q817" s="290">
        <f t="shared" ref="Q817" si="220">I817*L817*P817</f>
        <v>8</v>
      </c>
      <c r="R817" s="428" t="s">
        <v>1444</v>
      </c>
      <c r="S817" s="428" t="s">
        <v>1445</v>
      </c>
      <c r="T817" s="133"/>
      <c r="U817" s="405"/>
      <c r="V817" s="135"/>
      <c r="W817" s="133"/>
      <c r="X817" s="405"/>
      <c r="Y817" s="405"/>
      <c r="Z817" s="135"/>
      <c r="AA817" s="136"/>
      <c r="AB817" s="111"/>
      <c r="AC817" s="363"/>
      <c r="AD817" s="226">
        <f t="shared" si="194"/>
        <v>11091</v>
      </c>
    </row>
    <row r="818" spans="1:30" ht="128.25" outlineLevel="3" thickBot="1" x14ac:dyDescent="0.25">
      <c r="A818" s="199" t="s">
        <v>1698</v>
      </c>
      <c r="B818" s="477" t="s">
        <v>641</v>
      </c>
      <c r="C818" s="479" t="s">
        <v>642</v>
      </c>
      <c r="D818" s="583" t="s">
        <v>643</v>
      </c>
      <c r="E818" s="411" t="s">
        <v>326</v>
      </c>
      <c r="F818" s="405" t="s">
        <v>644</v>
      </c>
      <c r="G818" s="405" t="s">
        <v>1436</v>
      </c>
      <c r="H818" s="127" t="s">
        <v>238</v>
      </c>
      <c r="I818" s="128">
        <v>1</v>
      </c>
      <c r="J818" s="163" t="s">
        <v>328</v>
      </c>
      <c r="K818" s="130" t="s">
        <v>338</v>
      </c>
      <c r="L818" s="131">
        <v>1</v>
      </c>
      <c r="M818" s="132">
        <f t="shared" si="202"/>
        <v>1</v>
      </c>
      <c r="N818" s="133" t="s">
        <v>291</v>
      </c>
      <c r="O818" s="69" t="s">
        <v>242</v>
      </c>
      <c r="P818" s="131">
        <v>5</v>
      </c>
      <c r="Q818" s="134">
        <f t="shared" si="203"/>
        <v>5</v>
      </c>
      <c r="R818" s="428"/>
      <c r="S818" s="428"/>
      <c r="T818" s="133"/>
      <c r="U818" s="405"/>
      <c r="V818" s="135"/>
      <c r="W818" s="133"/>
      <c r="X818" s="405"/>
      <c r="Y818" s="405"/>
      <c r="Z818" s="135"/>
      <c r="AA818" s="136"/>
      <c r="AB818" s="111"/>
      <c r="AC818" s="363"/>
      <c r="AD818" s="226">
        <f t="shared" si="194"/>
        <v>5589</v>
      </c>
    </row>
    <row r="819" spans="1:30" ht="294" outlineLevel="3" thickBot="1" x14ac:dyDescent="0.25">
      <c r="A819" s="199" t="s">
        <v>1699</v>
      </c>
      <c r="B819" s="483"/>
      <c r="C819" s="484"/>
      <c r="D819" s="585"/>
      <c r="E819" s="405" t="s">
        <v>1700</v>
      </c>
      <c r="F819" s="208" t="s">
        <v>1298</v>
      </c>
      <c r="G819" s="428" t="s">
        <v>1441</v>
      </c>
      <c r="H819" s="420" t="s">
        <v>1442</v>
      </c>
      <c r="I819" s="164">
        <v>2</v>
      </c>
      <c r="J819" s="163" t="s">
        <v>332</v>
      </c>
      <c r="K819" s="165" t="s">
        <v>338</v>
      </c>
      <c r="L819" s="138">
        <v>1</v>
      </c>
      <c r="M819" s="166">
        <f t="shared" si="202"/>
        <v>2</v>
      </c>
      <c r="N819" s="133" t="s">
        <v>291</v>
      </c>
      <c r="O819" s="420" t="s">
        <v>1443</v>
      </c>
      <c r="P819" s="138">
        <v>2</v>
      </c>
      <c r="Q819" s="225">
        <f t="shared" si="203"/>
        <v>4</v>
      </c>
      <c r="R819" s="428" t="s">
        <v>1444</v>
      </c>
      <c r="S819" s="428" t="s">
        <v>1445</v>
      </c>
      <c r="T819" s="133"/>
      <c r="U819" s="405"/>
      <c r="V819" s="135"/>
      <c r="W819" s="133"/>
      <c r="X819" s="405"/>
      <c r="Y819" s="405"/>
      <c r="Z819" s="135"/>
      <c r="AA819" s="136">
        <f t="shared" si="193"/>
        <v>0</v>
      </c>
      <c r="AB819" s="111"/>
      <c r="AC819" s="226"/>
      <c r="AD819" s="226">
        <f t="shared" si="194"/>
        <v>5590</v>
      </c>
    </row>
    <row r="820" spans="1:30" ht="204.75" outlineLevel="3" thickBot="1" x14ac:dyDescent="0.25">
      <c r="A820" s="199" t="s">
        <v>1701</v>
      </c>
      <c r="B820" s="478"/>
      <c r="C820" s="480"/>
      <c r="D820" s="584"/>
      <c r="E820" s="403" t="s">
        <v>1586</v>
      </c>
      <c r="F820" s="209" t="s">
        <v>1298</v>
      </c>
      <c r="G820" s="405" t="s">
        <v>1448</v>
      </c>
      <c r="H820" s="420" t="s">
        <v>1449</v>
      </c>
      <c r="I820" s="164">
        <v>4</v>
      </c>
      <c r="J820" s="163" t="s">
        <v>332</v>
      </c>
      <c r="K820" s="165" t="s">
        <v>338</v>
      </c>
      <c r="L820" s="138">
        <v>1</v>
      </c>
      <c r="M820" s="166">
        <f t="shared" si="202"/>
        <v>4</v>
      </c>
      <c r="N820" s="133" t="s">
        <v>291</v>
      </c>
      <c r="O820" s="420" t="s">
        <v>1443</v>
      </c>
      <c r="P820" s="138">
        <v>2</v>
      </c>
      <c r="Q820" s="225">
        <f t="shared" si="203"/>
        <v>8</v>
      </c>
      <c r="R820" s="428" t="s">
        <v>1444</v>
      </c>
      <c r="S820" s="428" t="s">
        <v>1445</v>
      </c>
      <c r="T820" s="133"/>
      <c r="U820" s="405"/>
      <c r="V820" s="135"/>
      <c r="W820" s="133"/>
      <c r="X820" s="405"/>
      <c r="Y820" s="405"/>
      <c r="Z820" s="135"/>
      <c r="AA820" s="136"/>
      <c r="AB820" s="111"/>
      <c r="AC820" s="226"/>
      <c r="AD820" s="226">
        <f t="shared" si="194"/>
        <v>11092</v>
      </c>
    </row>
    <row r="821" spans="1:30" ht="128.25" outlineLevel="3" thickBot="1" x14ac:dyDescent="0.25">
      <c r="A821" s="252" t="s">
        <v>1702</v>
      </c>
      <c r="B821" s="489" t="s">
        <v>924</v>
      </c>
      <c r="C821" s="486" t="s">
        <v>649</v>
      </c>
      <c r="D821" s="599" t="s">
        <v>650</v>
      </c>
      <c r="E821" s="415" t="s">
        <v>651</v>
      </c>
      <c r="F821" s="330" t="s">
        <v>1703</v>
      </c>
      <c r="G821" s="405" t="s">
        <v>1436</v>
      </c>
      <c r="H821" s="255" t="s">
        <v>238</v>
      </c>
      <c r="I821" s="265">
        <v>1</v>
      </c>
      <c r="J821" s="253" t="s">
        <v>302</v>
      </c>
      <c r="K821" s="165" t="s">
        <v>338</v>
      </c>
      <c r="L821" s="258">
        <v>1</v>
      </c>
      <c r="M821" s="256">
        <f t="shared" si="202"/>
        <v>1</v>
      </c>
      <c r="N821" s="248" t="s">
        <v>291</v>
      </c>
      <c r="O821" s="257" t="s">
        <v>242</v>
      </c>
      <c r="P821" s="258">
        <v>5</v>
      </c>
      <c r="Q821" s="259">
        <f t="shared" si="203"/>
        <v>5</v>
      </c>
      <c r="R821" s="428"/>
      <c r="S821" s="428"/>
      <c r="T821" s="133"/>
      <c r="U821" s="405"/>
      <c r="V821" s="135"/>
      <c r="W821" s="133"/>
      <c r="X821" s="405"/>
      <c r="Y821" s="405"/>
      <c r="Z821" s="135"/>
      <c r="AA821" s="136"/>
      <c r="AB821" s="111"/>
      <c r="AC821" s="226"/>
      <c r="AD821" s="226">
        <f t="shared" si="194"/>
        <v>11093</v>
      </c>
    </row>
    <row r="822" spans="1:30" ht="294" outlineLevel="3" thickBot="1" x14ac:dyDescent="0.25">
      <c r="A822" s="252" t="s">
        <v>1704</v>
      </c>
      <c r="B822" s="496"/>
      <c r="C822" s="501"/>
      <c r="D822" s="600"/>
      <c r="E822" s="415" t="s">
        <v>927</v>
      </c>
      <c r="F822" s="330" t="s">
        <v>655</v>
      </c>
      <c r="G822" s="415" t="s">
        <v>1441</v>
      </c>
      <c r="H822" s="255" t="s">
        <v>1442</v>
      </c>
      <c r="I822" s="265">
        <v>2</v>
      </c>
      <c r="J822" s="253" t="s">
        <v>302</v>
      </c>
      <c r="K822" s="165" t="s">
        <v>338</v>
      </c>
      <c r="L822" s="258">
        <v>1</v>
      </c>
      <c r="M822" s="256">
        <f t="shared" si="202"/>
        <v>2</v>
      </c>
      <c r="N822" s="248" t="s">
        <v>291</v>
      </c>
      <c r="O822" s="257" t="s">
        <v>242</v>
      </c>
      <c r="P822" s="258">
        <v>5</v>
      </c>
      <c r="Q822" s="259">
        <f t="shared" si="203"/>
        <v>10</v>
      </c>
      <c r="R822" s="428" t="s">
        <v>1444</v>
      </c>
      <c r="S822" s="428" t="s">
        <v>1445</v>
      </c>
      <c r="T822" s="133"/>
      <c r="U822" s="405"/>
      <c r="V822" s="135"/>
      <c r="W822" s="133"/>
      <c r="X822" s="405"/>
      <c r="Y822" s="405"/>
      <c r="Z822" s="135"/>
      <c r="AA822" s="136"/>
      <c r="AB822" s="111"/>
      <c r="AC822" s="226"/>
      <c r="AD822" s="226">
        <f t="shared" si="194"/>
        <v>11094</v>
      </c>
    </row>
    <row r="823" spans="1:30" ht="153.75" outlineLevel="3" thickBot="1" x14ac:dyDescent="0.25">
      <c r="A823" s="243" t="s">
        <v>1705</v>
      </c>
      <c r="B823" s="496"/>
      <c r="C823" s="501"/>
      <c r="D823" s="601"/>
      <c r="E823" s="416" t="s">
        <v>1706</v>
      </c>
      <c r="F823" s="330" t="s">
        <v>655</v>
      </c>
      <c r="G823" s="415" t="s">
        <v>1448</v>
      </c>
      <c r="H823" s="326" t="s">
        <v>1449</v>
      </c>
      <c r="I823" s="244">
        <v>4</v>
      </c>
      <c r="J823" s="253" t="s">
        <v>302</v>
      </c>
      <c r="K823" s="165" t="s">
        <v>338</v>
      </c>
      <c r="L823" s="249">
        <v>1</v>
      </c>
      <c r="M823" s="256">
        <f t="shared" ref="M823" si="221">I823*L823</f>
        <v>4</v>
      </c>
      <c r="N823" s="248" t="s">
        <v>291</v>
      </c>
      <c r="O823" s="326" t="s">
        <v>1443</v>
      </c>
      <c r="P823" s="249">
        <v>2</v>
      </c>
      <c r="Q823" s="259">
        <f t="shared" ref="Q823" si="222">I823*L823*P823</f>
        <v>8</v>
      </c>
      <c r="R823" s="428" t="s">
        <v>1444</v>
      </c>
      <c r="S823" s="428" t="s">
        <v>1445</v>
      </c>
      <c r="T823" s="133"/>
      <c r="U823" s="405"/>
      <c r="V823" s="135"/>
      <c r="W823" s="133"/>
      <c r="X823" s="405"/>
      <c r="Y823" s="405"/>
      <c r="Z823" s="135"/>
      <c r="AA823" s="136">
        <f t="shared" si="193"/>
        <v>0</v>
      </c>
      <c r="AB823" s="111"/>
      <c r="AC823" s="226"/>
      <c r="AD823" s="226">
        <f t="shared" si="194"/>
        <v>11095</v>
      </c>
    </row>
    <row r="824" spans="1:30" ht="128.25" outlineLevel="3" thickBot="1" x14ac:dyDescent="0.25">
      <c r="A824" s="252" t="s">
        <v>1707</v>
      </c>
      <c r="B824" s="491"/>
      <c r="C824" s="487"/>
      <c r="D824" s="415"/>
      <c r="E824" s="415" t="s">
        <v>393</v>
      </c>
      <c r="F824" s="330" t="s">
        <v>1708</v>
      </c>
      <c r="G824" s="405" t="s">
        <v>1436</v>
      </c>
      <c r="H824" s="255" t="s">
        <v>238</v>
      </c>
      <c r="I824" s="265">
        <v>1</v>
      </c>
      <c r="J824" s="253" t="s">
        <v>307</v>
      </c>
      <c r="K824" s="165" t="s">
        <v>338</v>
      </c>
      <c r="L824" s="258">
        <v>1</v>
      </c>
      <c r="M824" s="256">
        <f t="shared" si="202"/>
        <v>1</v>
      </c>
      <c r="N824" s="248" t="s">
        <v>291</v>
      </c>
      <c r="O824" s="257" t="s">
        <v>242</v>
      </c>
      <c r="P824" s="258">
        <v>5</v>
      </c>
      <c r="Q824" s="259">
        <f t="shared" si="203"/>
        <v>5</v>
      </c>
      <c r="R824" s="428"/>
      <c r="S824" s="428"/>
      <c r="T824" s="133"/>
      <c r="U824" s="405"/>
      <c r="V824" s="135"/>
      <c r="W824" s="133"/>
      <c r="X824" s="405"/>
      <c r="Y824" s="405"/>
      <c r="Z824" s="135"/>
      <c r="AA824" s="136"/>
      <c r="AB824" s="111"/>
      <c r="AC824" s="226"/>
      <c r="AD824" s="226">
        <f t="shared" si="194"/>
        <v>11096</v>
      </c>
    </row>
    <row r="825" spans="1:30" ht="294" outlineLevel="3" thickBot="1" x14ac:dyDescent="0.25">
      <c r="A825" s="199" t="s">
        <v>1709</v>
      </c>
      <c r="B825" s="477" t="s">
        <v>659</v>
      </c>
      <c r="C825" s="479" t="s">
        <v>660</v>
      </c>
      <c r="D825" s="583" t="s">
        <v>661</v>
      </c>
      <c r="E825" s="411" t="s">
        <v>1710</v>
      </c>
      <c r="F825" s="208" t="s">
        <v>1131</v>
      </c>
      <c r="G825" s="428" t="s">
        <v>1441</v>
      </c>
      <c r="H825" s="420" t="s">
        <v>1442</v>
      </c>
      <c r="I825" s="164">
        <v>2</v>
      </c>
      <c r="J825" s="163" t="s">
        <v>931</v>
      </c>
      <c r="K825" s="165" t="s">
        <v>338</v>
      </c>
      <c r="L825" s="138">
        <v>1</v>
      </c>
      <c r="M825" s="166">
        <f t="shared" si="202"/>
        <v>2</v>
      </c>
      <c r="N825" s="133" t="s">
        <v>291</v>
      </c>
      <c r="O825" s="420" t="s">
        <v>1443</v>
      </c>
      <c r="P825" s="138">
        <v>2</v>
      </c>
      <c r="Q825" s="225">
        <f t="shared" si="203"/>
        <v>4</v>
      </c>
      <c r="R825" s="428" t="s">
        <v>1444</v>
      </c>
      <c r="S825" s="428" t="s">
        <v>1445</v>
      </c>
      <c r="T825" s="133"/>
      <c r="U825" s="405"/>
      <c r="V825" s="135"/>
      <c r="W825" s="133"/>
      <c r="X825" s="405"/>
      <c r="Y825" s="405"/>
      <c r="Z825" s="135"/>
      <c r="AA825" s="136"/>
      <c r="AB825" s="111"/>
      <c r="AC825" s="226"/>
      <c r="AD825" s="226">
        <f t="shared" si="194"/>
        <v>5591</v>
      </c>
    </row>
    <row r="826" spans="1:30" ht="153.75" outlineLevel="3" thickBot="1" x14ac:dyDescent="0.25">
      <c r="A826" s="199" t="s">
        <v>1711</v>
      </c>
      <c r="B826" s="483"/>
      <c r="C826" s="484"/>
      <c r="D826" s="585"/>
      <c r="E826" s="403" t="s">
        <v>1712</v>
      </c>
      <c r="F826" s="209" t="s">
        <v>1131</v>
      </c>
      <c r="G826" s="405" t="s">
        <v>1448</v>
      </c>
      <c r="H826" s="420" t="s">
        <v>1449</v>
      </c>
      <c r="I826" s="164">
        <v>4</v>
      </c>
      <c r="J826" s="163" t="s">
        <v>931</v>
      </c>
      <c r="K826" s="165" t="s">
        <v>338</v>
      </c>
      <c r="L826" s="138">
        <v>1</v>
      </c>
      <c r="M826" s="166">
        <f t="shared" ref="M826" si="223">I826*L826</f>
        <v>4</v>
      </c>
      <c r="N826" s="133" t="s">
        <v>291</v>
      </c>
      <c r="O826" s="420" t="s">
        <v>1443</v>
      </c>
      <c r="P826" s="138">
        <v>2</v>
      </c>
      <c r="Q826" s="225">
        <f t="shared" ref="Q826" si="224">I826*L826*P826</f>
        <v>8</v>
      </c>
      <c r="R826" s="428" t="s">
        <v>1444</v>
      </c>
      <c r="S826" s="428" t="s">
        <v>1445</v>
      </c>
      <c r="T826" s="133"/>
      <c r="U826" s="405"/>
      <c r="V826" s="135"/>
      <c r="W826" s="133"/>
      <c r="X826" s="405"/>
      <c r="Y826" s="405"/>
      <c r="Z826" s="135"/>
      <c r="AA826" s="136">
        <f t="shared" si="193"/>
        <v>0</v>
      </c>
      <c r="AB826" s="111"/>
      <c r="AC826" s="226"/>
      <c r="AD826" s="226">
        <f t="shared" si="194"/>
        <v>11097</v>
      </c>
    </row>
    <row r="827" spans="1:30" ht="294" outlineLevel="3" thickBot="1" x14ac:dyDescent="0.25">
      <c r="A827" s="199" t="s">
        <v>1713</v>
      </c>
      <c r="B827" s="483"/>
      <c r="C827" s="484"/>
      <c r="D827" s="585"/>
      <c r="E827" s="411" t="s">
        <v>1714</v>
      </c>
      <c r="F827" s="208" t="s">
        <v>1715</v>
      </c>
      <c r="G827" s="428" t="s">
        <v>1441</v>
      </c>
      <c r="H827" s="420" t="s">
        <v>1442</v>
      </c>
      <c r="I827" s="164">
        <v>2</v>
      </c>
      <c r="J827" s="163" t="s">
        <v>931</v>
      </c>
      <c r="K827" s="165" t="s">
        <v>338</v>
      </c>
      <c r="L827" s="138">
        <v>1</v>
      </c>
      <c r="M827" s="166">
        <f t="shared" si="202"/>
        <v>2</v>
      </c>
      <c r="N827" s="133" t="s">
        <v>291</v>
      </c>
      <c r="O827" s="420" t="s">
        <v>1443</v>
      </c>
      <c r="P827" s="138">
        <v>2</v>
      </c>
      <c r="Q827" s="225">
        <f t="shared" si="203"/>
        <v>4</v>
      </c>
      <c r="R827" s="428" t="s">
        <v>1444</v>
      </c>
      <c r="S827" s="428" t="s">
        <v>1445</v>
      </c>
      <c r="T827" s="133"/>
      <c r="U827" s="405"/>
      <c r="V827" s="135"/>
      <c r="W827" s="133"/>
      <c r="X827" s="405"/>
      <c r="Y827" s="405"/>
      <c r="Z827" s="135"/>
      <c r="AA827" s="136"/>
      <c r="AB827" s="111"/>
      <c r="AC827" s="226"/>
      <c r="AD827" s="226">
        <f t="shared" si="194"/>
        <v>5592</v>
      </c>
    </row>
    <row r="828" spans="1:30" ht="153.75" outlineLevel="3" thickBot="1" x14ac:dyDescent="0.25">
      <c r="A828" s="199" t="s">
        <v>1716</v>
      </c>
      <c r="B828" s="483"/>
      <c r="C828" s="484"/>
      <c r="D828" s="585"/>
      <c r="E828" s="411" t="s">
        <v>1717</v>
      </c>
      <c r="F828" s="208" t="s">
        <v>1715</v>
      </c>
      <c r="G828" s="405" t="s">
        <v>1448</v>
      </c>
      <c r="H828" s="420" t="s">
        <v>1449</v>
      </c>
      <c r="I828" s="164">
        <v>4</v>
      </c>
      <c r="J828" s="163" t="s">
        <v>931</v>
      </c>
      <c r="K828" s="165" t="s">
        <v>338</v>
      </c>
      <c r="L828" s="138">
        <v>1</v>
      </c>
      <c r="M828" s="166">
        <f t="shared" si="202"/>
        <v>4</v>
      </c>
      <c r="N828" s="133" t="s">
        <v>291</v>
      </c>
      <c r="O828" s="420" t="s">
        <v>1443</v>
      </c>
      <c r="P828" s="138">
        <v>2</v>
      </c>
      <c r="Q828" s="225">
        <f t="shared" si="203"/>
        <v>8</v>
      </c>
      <c r="R828" s="428" t="s">
        <v>1444</v>
      </c>
      <c r="S828" s="428" t="s">
        <v>1445</v>
      </c>
      <c r="T828" s="133"/>
      <c r="U828" s="405"/>
      <c r="V828" s="135"/>
      <c r="W828" s="133"/>
      <c r="X828" s="405"/>
      <c r="Y828" s="405"/>
      <c r="Z828" s="135"/>
      <c r="AA828" s="136"/>
      <c r="AB828" s="111"/>
      <c r="AC828" s="226"/>
      <c r="AD828" s="226">
        <f t="shared" si="194"/>
        <v>11098</v>
      </c>
    </row>
    <row r="829" spans="1:30" ht="128.25" outlineLevel="3" thickBot="1" x14ac:dyDescent="0.25">
      <c r="A829" s="199" t="s">
        <v>1718</v>
      </c>
      <c r="B829" s="483"/>
      <c r="C829" s="484"/>
      <c r="D829" s="483"/>
      <c r="E829" s="417" t="s">
        <v>669</v>
      </c>
      <c r="F829" s="417" t="s">
        <v>670</v>
      </c>
      <c r="G829" s="405" t="s">
        <v>1436</v>
      </c>
      <c r="H829" s="127" t="s">
        <v>238</v>
      </c>
      <c r="I829" s="128">
        <v>1</v>
      </c>
      <c r="J829" s="163" t="s">
        <v>671</v>
      </c>
      <c r="K829" s="130" t="s">
        <v>338</v>
      </c>
      <c r="L829" s="131">
        <v>1</v>
      </c>
      <c r="M829" s="132">
        <f t="shared" si="202"/>
        <v>1</v>
      </c>
      <c r="N829" s="133" t="s">
        <v>291</v>
      </c>
      <c r="O829" s="69" t="s">
        <v>242</v>
      </c>
      <c r="P829" s="131">
        <v>5</v>
      </c>
      <c r="Q829" s="134">
        <f t="shared" si="203"/>
        <v>5</v>
      </c>
      <c r="R829" s="428"/>
      <c r="S829" s="428"/>
      <c r="T829" s="133"/>
      <c r="U829" s="405"/>
      <c r="V829" s="135"/>
      <c r="W829" s="133"/>
      <c r="X829" s="405"/>
      <c r="Y829" s="405"/>
      <c r="Z829" s="135"/>
      <c r="AA829" s="136"/>
      <c r="AB829" s="111"/>
      <c r="AC829" s="226"/>
      <c r="AD829" s="226">
        <f t="shared" si="194"/>
        <v>5593</v>
      </c>
    </row>
    <row r="830" spans="1:30" ht="128.25" outlineLevel="3" thickBot="1" x14ac:dyDescent="0.25">
      <c r="A830" s="199" t="s">
        <v>1719</v>
      </c>
      <c r="B830" s="483"/>
      <c r="C830" s="484"/>
      <c r="D830" s="483"/>
      <c r="E830" s="207" t="s">
        <v>673</v>
      </c>
      <c r="F830" s="207" t="s">
        <v>674</v>
      </c>
      <c r="G830" s="405" t="s">
        <v>1436</v>
      </c>
      <c r="H830" s="127" t="s">
        <v>238</v>
      </c>
      <c r="I830" s="128">
        <v>1</v>
      </c>
      <c r="J830" s="163" t="s">
        <v>675</v>
      </c>
      <c r="K830" s="130" t="s">
        <v>338</v>
      </c>
      <c r="L830" s="131">
        <v>1</v>
      </c>
      <c r="M830" s="132">
        <f t="shared" si="202"/>
        <v>1</v>
      </c>
      <c r="N830" s="133" t="s">
        <v>291</v>
      </c>
      <c r="O830" s="69" t="s">
        <v>242</v>
      </c>
      <c r="P830" s="131">
        <v>5</v>
      </c>
      <c r="Q830" s="134">
        <f t="shared" si="203"/>
        <v>5</v>
      </c>
      <c r="R830" s="428"/>
      <c r="S830" s="428"/>
      <c r="T830" s="133"/>
      <c r="U830" s="405"/>
      <c r="V830" s="135"/>
      <c r="W830" s="133"/>
      <c r="X830" s="405"/>
      <c r="Y830" s="405"/>
      <c r="Z830" s="135"/>
      <c r="AA830" s="136"/>
      <c r="AB830" s="111"/>
      <c r="AC830" s="226"/>
      <c r="AD830" s="226">
        <f t="shared" si="194"/>
        <v>5594</v>
      </c>
    </row>
    <row r="831" spans="1:30" ht="294" outlineLevel="3" thickBot="1" x14ac:dyDescent="0.25">
      <c r="A831" s="199" t="s">
        <v>1720</v>
      </c>
      <c r="B831" s="483"/>
      <c r="C831" s="484"/>
      <c r="D831" s="585"/>
      <c r="E831" s="411" t="s">
        <v>1721</v>
      </c>
      <c r="F831" s="208" t="s">
        <v>1722</v>
      </c>
      <c r="G831" s="428" t="s">
        <v>1441</v>
      </c>
      <c r="H831" s="420" t="s">
        <v>1442</v>
      </c>
      <c r="I831" s="164">
        <v>2</v>
      </c>
      <c r="J831" s="163" t="s">
        <v>681</v>
      </c>
      <c r="K831" s="165" t="s">
        <v>338</v>
      </c>
      <c r="L831" s="138">
        <v>1</v>
      </c>
      <c r="M831" s="166">
        <f t="shared" si="202"/>
        <v>2</v>
      </c>
      <c r="N831" s="133" t="s">
        <v>291</v>
      </c>
      <c r="O831" s="420" t="s">
        <v>1443</v>
      </c>
      <c r="P831" s="138">
        <v>2</v>
      </c>
      <c r="Q831" s="225">
        <f>P831*L831*I831</f>
        <v>4</v>
      </c>
      <c r="R831" s="428" t="s">
        <v>1444</v>
      </c>
      <c r="S831" s="428" t="s">
        <v>1445</v>
      </c>
      <c r="T831" s="133"/>
      <c r="U831" s="405"/>
      <c r="V831" s="135"/>
      <c r="W831" s="133"/>
      <c r="X831" s="405"/>
      <c r="Y831" s="405"/>
      <c r="Z831" s="135"/>
      <c r="AA831" s="136"/>
      <c r="AB831" s="111"/>
      <c r="AC831" s="227"/>
      <c r="AD831" s="226">
        <f t="shared" si="194"/>
        <v>6985</v>
      </c>
    </row>
    <row r="832" spans="1:30" ht="153.75" outlineLevel="3" thickBot="1" x14ac:dyDescent="0.25">
      <c r="A832" s="199" t="s">
        <v>1723</v>
      </c>
      <c r="B832" s="483"/>
      <c r="C832" s="484"/>
      <c r="D832" s="585"/>
      <c r="E832" s="403" t="s">
        <v>1724</v>
      </c>
      <c r="F832" s="209" t="s">
        <v>1722</v>
      </c>
      <c r="G832" s="405" t="s">
        <v>1448</v>
      </c>
      <c r="H832" s="420" t="s">
        <v>1449</v>
      </c>
      <c r="I832" s="164">
        <v>4</v>
      </c>
      <c r="J832" s="163" t="s">
        <v>681</v>
      </c>
      <c r="K832" s="165" t="s">
        <v>338</v>
      </c>
      <c r="L832" s="138">
        <v>1</v>
      </c>
      <c r="M832" s="166">
        <f t="shared" ref="M832" si="225">I832*L832</f>
        <v>4</v>
      </c>
      <c r="N832" s="133" t="s">
        <v>291</v>
      </c>
      <c r="O832" s="420" t="s">
        <v>1443</v>
      </c>
      <c r="P832" s="138">
        <v>2</v>
      </c>
      <c r="Q832" s="225">
        <f t="shared" ref="Q832" si="226">I832*L832*P832</f>
        <v>8</v>
      </c>
      <c r="R832" s="428" t="s">
        <v>1444</v>
      </c>
      <c r="S832" s="428" t="s">
        <v>1445</v>
      </c>
      <c r="T832" s="133"/>
      <c r="U832" s="405"/>
      <c r="V832" s="135"/>
      <c r="W832" s="133"/>
      <c r="X832" s="405"/>
      <c r="Y832" s="405"/>
      <c r="Z832" s="135"/>
      <c r="AA832" s="136">
        <f>X832*Y832*Z832</f>
        <v>0</v>
      </c>
      <c r="AB832" s="111"/>
      <c r="AC832" s="226"/>
      <c r="AD832" s="226">
        <f t="shared" si="194"/>
        <v>11099</v>
      </c>
    </row>
    <row r="833" spans="1:30" ht="294" outlineLevel="3" thickBot="1" x14ac:dyDescent="0.25">
      <c r="A833" s="199" t="s">
        <v>1725</v>
      </c>
      <c r="B833" s="483"/>
      <c r="C833" s="484"/>
      <c r="D833" s="585"/>
      <c r="E833" s="411" t="s">
        <v>684</v>
      </c>
      <c r="F833" s="208" t="s">
        <v>685</v>
      </c>
      <c r="G833" s="428" t="s">
        <v>1441</v>
      </c>
      <c r="H833" s="420" t="s">
        <v>1442</v>
      </c>
      <c r="I833" s="164">
        <v>2</v>
      </c>
      <c r="J833" s="163" t="s">
        <v>675</v>
      </c>
      <c r="K833" s="165" t="s">
        <v>338</v>
      </c>
      <c r="L833" s="138">
        <v>1</v>
      </c>
      <c r="M833" s="166">
        <f t="shared" si="202"/>
        <v>2</v>
      </c>
      <c r="N833" s="133" t="s">
        <v>291</v>
      </c>
      <c r="O833" s="420" t="s">
        <v>1443</v>
      </c>
      <c r="P833" s="138">
        <v>2</v>
      </c>
      <c r="Q833" s="225">
        <f t="shared" ref="Q833:Q838" si="227">I833*L833*P833</f>
        <v>4</v>
      </c>
      <c r="R833" s="428" t="s">
        <v>1444</v>
      </c>
      <c r="S833" s="428" t="s">
        <v>1445</v>
      </c>
      <c r="T833" s="133"/>
      <c r="U833" s="405"/>
      <c r="V833" s="135"/>
      <c r="W833" s="133"/>
      <c r="X833" s="405"/>
      <c r="Y833" s="405"/>
      <c r="Z833" s="135"/>
      <c r="AA833" s="136"/>
      <c r="AB833" s="111"/>
      <c r="AC833" s="226"/>
      <c r="AD833" s="226">
        <f t="shared" si="194"/>
        <v>6986</v>
      </c>
    </row>
    <row r="834" spans="1:30" ht="153.75" outlineLevel="3" thickBot="1" x14ac:dyDescent="0.25">
      <c r="A834" s="199" t="s">
        <v>1726</v>
      </c>
      <c r="B834" s="483"/>
      <c r="C834" s="484"/>
      <c r="D834" s="585"/>
      <c r="E834" s="403" t="s">
        <v>1727</v>
      </c>
      <c r="F834" s="209" t="s">
        <v>685</v>
      </c>
      <c r="G834" s="405" t="s">
        <v>1448</v>
      </c>
      <c r="H834" s="420" t="s">
        <v>1449</v>
      </c>
      <c r="I834" s="164">
        <v>4</v>
      </c>
      <c r="J834" s="163" t="s">
        <v>675</v>
      </c>
      <c r="K834" s="165" t="s">
        <v>338</v>
      </c>
      <c r="L834" s="138">
        <v>1</v>
      </c>
      <c r="M834" s="166">
        <f t="shared" si="202"/>
        <v>4</v>
      </c>
      <c r="N834" s="133" t="s">
        <v>291</v>
      </c>
      <c r="O834" s="420" t="s">
        <v>1443</v>
      </c>
      <c r="P834" s="138">
        <v>2</v>
      </c>
      <c r="Q834" s="225">
        <f t="shared" si="227"/>
        <v>8</v>
      </c>
      <c r="R834" s="428" t="s">
        <v>1444</v>
      </c>
      <c r="S834" s="428" t="s">
        <v>1445</v>
      </c>
      <c r="T834" s="133"/>
      <c r="U834" s="405"/>
      <c r="V834" s="135"/>
      <c r="W834" s="133"/>
      <c r="X834" s="405"/>
      <c r="Y834" s="405"/>
      <c r="Z834" s="135"/>
      <c r="AA834" s="136"/>
      <c r="AB834" s="111"/>
      <c r="AC834" s="226"/>
      <c r="AD834" s="226">
        <f t="shared" si="194"/>
        <v>11100</v>
      </c>
    </row>
    <row r="835" spans="1:30" ht="294" outlineLevel="3" thickBot="1" x14ac:dyDescent="0.25">
      <c r="A835" s="199" t="s">
        <v>1728</v>
      </c>
      <c r="B835" s="483"/>
      <c r="C835" s="484"/>
      <c r="D835" s="585"/>
      <c r="E835" s="411" t="s">
        <v>687</v>
      </c>
      <c r="F835" s="208" t="s">
        <v>1729</v>
      </c>
      <c r="G835" s="428" t="s">
        <v>1441</v>
      </c>
      <c r="H835" s="420" t="s">
        <v>1442</v>
      </c>
      <c r="I835" s="164">
        <v>2</v>
      </c>
      <c r="J835" s="163" t="s">
        <v>689</v>
      </c>
      <c r="K835" s="165" t="s">
        <v>338</v>
      </c>
      <c r="L835" s="138">
        <v>1</v>
      </c>
      <c r="M835" s="166">
        <f t="shared" si="202"/>
        <v>2</v>
      </c>
      <c r="N835" s="133" t="s">
        <v>291</v>
      </c>
      <c r="O835" s="420" t="s">
        <v>1443</v>
      </c>
      <c r="P835" s="138">
        <v>2</v>
      </c>
      <c r="Q835" s="225">
        <f t="shared" si="227"/>
        <v>4</v>
      </c>
      <c r="R835" s="428" t="s">
        <v>1444</v>
      </c>
      <c r="S835" s="428" t="s">
        <v>1445</v>
      </c>
      <c r="T835" s="133"/>
      <c r="U835" s="405"/>
      <c r="V835" s="135"/>
      <c r="W835" s="133"/>
      <c r="X835" s="405"/>
      <c r="Y835" s="405"/>
      <c r="Z835" s="135"/>
      <c r="AA835" s="136"/>
      <c r="AB835" s="111"/>
      <c r="AC835" s="369"/>
      <c r="AD835" s="226">
        <f t="shared" si="194"/>
        <v>6987</v>
      </c>
    </row>
    <row r="836" spans="1:30" ht="153.75" outlineLevel="3" thickBot="1" x14ac:dyDescent="0.25">
      <c r="A836" s="199" t="s">
        <v>1730</v>
      </c>
      <c r="B836" s="483"/>
      <c r="C836" s="484"/>
      <c r="D836" s="585"/>
      <c r="E836" s="403" t="s">
        <v>1731</v>
      </c>
      <c r="F836" s="209" t="s">
        <v>1729</v>
      </c>
      <c r="G836" s="405" t="s">
        <v>1448</v>
      </c>
      <c r="H836" s="420" t="s">
        <v>1449</v>
      </c>
      <c r="I836" s="164">
        <v>4</v>
      </c>
      <c r="J836" s="163" t="s">
        <v>689</v>
      </c>
      <c r="K836" s="165" t="s">
        <v>338</v>
      </c>
      <c r="L836" s="138">
        <v>1</v>
      </c>
      <c r="M836" s="166">
        <f t="shared" ref="M836" si="228">I836*L836</f>
        <v>4</v>
      </c>
      <c r="N836" s="133" t="s">
        <v>291</v>
      </c>
      <c r="O836" s="420" t="s">
        <v>1443</v>
      </c>
      <c r="P836" s="138">
        <v>2</v>
      </c>
      <c r="Q836" s="225">
        <f t="shared" ref="Q836" si="229">I836*L836*P836</f>
        <v>8</v>
      </c>
      <c r="R836" s="428" t="s">
        <v>1444</v>
      </c>
      <c r="S836" s="428" t="s">
        <v>1445</v>
      </c>
      <c r="T836" s="133"/>
      <c r="U836" s="405"/>
      <c r="V836" s="135"/>
      <c r="W836" s="133"/>
      <c r="X836" s="405"/>
      <c r="Y836" s="405"/>
      <c r="Z836" s="135"/>
      <c r="AA836" s="136"/>
      <c r="AB836" s="111"/>
      <c r="AC836" s="227"/>
      <c r="AD836" s="226">
        <f t="shared" si="194"/>
        <v>11101</v>
      </c>
    </row>
    <row r="837" spans="1:30" ht="294" outlineLevel="3" thickBot="1" x14ac:dyDescent="0.25">
      <c r="A837" s="199" t="s">
        <v>1732</v>
      </c>
      <c r="B837" s="483"/>
      <c r="C837" s="484"/>
      <c r="D837" s="585"/>
      <c r="E837" s="411" t="s">
        <v>691</v>
      </c>
      <c r="F837" s="208" t="s">
        <v>1733</v>
      </c>
      <c r="G837" s="428" t="s">
        <v>1441</v>
      </c>
      <c r="H837" s="420" t="s">
        <v>1442</v>
      </c>
      <c r="I837" s="164">
        <v>2</v>
      </c>
      <c r="J837" s="163" t="s">
        <v>689</v>
      </c>
      <c r="K837" s="165" t="s">
        <v>338</v>
      </c>
      <c r="L837" s="138">
        <v>1</v>
      </c>
      <c r="M837" s="166">
        <f t="shared" si="202"/>
        <v>2</v>
      </c>
      <c r="N837" s="133" t="s">
        <v>291</v>
      </c>
      <c r="O837" s="420" t="s">
        <v>1443</v>
      </c>
      <c r="P837" s="138">
        <v>2</v>
      </c>
      <c r="Q837" s="225">
        <f t="shared" si="227"/>
        <v>4</v>
      </c>
      <c r="R837" s="428" t="s">
        <v>1444</v>
      </c>
      <c r="S837" s="428" t="s">
        <v>1445</v>
      </c>
      <c r="T837" s="133"/>
      <c r="U837" s="405"/>
      <c r="V837" s="135"/>
      <c r="W837" s="133"/>
      <c r="X837" s="405"/>
      <c r="Y837" s="405"/>
      <c r="Z837" s="135"/>
      <c r="AA837" s="136">
        <f>X837*Y837*Z837</f>
        <v>0</v>
      </c>
      <c r="AB837" s="111"/>
      <c r="AC837" s="226"/>
      <c r="AD837" s="226">
        <f t="shared" si="194"/>
        <v>6988</v>
      </c>
    </row>
    <row r="838" spans="1:30" ht="153.75" outlineLevel="3" thickBot="1" x14ac:dyDescent="0.25">
      <c r="A838" s="199" t="s">
        <v>1734</v>
      </c>
      <c r="B838" s="478"/>
      <c r="C838" s="480"/>
      <c r="D838" s="584"/>
      <c r="E838" s="403" t="s">
        <v>1735</v>
      </c>
      <c r="F838" s="209" t="s">
        <v>1733</v>
      </c>
      <c r="G838" s="405" t="s">
        <v>1448</v>
      </c>
      <c r="H838" s="420" t="s">
        <v>1449</v>
      </c>
      <c r="I838" s="164">
        <v>4</v>
      </c>
      <c r="J838" s="163" t="s">
        <v>689</v>
      </c>
      <c r="K838" s="165" t="s">
        <v>338</v>
      </c>
      <c r="L838" s="138">
        <v>1</v>
      </c>
      <c r="M838" s="166">
        <f t="shared" si="202"/>
        <v>4</v>
      </c>
      <c r="N838" s="133" t="s">
        <v>291</v>
      </c>
      <c r="O838" s="420" t="s">
        <v>1443</v>
      </c>
      <c r="P838" s="138">
        <v>2</v>
      </c>
      <c r="Q838" s="225">
        <f t="shared" si="227"/>
        <v>8</v>
      </c>
      <c r="R838" s="428" t="s">
        <v>1444</v>
      </c>
      <c r="S838" s="428" t="s">
        <v>1445</v>
      </c>
      <c r="T838" s="133"/>
      <c r="U838" s="405"/>
      <c r="V838" s="135"/>
      <c r="W838" s="133"/>
      <c r="X838" s="405"/>
      <c r="Y838" s="405"/>
      <c r="Z838" s="135"/>
      <c r="AA838" s="136"/>
      <c r="AB838" s="111"/>
      <c r="AC838" s="363"/>
      <c r="AD838" s="226">
        <f t="shared" ref="AD838:AD901" si="230">VALUE(RIGHT((IF(A838="",0,A838)),5))</f>
        <v>11102</v>
      </c>
    </row>
    <row r="839" spans="1:30" ht="294" outlineLevel="3" thickBot="1" x14ac:dyDescent="0.25">
      <c r="A839" s="199" t="s">
        <v>1736</v>
      </c>
      <c r="B839" s="477" t="s">
        <v>695</v>
      </c>
      <c r="C839" s="479" t="s">
        <v>696</v>
      </c>
      <c r="D839" s="583" t="s">
        <v>697</v>
      </c>
      <c r="E839" s="411" t="s">
        <v>1737</v>
      </c>
      <c r="F839" s="208" t="s">
        <v>1738</v>
      </c>
      <c r="G839" s="428" t="s">
        <v>1441</v>
      </c>
      <c r="H839" s="420" t="s">
        <v>1442</v>
      </c>
      <c r="I839" s="164">
        <v>2</v>
      </c>
      <c r="J839" s="163" t="s">
        <v>438</v>
      </c>
      <c r="K839" s="165" t="s">
        <v>338</v>
      </c>
      <c r="L839" s="138">
        <v>1</v>
      </c>
      <c r="M839" s="166">
        <f t="shared" si="202"/>
        <v>2</v>
      </c>
      <c r="N839" s="133" t="s">
        <v>291</v>
      </c>
      <c r="O839" s="420" t="s">
        <v>1443</v>
      </c>
      <c r="P839" s="138">
        <v>2</v>
      </c>
      <c r="Q839" s="225">
        <f t="shared" si="203"/>
        <v>4</v>
      </c>
      <c r="R839" s="428" t="s">
        <v>1444</v>
      </c>
      <c r="S839" s="428" t="s">
        <v>1445</v>
      </c>
      <c r="T839" s="133"/>
      <c r="U839" s="405"/>
      <c r="V839" s="135"/>
      <c r="W839" s="133"/>
      <c r="X839" s="405"/>
      <c r="Y839" s="405"/>
      <c r="Z839" s="135"/>
      <c r="AA839" s="136"/>
      <c r="AB839" s="111"/>
      <c r="AC839" s="226"/>
      <c r="AD839" s="226">
        <f t="shared" si="230"/>
        <v>5595</v>
      </c>
    </row>
    <row r="840" spans="1:30" ht="153.75" outlineLevel="3" thickBot="1" x14ac:dyDescent="0.25">
      <c r="A840" s="199" t="s">
        <v>1739</v>
      </c>
      <c r="B840" s="483"/>
      <c r="C840" s="484"/>
      <c r="D840" s="585"/>
      <c r="E840" s="403" t="s">
        <v>1467</v>
      </c>
      <c r="F840" s="209" t="s">
        <v>1738</v>
      </c>
      <c r="G840" s="405" t="s">
        <v>1448</v>
      </c>
      <c r="H840" s="420" t="s">
        <v>1449</v>
      </c>
      <c r="I840" s="164">
        <v>4</v>
      </c>
      <c r="J840" s="163" t="s">
        <v>438</v>
      </c>
      <c r="K840" s="165" t="s">
        <v>338</v>
      </c>
      <c r="L840" s="138">
        <v>1</v>
      </c>
      <c r="M840" s="166">
        <f t="shared" ref="M840" si="231">I840*L840</f>
        <v>4</v>
      </c>
      <c r="N840" s="133" t="s">
        <v>291</v>
      </c>
      <c r="O840" s="420" t="s">
        <v>1443</v>
      </c>
      <c r="P840" s="138">
        <v>2</v>
      </c>
      <c r="Q840" s="225">
        <f t="shared" si="203"/>
        <v>8</v>
      </c>
      <c r="R840" s="428" t="s">
        <v>1444</v>
      </c>
      <c r="S840" s="428" t="s">
        <v>1445</v>
      </c>
      <c r="T840" s="133"/>
      <c r="U840" s="405"/>
      <c r="V840" s="135"/>
      <c r="W840" s="133"/>
      <c r="X840" s="405"/>
      <c r="Y840" s="405"/>
      <c r="Z840" s="135"/>
      <c r="AA840" s="136"/>
      <c r="AB840" s="111"/>
      <c r="AC840" s="226"/>
      <c r="AD840" s="226">
        <f t="shared" si="230"/>
        <v>11103</v>
      </c>
    </row>
    <row r="841" spans="1:30" ht="294" outlineLevel="3" thickBot="1" x14ac:dyDescent="0.25">
      <c r="A841" s="199" t="s">
        <v>1740</v>
      </c>
      <c r="B841" s="483"/>
      <c r="C841" s="484"/>
      <c r="D841" s="585"/>
      <c r="E841" s="411" t="s">
        <v>1741</v>
      </c>
      <c r="F841" s="208" t="s">
        <v>1148</v>
      </c>
      <c r="G841" s="428" t="s">
        <v>1441</v>
      </c>
      <c r="H841" s="420" t="s">
        <v>1442</v>
      </c>
      <c r="I841" s="164">
        <v>2</v>
      </c>
      <c r="J841" s="163" t="s">
        <v>402</v>
      </c>
      <c r="K841" s="165" t="s">
        <v>338</v>
      </c>
      <c r="L841" s="138">
        <v>1</v>
      </c>
      <c r="M841" s="166">
        <f t="shared" si="202"/>
        <v>2</v>
      </c>
      <c r="N841" s="133" t="s">
        <v>291</v>
      </c>
      <c r="O841" s="420" t="s">
        <v>1443</v>
      </c>
      <c r="P841" s="138">
        <v>2</v>
      </c>
      <c r="Q841" s="225">
        <f t="shared" si="203"/>
        <v>4</v>
      </c>
      <c r="R841" s="428" t="s">
        <v>1444</v>
      </c>
      <c r="S841" s="428" t="s">
        <v>1445</v>
      </c>
      <c r="T841" s="133"/>
      <c r="U841" s="405"/>
      <c r="V841" s="135"/>
      <c r="W841" s="133"/>
      <c r="X841" s="405"/>
      <c r="Y841" s="405"/>
      <c r="Z841" s="135"/>
      <c r="AA841" s="136"/>
      <c r="AB841" s="111"/>
      <c r="AC841" s="226"/>
      <c r="AD841" s="226">
        <f t="shared" si="230"/>
        <v>5596</v>
      </c>
    </row>
    <row r="842" spans="1:30" ht="166.5" outlineLevel="3" thickBot="1" x14ac:dyDescent="0.25">
      <c r="A842" s="199" t="s">
        <v>1742</v>
      </c>
      <c r="B842" s="478"/>
      <c r="C842" s="480"/>
      <c r="D842" s="584"/>
      <c r="E842" s="403" t="s">
        <v>1501</v>
      </c>
      <c r="F842" s="209" t="s">
        <v>1148</v>
      </c>
      <c r="G842" s="405" t="s">
        <v>1448</v>
      </c>
      <c r="H842" s="420" t="s">
        <v>1449</v>
      </c>
      <c r="I842" s="164">
        <v>4</v>
      </c>
      <c r="J842" s="163" t="s">
        <v>580</v>
      </c>
      <c r="K842" s="165" t="s">
        <v>338</v>
      </c>
      <c r="L842" s="138">
        <v>1</v>
      </c>
      <c r="M842" s="166">
        <f t="shared" si="202"/>
        <v>4</v>
      </c>
      <c r="N842" s="133" t="s">
        <v>291</v>
      </c>
      <c r="O842" s="420" t="s">
        <v>1443</v>
      </c>
      <c r="P842" s="138">
        <v>2</v>
      </c>
      <c r="Q842" s="225">
        <f t="shared" ref="Q842:Q844" si="232">I842*L842*P842</f>
        <v>8</v>
      </c>
      <c r="R842" s="428" t="s">
        <v>1444</v>
      </c>
      <c r="S842" s="428" t="s">
        <v>1445</v>
      </c>
      <c r="T842" s="133"/>
      <c r="U842" s="405"/>
      <c r="V842" s="135"/>
      <c r="W842" s="133"/>
      <c r="X842" s="405"/>
      <c r="Y842" s="405"/>
      <c r="Z842" s="135"/>
      <c r="AA842" s="136"/>
      <c r="AB842" s="111"/>
      <c r="AC842" s="226"/>
      <c r="AD842" s="226">
        <f t="shared" si="230"/>
        <v>11104</v>
      </c>
    </row>
    <row r="843" spans="1:30" ht="128.25" outlineLevel="3" thickBot="1" x14ac:dyDescent="0.25">
      <c r="A843" s="199" t="s">
        <v>703</v>
      </c>
      <c r="B843" s="477" t="s">
        <v>704</v>
      </c>
      <c r="C843" s="479" t="s">
        <v>705</v>
      </c>
      <c r="D843" s="477" t="s">
        <v>706</v>
      </c>
      <c r="E843" s="405" t="s">
        <v>275</v>
      </c>
      <c r="F843" s="405" t="s">
        <v>707</v>
      </c>
      <c r="G843" s="405" t="s">
        <v>1436</v>
      </c>
      <c r="H843" s="420" t="s">
        <v>238</v>
      </c>
      <c r="I843" s="164">
        <v>1</v>
      </c>
      <c r="J843" s="163" t="s">
        <v>277</v>
      </c>
      <c r="K843" s="165" t="s">
        <v>338</v>
      </c>
      <c r="L843" s="138">
        <v>1</v>
      </c>
      <c r="M843" s="166">
        <f t="shared" si="202"/>
        <v>1</v>
      </c>
      <c r="N843" s="133" t="s">
        <v>291</v>
      </c>
      <c r="O843" s="420" t="s">
        <v>242</v>
      </c>
      <c r="P843" s="138">
        <v>5</v>
      </c>
      <c r="Q843" s="338">
        <f t="shared" si="232"/>
        <v>5</v>
      </c>
      <c r="R843" s="428"/>
      <c r="S843" s="428"/>
      <c r="T843" s="133"/>
      <c r="U843" s="405"/>
      <c r="V843" s="135"/>
      <c r="W843" s="133"/>
      <c r="X843" s="405"/>
      <c r="Y843" s="405"/>
      <c r="Z843" s="135"/>
      <c r="AA843" s="136"/>
      <c r="AB843" s="111"/>
      <c r="AC843" s="226"/>
      <c r="AD843" s="226">
        <f t="shared" si="230"/>
        <v>5229</v>
      </c>
    </row>
    <row r="844" spans="1:30" ht="294" outlineLevel="3" thickBot="1" x14ac:dyDescent="0.25">
      <c r="A844" s="199" t="s">
        <v>708</v>
      </c>
      <c r="B844" s="478"/>
      <c r="C844" s="480"/>
      <c r="D844" s="478"/>
      <c r="E844" s="405" t="s">
        <v>279</v>
      </c>
      <c r="F844" s="405" t="s">
        <v>1149</v>
      </c>
      <c r="G844" s="405" t="s">
        <v>1441</v>
      </c>
      <c r="H844" s="420" t="s">
        <v>1442</v>
      </c>
      <c r="I844" s="164">
        <v>2</v>
      </c>
      <c r="J844" s="163" t="s">
        <v>412</v>
      </c>
      <c r="K844" s="165" t="s">
        <v>338</v>
      </c>
      <c r="L844" s="138">
        <v>1</v>
      </c>
      <c r="M844" s="166">
        <f t="shared" si="202"/>
        <v>2</v>
      </c>
      <c r="N844" s="133" t="s">
        <v>291</v>
      </c>
      <c r="O844" s="420" t="s">
        <v>1443</v>
      </c>
      <c r="P844" s="138">
        <v>2</v>
      </c>
      <c r="Q844" s="225">
        <f t="shared" si="232"/>
        <v>4</v>
      </c>
      <c r="R844" s="428" t="s">
        <v>1444</v>
      </c>
      <c r="S844" s="428" t="s">
        <v>1445</v>
      </c>
      <c r="T844" s="133"/>
      <c r="U844" s="405"/>
      <c r="V844" s="135"/>
      <c r="W844" s="133"/>
      <c r="X844" s="405"/>
      <c r="Y844" s="405"/>
      <c r="Z844" s="135"/>
      <c r="AA844" s="136">
        <f>X844*Y844*Z844</f>
        <v>0</v>
      </c>
      <c r="AB844" s="111"/>
      <c r="AC844" s="226"/>
      <c r="AD844" s="226">
        <f t="shared" si="230"/>
        <v>5230</v>
      </c>
    </row>
    <row r="845" spans="1:30" ht="153.75" outlineLevel="3" thickBot="1" x14ac:dyDescent="0.25">
      <c r="A845" s="199" t="s">
        <v>1743</v>
      </c>
      <c r="B845" s="404"/>
      <c r="C845" s="407"/>
      <c r="D845" s="418"/>
      <c r="E845" s="403" t="s">
        <v>1506</v>
      </c>
      <c r="F845" s="405" t="s">
        <v>709</v>
      </c>
      <c r="G845" s="405" t="s">
        <v>1448</v>
      </c>
      <c r="H845" s="420" t="s">
        <v>1449</v>
      </c>
      <c r="I845" s="164">
        <v>4</v>
      </c>
      <c r="J845" s="163" t="s">
        <v>412</v>
      </c>
      <c r="K845" s="165" t="s">
        <v>338</v>
      </c>
      <c r="L845" s="138">
        <v>1</v>
      </c>
      <c r="M845" s="166">
        <f t="shared" ref="M845" si="233">I845*L845</f>
        <v>4</v>
      </c>
      <c r="N845" s="133" t="s">
        <v>291</v>
      </c>
      <c r="O845" s="420" t="s">
        <v>1443</v>
      </c>
      <c r="P845" s="138">
        <v>2</v>
      </c>
      <c r="Q845" s="225">
        <f t="shared" ref="Q845" si="234">I845*L845*P845</f>
        <v>8</v>
      </c>
      <c r="R845" s="428" t="s">
        <v>1444</v>
      </c>
      <c r="S845" s="428" t="s">
        <v>1445</v>
      </c>
      <c r="T845" s="133"/>
      <c r="U845" s="405"/>
      <c r="V845" s="135"/>
      <c r="W845" s="133"/>
      <c r="X845" s="405"/>
      <c r="Y845" s="405"/>
      <c r="Z845" s="135"/>
      <c r="AA845" s="136">
        <f t="shared" ref="AA845" si="235">X845*Y845*Z845</f>
        <v>0</v>
      </c>
      <c r="AB845" s="111"/>
      <c r="AC845" s="226"/>
      <c r="AD845" s="226">
        <f t="shared" si="230"/>
        <v>11105</v>
      </c>
    </row>
    <row r="846" spans="1:30" ht="294" outlineLevel="3" thickBot="1" x14ac:dyDescent="0.25">
      <c r="A846" s="199" t="s">
        <v>1744</v>
      </c>
      <c r="B846" s="477" t="s">
        <v>711</v>
      </c>
      <c r="C846" s="479" t="s">
        <v>712</v>
      </c>
      <c r="D846" s="583" t="s">
        <v>713</v>
      </c>
      <c r="E846" s="411" t="s">
        <v>1737</v>
      </c>
      <c r="F846" s="208" t="s">
        <v>1151</v>
      </c>
      <c r="G846" s="428" t="s">
        <v>1441</v>
      </c>
      <c r="H846" s="420" t="s">
        <v>1442</v>
      </c>
      <c r="I846" s="164">
        <v>2</v>
      </c>
      <c r="J846" s="163" t="s">
        <v>438</v>
      </c>
      <c r="K846" s="165" t="s">
        <v>338</v>
      </c>
      <c r="L846" s="138">
        <v>1</v>
      </c>
      <c r="M846" s="166">
        <f t="shared" si="202"/>
        <v>2</v>
      </c>
      <c r="N846" s="133" t="s">
        <v>291</v>
      </c>
      <c r="O846" s="420" t="s">
        <v>1443</v>
      </c>
      <c r="P846" s="138">
        <v>2</v>
      </c>
      <c r="Q846" s="225">
        <f t="shared" si="203"/>
        <v>4</v>
      </c>
      <c r="R846" s="428" t="s">
        <v>1444</v>
      </c>
      <c r="S846" s="428" t="s">
        <v>1445</v>
      </c>
      <c r="T846" s="133"/>
      <c r="U846" s="405"/>
      <c r="V846" s="135"/>
      <c r="W846" s="133"/>
      <c r="X846" s="405"/>
      <c r="Y846" s="405"/>
      <c r="Z846" s="135"/>
      <c r="AA846" s="136"/>
      <c r="AB846" s="111"/>
      <c r="AC846" s="226"/>
      <c r="AD846" s="226">
        <f t="shared" si="230"/>
        <v>5597</v>
      </c>
    </row>
    <row r="847" spans="1:30" ht="153.75" outlineLevel="3" thickBot="1" x14ac:dyDescent="0.25">
      <c r="A847" s="199" t="s">
        <v>1745</v>
      </c>
      <c r="B847" s="483"/>
      <c r="C847" s="484"/>
      <c r="D847" s="585"/>
      <c r="E847" s="403" t="s">
        <v>1467</v>
      </c>
      <c r="F847" s="209" t="s">
        <v>1151</v>
      </c>
      <c r="G847" s="405" t="s">
        <v>1448</v>
      </c>
      <c r="H847" s="420" t="s">
        <v>1449</v>
      </c>
      <c r="I847" s="164">
        <v>4</v>
      </c>
      <c r="J847" s="163" t="s">
        <v>438</v>
      </c>
      <c r="K847" s="165" t="s">
        <v>338</v>
      </c>
      <c r="L847" s="138">
        <v>1</v>
      </c>
      <c r="M847" s="166">
        <f t="shared" ref="M847" si="236">I847*L847</f>
        <v>4</v>
      </c>
      <c r="N847" s="133" t="s">
        <v>291</v>
      </c>
      <c r="O847" s="420" t="s">
        <v>1443</v>
      </c>
      <c r="P847" s="138">
        <v>2</v>
      </c>
      <c r="Q847" s="225">
        <f t="shared" si="203"/>
        <v>8</v>
      </c>
      <c r="R847" s="428" t="s">
        <v>1444</v>
      </c>
      <c r="S847" s="428" t="s">
        <v>1445</v>
      </c>
      <c r="T847" s="133"/>
      <c r="U847" s="405"/>
      <c r="V847" s="135"/>
      <c r="W847" s="133"/>
      <c r="X847" s="405"/>
      <c r="Y847" s="405"/>
      <c r="Z847" s="135"/>
      <c r="AA847" s="136"/>
      <c r="AB847" s="111"/>
      <c r="AC847" s="226"/>
      <c r="AD847" s="226">
        <f t="shared" si="230"/>
        <v>11106</v>
      </c>
    </row>
    <row r="848" spans="1:30" ht="294" outlineLevel="3" thickBot="1" x14ac:dyDescent="0.25">
      <c r="A848" s="199" t="s">
        <v>1746</v>
      </c>
      <c r="B848" s="483"/>
      <c r="C848" s="484"/>
      <c r="D848" s="585"/>
      <c r="E848" s="411" t="s">
        <v>1741</v>
      </c>
      <c r="F848" s="208" t="s">
        <v>1317</v>
      </c>
      <c r="G848" s="428" t="s">
        <v>1441</v>
      </c>
      <c r="H848" s="420" t="s">
        <v>1442</v>
      </c>
      <c r="I848" s="164">
        <v>2</v>
      </c>
      <c r="J848" s="163" t="s">
        <v>402</v>
      </c>
      <c r="K848" s="165" t="s">
        <v>338</v>
      </c>
      <c r="L848" s="138">
        <v>1</v>
      </c>
      <c r="M848" s="166">
        <f t="shared" si="202"/>
        <v>2</v>
      </c>
      <c r="N848" s="133" t="s">
        <v>291</v>
      </c>
      <c r="O848" s="420" t="s">
        <v>1443</v>
      </c>
      <c r="P848" s="138">
        <v>2</v>
      </c>
      <c r="Q848" s="225">
        <f t="shared" si="203"/>
        <v>4</v>
      </c>
      <c r="R848" s="428" t="s">
        <v>1444</v>
      </c>
      <c r="S848" s="428" t="s">
        <v>1445</v>
      </c>
      <c r="T848" s="133"/>
      <c r="U848" s="405"/>
      <c r="V848" s="135"/>
      <c r="W848" s="133"/>
      <c r="X848" s="405"/>
      <c r="Y848" s="405"/>
      <c r="Z848" s="135"/>
      <c r="AA848" s="136"/>
      <c r="AB848" s="111"/>
      <c r="AC848" s="226"/>
      <c r="AD848" s="226">
        <f t="shared" si="230"/>
        <v>5598</v>
      </c>
    </row>
    <row r="849" spans="1:32" ht="166.5" outlineLevel="3" thickBot="1" x14ac:dyDescent="0.25">
      <c r="A849" s="199" t="s">
        <v>1747</v>
      </c>
      <c r="B849" s="478"/>
      <c r="C849" s="480"/>
      <c r="D849" s="584"/>
      <c r="E849" s="411" t="s">
        <v>1501</v>
      </c>
      <c r="F849" s="208" t="s">
        <v>1317</v>
      </c>
      <c r="G849" s="405" t="s">
        <v>1448</v>
      </c>
      <c r="H849" s="420" t="s">
        <v>1449</v>
      </c>
      <c r="I849" s="164">
        <v>4</v>
      </c>
      <c r="J849" s="163" t="s">
        <v>402</v>
      </c>
      <c r="K849" s="165" t="s">
        <v>338</v>
      </c>
      <c r="L849" s="138">
        <v>1</v>
      </c>
      <c r="M849" s="166">
        <f t="shared" si="202"/>
        <v>4</v>
      </c>
      <c r="N849" s="133" t="s">
        <v>291</v>
      </c>
      <c r="O849" s="420" t="s">
        <v>1443</v>
      </c>
      <c r="P849" s="138">
        <v>2</v>
      </c>
      <c r="Q849" s="225">
        <f t="shared" ref="Q849" si="237">I849*L849*P849</f>
        <v>8</v>
      </c>
      <c r="R849" s="428" t="s">
        <v>1444</v>
      </c>
      <c r="S849" s="428" t="s">
        <v>1445</v>
      </c>
      <c r="T849" s="133"/>
      <c r="U849" s="405"/>
      <c r="V849" s="135"/>
      <c r="W849" s="133"/>
      <c r="X849" s="405"/>
      <c r="Y849" s="405"/>
      <c r="Z849" s="135"/>
      <c r="AA849" s="136">
        <f>X849*Y849*Z849</f>
        <v>0</v>
      </c>
      <c r="AB849" s="111"/>
      <c r="AC849" s="226"/>
      <c r="AD849" s="226">
        <f t="shared" si="230"/>
        <v>11107</v>
      </c>
    </row>
    <row r="850" spans="1:32" ht="128.25" outlineLevel="3" thickBot="1" x14ac:dyDescent="0.25">
      <c r="A850" s="199" t="s">
        <v>1748</v>
      </c>
      <c r="B850" s="477" t="s">
        <v>704</v>
      </c>
      <c r="C850" s="479" t="s">
        <v>716</v>
      </c>
      <c r="D850" s="477" t="s">
        <v>706</v>
      </c>
      <c r="E850" s="207" t="s">
        <v>275</v>
      </c>
      <c r="F850" s="207" t="s">
        <v>707</v>
      </c>
      <c r="G850" s="405" t="s">
        <v>1436</v>
      </c>
      <c r="H850" s="127" t="s">
        <v>238</v>
      </c>
      <c r="I850" s="128">
        <v>1</v>
      </c>
      <c r="J850" s="163" t="s">
        <v>277</v>
      </c>
      <c r="K850" s="130" t="s">
        <v>338</v>
      </c>
      <c r="L850" s="131">
        <v>1</v>
      </c>
      <c r="M850" s="132">
        <f t="shared" si="202"/>
        <v>1</v>
      </c>
      <c r="N850" s="133" t="s">
        <v>291</v>
      </c>
      <c r="O850" s="69" t="s">
        <v>242</v>
      </c>
      <c r="P850" s="131">
        <v>5</v>
      </c>
      <c r="Q850" s="134">
        <f t="shared" si="203"/>
        <v>5</v>
      </c>
      <c r="R850" s="428"/>
      <c r="S850" s="428"/>
      <c r="T850" s="133"/>
      <c r="U850" s="405"/>
      <c r="V850" s="135"/>
      <c r="W850" s="133"/>
      <c r="X850" s="405"/>
      <c r="Y850" s="405"/>
      <c r="Z850" s="135"/>
      <c r="AA850" s="136">
        <f t="shared" ref="AA850:AA909" si="238">X850*Y850*Z850</f>
        <v>0</v>
      </c>
      <c r="AB850" s="111"/>
      <c r="AC850" s="226"/>
      <c r="AD850" s="226">
        <f t="shared" si="230"/>
        <v>5599</v>
      </c>
    </row>
    <row r="851" spans="1:32" s="242" customFormat="1" ht="294" outlineLevel="3" thickBot="1" x14ac:dyDescent="0.25">
      <c r="A851" s="199" t="s">
        <v>1749</v>
      </c>
      <c r="B851" s="483"/>
      <c r="C851" s="484"/>
      <c r="D851" s="585"/>
      <c r="E851" s="411" t="s">
        <v>1677</v>
      </c>
      <c r="F851" s="208" t="s">
        <v>1314</v>
      </c>
      <c r="G851" s="428" t="s">
        <v>1441</v>
      </c>
      <c r="H851" s="420" t="s">
        <v>1442</v>
      </c>
      <c r="I851" s="164">
        <v>2</v>
      </c>
      <c r="J851" s="163" t="s">
        <v>412</v>
      </c>
      <c r="K851" s="165" t="s">
        <v>338</v>
      </c>
      <c r="L851" s="138">
        <v>1</v>
      </c>
      <c r="M851" s="166">
        <f t="shared" si="202"/>
        <v>2</v>
      </c>
      <c r="N851" s="133" t="s">
        <v>291</v>
      </c>
      <c r="O851" s="420" t="s">
        <v>1443</v>
      </c>
      <c r="P851" s="138">
        <v>2</v>
      </c>
      <c r="Q851" s="225">
        <f t="shared" si="203"/>
        <v>4</v>
      </c>
      <c r="R851" s="428" t="s">
        <v>1444</v>
      </c>
      <c r="S851" s="428" t="s">
        <v>1445</v>
      </c>
      <c r="T851" s="133"/>
      <c r="U851" s="405"/>
      <c r="V851" s="135"/>
      <c r="W851" s="133"/>
      <c r="X851" s="405"/>
      <c r="Y851" s="405"/>
      <c r="Z851" s="135"/>
      <c r="AA851" s="136"/>
      <c r="AB851" s="111"/>
      <c r="AC851" s="239"/>
      <c r="AD851" s="226">
        <f t="shared" si="230"/>
        <v>5600</v>
      </c>
      <c r="AE851" s="239"/>
      <c r="AF851" s="346"/>
    </row>
    <row r="852" spans="1:32" ht="153.75" outlineLevel="3" thickBot="1" x14ac:dyDescent="0.25">
      <c r="A852" s="199" t="s">
        <v>1750</v>
      </c>
      <c r="B852" s="478"/>
      <c r="C852" s="480"/>
      <c r="D852" s="584"/>
      <c r="E852" s="403" t="s">
        <v>1679</v>
      </c>
      <c r="F852" s="209" t="s">
        <v>1314</v>
      </c>
      <c r="G852" s="405" t="s">
        <v>1448</v>
      </c>
      <c r="H852" s="420" t="s">
        <v>1449</v>
      </c>
      <c r="I852" s="164">
        <v>4</v>
      </c>
      <c r="J852" s="163" t="s">
        <v>412</v>
      </c>
      <c r="K852" s="165" t="s">
        <v>338</v>
      </c>
      <c r="L852" s="138">
        <v>1</v>
      </c>
      <c r="M852" s="166">
        <f t="shared" ref="M852:M860" si="239">I852*L852</f>
        <v>4</v>
      </c>
      <c r="N852" s="133" t="s">
        <v>291</v>
      </c>
      <c r="O852" s="420" t="s">
        <v>1443</v>
      </c>
      <c r="P852" s="138">
        <v>2</v>
      </c>
      <c r="Q852" s="225">
        <f t="shared" si="203"/>
        <v>8</v>
      </c>
      <c r="R852" s="428" t="s">
        <v>1444</v>
      </c>
      <c r="S852" s="428" t="s">
        <v>1445</v>
      </c>
      <c r="T852" s="133"/>
      <c r="U852" s="405"/>
      <c r="V852" s="135"/>
      <c r="W852" s="133"/>
      <c r="X852" s="405"/>
      <c r="Y852" s="405"/>
      <c r="Z852" s="135"/>
      <c r="AA852" s="136">
        <f t="shared" ref="AA852" si="240">X852*Y852*Z852</f>
        <v>0</v>
      </c>
      <c r="AB852" s="111"/>
      <c r="AC852" s="226"/>
      <c r="AD852" s="226">
        <f t="shared" si="230"/>
        <v>11108</v>
      </c>
    </row>
    <row r="853" spans="1:32" s="239" customFormat="1" ht="128.25" outlineLevel="3" thickBot="1" x14ac:dyDescent="0.25">
      <c r="A853" s="201" t="s">
        <v>1751</v>
      </c>
      <c r="B853" s="506" t="s">
        <v>718</v>
      </c>
      <c r="C853" s="507" t="s">
        <v>719</v>
      </c>
      <c r="D853" s="506" t="s">
        <v>720</v>
      </c>
      <c r="E853" s="411" t="s">
        <v>352</v>
      </c>
      <c r="F853" s="405" t="s">
        <v>721</v>
      </c>
      <c r="G853" s="405" t="s">
        <v>1436</v>
      </c>
      <c r="H853" s="420" t="s">
        <v>238</v>
      </c>
      <c r="I853" s="164">
        <v>1</v>
      </c>
      <c r="J853" s="411" t="s">
        <v>302</v>
      </c>
      <c r="K853" s="165" t="s">
        <v>338</v>
      </c>
      <c r="L853" s="411">
        <v>1</v>
      </c>
      <c r="M853" s="166">
        <f t="shared" si="239"/>
        <v>1</v>
      </c>
      <c r="N853" s="133" t="s">
        <v>303</v>
      </c>
      <c r="O853" s="420" t="s">
        <v>242</v>
      </c>
      <c r="P853" s="138">
        <v>5</v>
      </c>
      <c r="Q853" s="225">
        <f t="shared" ref="Q853:Q859" si="241">P853*L853*I853</f>
        <v>5</v>
      </c>
      <c r="R853" s="428"/>
      <c r="S853" s="428"/>
      <c r="T853" s="133"/>
      <c r="U853" s="405"/>
      <c r="V853" s="135"/>
      <c r="W853" s="133"/>
      <c r="X853" s="405"/>
      <c r="Y853" s="405"/>
      <c r="Z853" s="135"/>
      <c r="AA853" s="136"/>
      <c r="AB853" s="111"/>
      <c r="AD853" s="226">
        <f t="shared" si="230"/>
        <v>11109</v>
      </c>
    </row>
    <row r="854" spans="1:32" ht="128.25" outlineLevel="3" thickBot="1" x14ac:dyDescent="0.25">
      <c r="A854" s="198" t="s">
        <v>1752</v>
      </c>
      <c r="B854" s="506"/>
      <c r="C854" s="507"/>
      <c r="D854" s="506"/>
      <c r="E854" s="411" t="s">
        <v>355</v>
      </c>
      <c r="F854" s="405" t="s">
        <v>721</v>
      </c>
      <c r="G854" s="405" t="s">
        <v>1436</v>
      </c>
      <c r="H854" s="420" t="s">
        <v>238</v>
      </c>
      <c r="I854" s="164">
        <v>1</v>
      </c>
      <c r="J854" s="411" t="s">
        <v>307</v>
      </c>
      <c r="K854" s="165" t="s">
        <v>338</v>
      </c>
      <c r="L854" s="411">
        <v>1</v>
      </c>
      <c r="M854" s="166">
        <f t="shared" si="239"/>
        <v>1</v>
      </c>
      <c r="N854" s="133" t="s">
        <v>303</v>
      </c>
      <c r="O854" s="420" t="s">
        <v>242</v>
      </c>
      <c r="P854" s="138">
        <v>5</v>
      </c>
      <c r="Q854" s="225">
        <f t="shared" si="241"/>
        <v>5</v>
      </c>
      <c r="R854" s="428"/>
      <c r="S854" s="428"/>
      <c r="T854" s="133"/>
      <c r="U854" s="405"/>
      <c r="V854" s="135"/>
      <c r="W854" s="133"/>
      <c r="X854" s="405"/>
      <c r="Y854" s="405"/>
      <c r="Z854" s="135"/>
      <c r="AA854" s="136">
        <f t="shared" ref="AA854" si="242">X854*Y854*Z854</f>
        <v>0</v>
      </c>
      <c r="AB854" s="111"/>
      <c r="AC854" s="226"/>
      <c r="AD854" s="226">
        <f t="shared" si="230"/>
        <v>11110</v>
      </c>
    </row>
    <row r="855" spans="1:32" s="242" customFormat="1" ht="128.25" outlineLevel="3" thickBot="1" x14ac:dyDescent="0.25">
      <c r="A855" s="201" t="s">
        <v>1753</v>
      </c>
      <c r="B855" s="506" t="s">
        <v>724</v>
      </c>
      <c r="C855" s="507" t="s">
        <v>725</v>
      </c>
      <c r="D855" s="506" t="s">
        <v>726</v>
      </c>
      <c r="E855" s="411" t="s">
        <v>437</v>
      </c>
      <c r="F855" s="405" t="s">
        <v>721</v>
      </c>
      <c r="G855" s="405" t="s">
        <v>1436</v>
      </c>
      <c r="H855" s="420" t="s">
        <v>238</v>
      </c>
      <c r="I855" s="164">
        <v>1</v>
      </c>
      <c r="J855" s="411" t="s">
        <v>302</v>
      </c>
      <c r="K855" s="165" t="s">
        <v>338</v>
      </c>
      <c r="L855" s="411">
        <v>1</v>
      </c>
      <c r="M855" s="166">
        <f t="shared" si="239"/>
        <v>1</v>
      </c>
      <c r="N855" s="133" t="s">
        <v>303</v>
      </c>
      <c r="O855" s="420" t="s">
        <v>242</v>
      </c>
      <c r="P855" s="138">
        <v>5</v>
      </c>
      <c r="Q855" s="225">
        <f t="shared" si="241"/>
        <v>5</v>
      </c>
      <c r="R855" s="428"/>
      <c r="S855" s="428"/>
      <c r="T855" s="133"/>
      <c r="U855" s="405"/>
      <c r="V855" s="135"/>
      <c r="W855" s="133"/>
      <c r="X855" s="405"/>
      <c r="Y855" s="405"/>
      <c r="Z855" s="135"/>
      <c r="AA855" s="136"/>
      <c r="AB855" s="111"/>
      <c r="AC855" s="239"/>
      <c r="AD855" s="226">
        <f t="shared" si="230"/>
        <v>11111</v>
      </c>
      <c r="AE855" s="239"/>
      <c r="AF855" s="346"/>
    </row>
    <row r="856" spans="1:32" ht="128.25" outlineLevel="3" thickBot="1" x14ac:dyDescent="0.25">
      <c r="A856" s="198" t="s">
        <v>1754</v>
      </c>
      <c r="B856" s="506"/>
      <c r="C856" s="507"/>
      <c r="D856" s="506"/>
      <c r="E856" s="411" t="s">
        <v>440</v>
      </c>
      <c r="F856" s="405" t="s">
        <v>721</v>
      </c>
      <c r="G856" s="405" t="s">
        <v>1436</v>
      </c>
      <c r="H856" s="420" t="s">
        <v>238</v>
      </c>
      <c r="I856" s="164">
        <v>1</v>
      </c>
      <c r="J856" s="411" t="s">
        <v>307</v>
      </c>
      <c r="K856" s="165" t="s">
        <v>338</v>
      </c>
      <c r="L856" s="411">
        <v>1</v>
      </c>
      <c r="M856" s="166">
        <f t="shared" si="239"/>
        <v>1</v>
      </c>
      <c r="N856" s="133" t="s">
        <v>303</v>
      </c>
      <c r="O856" s="420" t="s">
        <v>242</v>
      </c>
      <c r="P856" s="138">
        <v>5</v>
      </c>
      <c r="Q856" s="225">
        <f t="shared" si="241"/>
        <v>5</v>
      </c>
      <c r="R856" s="428"/>
      <c r="S856" s="428"/>
      <c r="T856" s="133"/>
      <c r="U856" s="405"/>
      <c r="V856" s="135"/>
      <c r="W856" s="133"/>
      <c r="X856" s="405"/>
      <c r="Y856" s="405"/>
      <c r="Z856" s="135"/>
      <c r="AA856" s="136">
        <f t="shared" ref="AA856" si="243">X856*Y856*Z856</f>
        <v>0</v>
      </c>
      <c r="AB856" s="111"/>
      <c r="AC856" s="226"/>
      <c r="AD856" s="226">
        <f t="shared" si="230"/>
        <v>11112</v>
      </c>
    </row>
    <row r="857" spans="1:32" s="239" customFormat="1" ht="166.5" outlineLevel="3" thickBot="1" x14ac:dyDescent="0.25">
      <c r="A857" s="201" t="s">
        <v>1755</v>
      </c>
      <c r="B857" s="477" t="s">
        <v>729</v>
      </c>
      <c r="C857" s="479" t="s">
        <v>730</v>
      </c>
      <c r="D857" s="477" t="s">
        <v>731</v>
      </c>
      <c r="E857" s="411" t="s">
        <v>352</v>
      </c>
      <c r="F857" s="411" t="s">
        <v>441</v>
      </c>
      <c r="G857" s="405" t="s">
        <v>1436</v>
      </c>
      <c r="H857" s="420" t="s">
        <v>1442</v>
      </c>
      <c r="I857" s="164">
        <v>2</v>
      </c>
      <c r="J857" s="411" t="s">
        <v>302</v>
      </c>
      <c r="K857" s="165" t="s">
        <v>338</v>
      </c>
      <c r="L857" s="411">
        <v>1</v>
      </c>
      <c r="M857" s="166">
        <f t="shared" si="239"/>
        <v>2</v>
      </c>
      <c r="N857" s="133" t="s">
        <v>303</v>
      </c>
      <c r="O857" s="420" t="s">
        <v>242</v>
      </c>
      <c r="P857" s="138">
        <v>5</v>
      </c>
      <c r="Q857" s="225">
        <f t="shared" si="241"/>
        <v>10</v>
      </c>
      <c r="R857" s="428"/>
      <c r="S857" s="428"/>
      <c r="T857" s="133"/>
      <c r="U857" s="405"/>
      <c r="V857" s="135"/>
      <c r="W857" s="133"/>
      <c r="X857" s="405"/>
      <c r="Y857" s="405"/>
      <c r="Z857" s="135"/>
      <c r="AA857" s="136"/>
      <c r="AB857" s="111"/>
      <c r="AD857" s="226">
        <f t="shared" si="230"/>
        <v>11113</v>
      </c>
    </row>
    <row r="858" spans="1:32" ht="128.25" outlineLevel="3" thickBot="1" x14ac:dyDescent="0.25">
      <c r="A858" s="200" t="s">
        <v>1756</v>
      </c>
      <c r="B858" s="483"/>
      <c r="C858" s="484"/>
      <c r="D858" s="483"/>
      <c r="E858" s="413" t="s">
        <v>1688</v>
      </c>
      <c r="F858" s="147" t="s">
        <v>441</v>
      </c>
      <c r="G858" s="414" t="s">
        <v>1436</v>
      </c>
      <c r="H858" s="336" t="s">
        <v>238</v>
      </c>
      <c r="I858" s="177">
        <v>1</v>
      </c>
      <c r="J858" s="147" t="s">
        <v>302</v>
      </c>
      <c r="K858" s="178" t="s">
        <v>338</v>
      </c>
      <c r="L858" s="179">
        <v>1</v>
      </c>
      <c r="M858" s="180">
        <f t="shared" ref="M858" si="244">I858*L858</f>
        <v>1</v>
      </c>
      <c r="N858" s="154" t="s">
        <v>303</v>
      </c>
      <c r="O858" s="336" t="s">
        <v>242</v>
      </c>
      <c r="P858" s="179">
        <v>5</v>
      </c>
      <c r="Q858" s="343">
        <f t="shared" ref="Q858" si="245">I858*L858*P858</f>
        <v>5</v>
      </c>
      <c r="R858" s="428"/>
      <c r="S858" s="428"/>
      <c r="T858" s="133"/>
      <c r="U858" s="405"/>
      <c r="V858" s="135"/>
      <c r="W858" s="133"/>
      <c r="X858" s="405"/>
      <c r="Y858" s="405"/>
      <c r="Z858" s="135"/>
      <c r="AA858" s="136">
        <f t="shared" ref="AA858" si="246">X858*Y858*Z858</f>
        <v>0</v>
      </c>
      <c r="AB858" s="111"/>
      <c r="AC858" s="226"/>
      <c r="AD858" s="226">
        <f t="shared" si="230"/>
        <v>11114</v>
      </c>
    </row>
    <row r="859" spans="1:32" s="242" customFormat="1" ht="294" outlineLevel="3" thickBot="1" x14ac:dyDescent="0.25">
      <c r="A859" s="198" t="s">
        <v>1757</v>
      </c>
      <c r="B859" s="483"/>
      <c r="C859" s="484"/>
      <c r="D859" s="483"/>
      <c r="E859" s="411" t="s">
        <v>355</v>
      </c>
      <c r="F859" s="411" t="s">
        <v>733</v>
      </c>
      <c r="G859" s="405" t="s">
        <v>1441</v>
      </c>
      <c r="H859" s="420" t="s">
        <v>1442</v>
      </c>
      <c r="I859" s="164">
        <v>2</v>
      </c>
      <c r="J859" s="411" t="s">
        <v>307</v>
      </c>
      <c r="K859" s="165" t="s">
        <v>338</v>
      </c>
      <c r="L859" s="411">
        <v>1</v>
      </c>
      <c r="M859" s="166">
        <f t="shared" si="239"/>
        <v>2</v>
      </c>
      <c r="N859" s="133" t="s">
        <v>303</v>
      </c>
      <c r="O859" s="420" t="s">
        <v>1443</v>
      </c>
      <c r="P859" s="138">
        <v>2</v>
      </c>
      <c r="Q859" s="225">
        <f t="shared" si="241"/>
        <v>4</v>
      </c>
      <c r="R859" s="428" t="s">
        <v>1444</v>
      </c>
      <c r="S859" s="428" t="s">
        <v>1445</v>
      </c>
      <c r="T859" s="133"/>
      <c r="U859" s="405"/>
      <c r="V859" s="135"/>
      <c r="W859" s="133"/>
      <c r="X859" s="405"/>
      <c r="Y859" s="405"/>
      <c r="Z859" s="135"/>
      <c r="AA859" s="136"/>
      <c r="AB859" s="111"/>
      <c r="AC859" s="239"/>
      <c r="AD859" s="226">
        <f t="shared" si="230"/>
        <v>11115</v>
      </c>
      <c r="AE859" s="239"/>
      <c r="AF859" s="346"/>
    </row>
    <row r="860" spans="1:32" ht="153.75" outlineLevel="3" thickBot="1" x14ac:dyDescent="0.25">
      <c r="A860" s="198" t="s">
        <v>1758</v>
      </c>
      <c r="B860" s="478"/>
      <c r="C860" s="480"/>
      <c r="D860" s="478"/>
      <c r="E860" s="403" t="s">
        <v>1691</v>
      </c>
      <c r="F860" s="411" t="s">
        <v>733</v>
      </c>
      <c r="G860" s="405" t="s">
        <v>1448</v>
      </c>
      <c r="H860" s="420" t="s">
        <v>1449</v>
      </c>
      <c r="I860" s="164">
        <v>4</v>
      </c>
      <c r="J860" s="411" t="s">
        <v>307</v>
      </c>
      <c r="K860" s="165" t="s">
        <v>338</v>
      </c>
      <c r="L860" s="138">
        <v>1</v>
      </c>
      <c r="M860" s="166">
        <f t="shared" si="239"/>
        <v>4</v>
      </c>
      <c r="N860" s="133" t="s">
        <v>303</v>
      </c>
      <c r="O860" s="420" t="s">
        <v>1443</v>
      </c>
      <c r="P860" s="138">
        <v>2</v>
      </c>
      <c r="Q860" s="225">
        <f t="shared" ref="Q860" si="247">I860*L860*P860</f>
        <v>8</v>
      </c>
      <c r="R860" s="428" t="s">
        <v>1444</v>
      </c>
      <c r="S860" s="428" t="s">
        <v>1445</v>
      </c>
      <c r="T860" s="133"/>
      <c r="U860" s="405"/>
      <c r="V860" s="135"/>
      <c r="W860" s="133"/>
      <c r="X860" s="405"/>
      <c r="Y860" s="405"/>
      <c r="Z860" s="135"/>
      <c r="AA860" s="136">
        <f t="shared" ref="AA860" si="248">X860*Y860*Z860</f>
        <v>0</v>
      </c>
      <c r="AB860" s="111"/>
      <c r="AC860" s="226"/>
      <c r="AD860" s="226">
        <f t="shared" si="230"/>
        <v>11116</v>
      </c>
    </row>
    <row r="861" spans="1:32" s="239" customFormat="1" ht="294" outlineLevel="3" thickBot="1" x14ac:dyDescent="0.25">
      <c r="A861" s="199" t="s">
        <v>1759</v>
      </c>
      <c r="B861" s="477" t="s">
        <v>765</v>
      </c>
      <c r="C861" s="479" t="s">
        <v>766</v>
      </c>
      <c r="D861" s="583" t="s">
        <v>767</v>
      </c>
      <c r="E861" s="411" t="s">
        <v>1760</v>
      </c>
      <c r="F861" s="208" t="s">
        <v>1162</v>
      </c>
      <c r="G861" s="428" t="s">
        <v>1441</v>
      </c>
      <c r="H861" s="420" t="s">
        <v>1442</v>
      </c>
      <c r="I861" s="164">
        <v>2</v>
      </c>
      <c r="J861" s="163" t="s">
        <v>770</v>
      </c>
      <c r="K861" s="165" t="s">
        <v>338</v>
      </c>
      <c r="L861" s="138">
        <v>1</v>
      </c>
      <c r="M861" s="166">
        <f t="shared" si="202"/>
        <v>2</v>
      </c>
      <c r="N861" s="133" t="s">
        <v>291</v>
      </c>
      <c r="O861" s="420" t="s">
        <v>1443</v>
      </c>
      <c r="P861" s="138">
        <v>2</v>
      </c>
      <c r="Q861" s="225">
        <f t="shared" si="203"/>
        <v>4</v>
      </c>
      <c r="R861" s="428" t="s">
        <v>1444</v>
      </c>
      <c r="S861" s="428" t="s">
        <v>1445</v>
      </c>
      <c r="T861" s="133"/>
      <c r="U861" s="405"/>
      <c r="V861" s="135"/>
      <c r="W861" s="133"/>
      <c r="X861" s="405"/>
      <c r="Y861" s="405"/>
      <c r="Z861" s="135"/>
      <c r="AA861" s="136"/>
      <c r="AB861" s="111"/>
      <c r="AD861" s="226">
        <f t="shared" si="230"/>
        <v>5601</v>
      </c>
    </row>
    <row r="862" spans="1:32" ht="153.75" outlineLevel="3" thickBot="1" x14ac:dyDescent="0.25">
      <c r="A862" s="199" t="s">
        <v>1761</v>
      </c>
      <c r="B862" s="478"/>
      <c r="C862" s="480"/>
      <c r="D862" s="584"/>
      <c r="E862" s="403" t="s">
        <v>1762</v>
      </c>
      <c r="F862" s="209" t="s">
        <v>1162</v>
      </c>
      <c r="G862" s="405" t="s">
        <v>1448</v>
      </c>
      <c r="H862" s="420" t="s">
        <v>1449</v>
      </c>
      <c r="I862" s="164">
        <v>4</v>
      </c>
      <c r="J862" s="163" t="s">
        <v>770</v>
      </c>
      <c r="K862" s="165" t="s">
        <v>338</v>
      </c>
      <c r="L862" s="138">
        <v>1</v>
      </c>
      <c r="M862" s="166">
        <f t="shared" si="202"/>
        <v>4</v>
      </c>
      <c r="N862" s="133" t="s">
        <v>291</v>
      </c>
      <c r="O862" s="420" t="s">
        <v>1443</v>
      </c>
      <c r="P862" s="138">
        <v>2</v>
      </c>
      <c r="Q862" s="225">
        <f t="shared" ref="Q862:Q878" si="249">I862*L862*P862</f>
        <v>8</v>
      </c>
      <c r="R862" s="428" t="s">
        <v>1444</v>
      </c>
      <c r="S862" s="428" t="s">
        <v>1445</v>
      </c>
      <c r="T862" s="133"/>
      <c r="U862" s="405"/>
      <c r="V862" s="135"/>
      <c r="W862" s="133"/>
      <c r="X862" s="405"/>
      <c r="Y862" s="405"/>
      <c r="Z862" s="135"/>
      <c r="AA862" s="136">
        <f t="shared" ref="AA862" si="250">X862*Y862*Z862</f>
        <v>0</v>
      </c>
      <c r="AB862" s="111"/>
      <c r="AC862" s="226"/>
      <c r="AD862" s="226">
        <f t="shared" si="230"/>
        <v>11117</v>
      </c>
    </row>
    <row r="863" spans="1:32" s="242" customFormat="1" ht="294" outlineLevel="3" thickBot="1" x14ac:dyDescent="0.25">
      <c r="A863" s="387" t="s">
        <v>1763</v>
      </c>
      <c r="B863" s="477" t="s">
        <v>735</v>
      </c>
      <c r="C863" s="479" t="s">
        <v>736</v>
      </c>
      <c r="D863" s="477" t="s">
        <v>737</v>
      </c>
      <c r="E863" s="411" t="s">
        <v>235</v>
      </c>
      <c r="F863" s="411" t="s">
        <v>738</v>
      </c>
      <c r="G863" s="428" t="s">
        <v>1441</v>
      </c>
      <c r="H863" s="420" t="s">
        <v>1442</v>
      </c>
      <c r="I863" s="405">
        <v>2</v>
      </c>
      <c r="J863" s="405" t="s">
        <v>239</v>
      </c>
      <c r="K863" s="165" t="s">
        <v>338</v>
      </c>
      <c r="L863" s="405">
        <v>1</v>
      </c>
      <c r="M863" s="231">
        <f t="shared" si="202"/>
        <v>2</v>
      </c>
      <c r="N863" s="232" t="s">
        <v>241</v>
      </c>
      <c r="O863" s="420" t="s">
        <v>1443</v>
      </c>
      <c r="P863" s="138">
        <v>2</v>
      </c>
      <c r="Q863" s="235">
        <f t="shared" si="249"/>
        <v>4</v>
      </c>
      <c r="R863" s="428" t="s">
        <v>1444</v>
      </c>
      <c r="S863" s="428" t="s">
        <v>1445</v>
      </c>
      <c r="T863" s="133"/>
      <c r="U863" s="405"/>
      <c r="V863" s="135"/>
      <c r="W863" s="133"/>
      <c r="X863" s="405"/>
      <c r="Y863" s="405"/>
      <c r="Z863" s="135"/>
      <c r="AA863" s="136"/>
      <c r="AB863" s="111"/>
      <c r="AC863" s="239"/>
      <c r="AD863" s="226">
        <f t="shared" si="230"/>
        <v>11435</v>
      </c>
      <c r="AE863" s="239"/>
      <c r="AF863" s="346"/>
    </row>
    <row r="864" spans="1:32" ht="153.75" outlineLevel="3" thickBot="1" x14ac:dyDescent="0.25">
      <c r="A864" s="199" t="s">
        <v>1764</v>
      </c>
      <c r="B864" s="577"/>
      <c r="C864" s="502"/>
      <c r="D864" s="577"/>
      <c r="E864" s="403" t="s">
        <v>1765</v>
      </c>
      <c r="F864" s="410" t="s">
        <v>738</v>
      </c>
      <c r="G864" s="405" t="s">
        <v>1448</v>
      </c>
      <c r="H864" s="420" t="s">
        <v>1449</v>
      </c>
      <c r="I864" s="164">
        <v>4</v>
      </c>
      <c r="J864" s="409" t="s">
        <v>239</v>
      </c>
      <c r="K864" s="165" t="s">
        <v>338</v>
      </c>
      <c r="L864" s="138">
        <v>1</v>
      </c>
      <c r="M864" s="166">
        <f t="shared" si="202"/>
        <v>4</v>
      </c>
      <c r="N864" s="133" t="s">
        <v>291</v>
      </c>
      <c r="O864" s="420" t="s">
        <v>1443</v>
      </c>
      <c r="P864" s="138">
        <v>2</v>
      </c>
      <c r="Q864" s="225">
        <f t="shared" si="249"/>
        <v>8</v>
      </c>
      <c r="R864" s="428" t="s">
        <v>1444</v>
      </c>
      <c r="S864" s="428" t="s">
        <v>1445</v>
      </c>
      <c r="T864" s="133"/>
      <c r="U864" s="405"/>
      <c r="V864" s="135"/>
      <c r="W864" s="133"/>
      <c r="X864" s="405"/>
      <c r="Y864" s="405"/>
      <c r="Z864" s="135"/>
      <c r="AA864" s="136">
        <f t="shared" ref="AA864" si="251">X864*Y864*Z864</f>
        <v>0</v>
      </c>
      <c r="AB864" s="111"/>
      <c r="AC864" s="226"/>
      <c r="AD864" s="226">
        <f t="shared" si="230"/>
        <v>11436</v>
      </c>
    </row>
    <row r="865" spans="1:31" s="239" customFormat="1" ht="294" outlineLevel="3" thickBot="1" x14ac:dyDescent="0.25">
      <c r="A865" s="230" t="s">
        <v>1766</v>
      </c>
      <c r="B865" s="577"/>
      <c r="C865" s="502"/>
      <c r="D865" s="577"/>
      <c r="E865" s="410" t="s">
        <v>740</v>
      </c>
      <c r="F865" s="410" t="s">
        <v>741</v>
      </c>
      <c r="G865" s="428" t="s">
        <v>1441</v>
      </c>
      <c r="H865" s="420" t="s">
        <v>1442</v>
      </c>
      <c r="I865" s="410">
        <v>2</v>
      </c>
      <c r="J865" s="410" t="s">
        <v>742</v>
      </c>
      <c r="K865" s="165" t="s">
        <v>338</v>
      </c>
      <c r="L865" s="410">
        <v>1</v>
      </c>
      <c r="M865" s="231">
        <f t="shared" si="202"/>
        <v>2</v>
      </c>
      <c r="N865" s="232" t="s">
        <v>241</v>
      </c>
      <c r="O865" s="420" t="s">
        <v>1443</v>
      </c>
      <c r="P865" s="138">
        <v>2</v>
      </c>
      <c r="Q865" s="235">
        <f t="shared" si="249"/>
        <v>4</v>
      </c>
      <c r="R865" s="428" t="s">
        <v>1444</v>
      </c>
      <c r="S865" s="428" t="s">
        <v>1445</v>
      </c>
      <c r="T865" s="133"/>
      <c r="U865" s="405"/>
      <c r="V865" s="135"/>
      <c r="W865" s="133"/>
      <c r="X865" s="405"/>
      <c r="Y865" s="405"/>
      <c r="Z865" s="135"/>
      <c r="AA865" s="136"/>
      <c r="AB865" s="111"/>
      <c r="AD865" s="226">
        <f t="shared" si="230"/>
        <v>11437</v>
      </c>
    </row>
    <row r="866" spans="1:31" ht="153.75" outlineLevel="3" thickBot="1" x14ac:dyDescent="0.25">
      <c r="A866" s="199" t="s">
        <v>1767</v>
      </c>
      <c r="B866" s="493"/>
      <c r="C866" s="495"/>
      <c r="D866" s="493"/>
      <c r="E866" s="403" t="s">
        <v>1768</v>
      </c>
      <c r="F866" s="410" t="s">
        <v>741</v>
      </c>
      <c r="G866" s="405" t="s">
        <v>1448</v>
      </c>
      <c r="H866" s="420" t="s">
        <v>1449</v>
      </c>
      <c r="I866" s="164">
        <v>4</v>
      </c>
      <c r="J866" s="410" t="s">
        <v>742</v>
      </c>
      <c r="K866" s="165" t="s">
        <v>338</v>
      </c>
      <c r="L866" s="138">
        <v>1</v>
      </c>
      <c r="M866" s="166">
        <f t="shared" ref="M866" si="252">I866*L866</f>
        <v>4</v>
      </c>
      <c r="N866" s="133" t="s">
        <v>291</v>
      </c>
      <c r="O866" s="420" t="s">
        <v>1443</v>
      </c>
      <c r="P866" s="138">
        <v>2</v>
      </c>
      <c r="Q866" s="225">
        <f t="shared" ref="Q866" si="253">I866*L866*P866</f>
        <v>8</v>
      </c>
      <c r="R866" s="428" t="s">
        <v>1444</v>
      </c>
      <c r="S866" s="428" t="s">
        <v>1445</v>
      </c>
      <c r="T866" s="133"/>
      <c r="U866" s="405"/>
      <c r="V866" s="135"/>
      <c r="W866" s="133"/>
      <c r="X866" s="405"/>
      <c r="Y866" s="405"/>
      <c r="Z866" s="135"/>
      <c r="AA866" s="136">
        <f t="shared" ref="AA866" si="254">X866*Y866*Z866</f>
        <v>0</v>
      </c>
      <c r="AB866" s="111"/>
      <c r="AC866" s="226"/>
      <c r="AD866" s="226">
        <f t="shared" si="230"/>
        <v>11438</v>
      </c>
    </row>
    <row r="867" spans="1:31" ht="294" outlineLevel="3" thickBot="1" x14ac:dyDescent="0.25">
      <c r="A867" s="240" t="s">
        <v>1769</v>
      </c>
      <c r="B867" s="492" t="s">
        <v>744</v>
      </c>
      <c r="C867" s="494" t="s">
        <v>745</v>
      </c>
      <c r="D867" s="492" t="s">
        <v>746</v>
      </c>
      <c r="E867" s="410" t="s">
        <v>235</v>
      </c>
      <c r="F867" s="409" t="s">
        <v>747</v>
      </c>
      <c r="G867" s="428" t="s">
        <v>1441</v>
      </c>
      <c r="H867" s="420" t="s">
        <v>1442</v>
      </c>
      <c r="I867" s="409">
        <v>2</v>
      </c>
      <c r="J867" s="409" t="s">
        <v>239</v>
      </c>
      <c r="K867" s="165" t="s">
        <v>338</v>
      </c>
      <c r="L867" s="409">
        <v>1</v>
      </c>
      <c r="M867" s="231">
        <f t="shared" si="202"/>
        <v>2</v>
      </c>
      <c r="N867" s="232" t="s">
        <v>241</v>
      </c>
      <c r="O867" s="420" t="s">
        <v>1443</v>
      </c>
      <c r="P867" s="138">
        <v>2</v>
      </c>
      <c r="Q867" s="235">
        <f t="shared" si="249"/>
        <v>4</v>
      </c>
      <c r="R867" s="428" t="s">
        <v>1444</v>
      </c>
      <c r="S867" s="428" t="s">
        <v>1445</v>
      </c>
      <c r="T867" s="133"/>
      <c r="U867" s="405"/>
      <c r="V867" s="135"/>
      <c r="W867" s="133"/>
      <c r="X867" s="405"/>
      <c r="Y867" s="405"/>
      <c r="Z867" s="135"/>
      <c r="AA867" s="136"/>
      <c r="AB867" s="111"/>
      <c r="AC867" s="226"/>
      <c r="AD867" s="226">
        <f t="shared" si="230"/>
        <v>11439</v>
      </c>
    </row>
    <row r="868" spans="1:31" ht="153.75" outlineLevel="3" thickBot="1" x14ac:dyDescent="0.25">
      <c r="A868" s="199" t="s">
        <v>1770</v>
      </c>
      <c r="B868" s="577"/>
      <c r="C868" s="502"/>
      <c r="D868" s="577"/>
      <c r="E868" s="403" t="s">
        <v>1765</v>
      </c>
      <c r="F868" s="409" t="s">
        <v>747</v>
      </c>
      <c r="G868" s="405" t="s">
        <v>1448</v>
      </c>
      <c r="H868" s="420" t="s">
        <v>1449</v>
      </c>
      <c r="I868" s="164">
        <v>4</v>
      </c>
      <c r="J868" s="409" t="s">
        <v>239</v>
      </c>
      <c r="K868" s="165" t="s">
        <v>338</v>
      </c>
      <c r="L868" s="138">
        <v>1</v>
      </c>
      <c r="M868" s="166">
        <f t="shared" ref="M868" si="255">I868*L868</f>
        <v>4</v>
      </c>
      <c r="N868" s="133" t="s">
        <v>291</v>
      </c>
      <c r="O868" s="420" t="s">
        <v>1443</v>
      </c>
      <c r="P868" s="138">
        <v>2</v>
      </c>
      <c r="Q868" s="225">
        <f t="shared" ref="Q868" si="256">I868*L868*P868</f>
        <v>8</v>
      </c>
      <c r="R868" s="428" t="s">
        <v>1444</v>
      </c>
      <c r="S868" s="428" t="s">
        <v>1445</v>
      </c>
      <c r="T868" s="133"/>
      <c r="U868" s="405"/>
      <c r="V868" s="135"/>
      <c r="W868" s="133"/>
      <c r="X868" s="405"/>
      <c r="Y868" s="405"/>
      <c r="Z868" s="135"/>
      <c r="AA868" s="136">
        <f t="shared" si="238"/>
        <v>0</v>
      </c>
      <c r="AB868" s="111"/>
      <c r="AC868" s="226"/>
      <c r="AD868" s="226">
        <f t="shared" si="230"/>
        <v>11440</v>
      </c>
    </row>
    <row r="869" spans="1:31" ht="294" outlineLevel="3" thickBot="1" x14ac:dyDescent="0.25">
      <c r="A869" s="230" t="s">
        <v>1771</v>
      </c>
      <c r="B869" s="577"/>
      <c r="C869" s="502"/>
      <c r="D869" s="577"/>
      <c r="E869" s="410" t="s">
        <v>740</v>
      </c>
      <c r="F869" s="410" t="s">
        <v>749</v>
      </c>
      <c r="G869" s="428" t="s">
        <v>1441</v>
      </c>
      <c r="H869" s="420" t="s">
        <v>1442</v>
      </c>
      <c r="I869" s="410">
        <v>2</v>
      </c>
      <c r="J869" s="410" t="s">
        <v>742</v>
      </c>
      <c r="K869" s="165" t="s">
        <v>338</v>
      </c>
      <c r="L869" s="410">
        <v>1</v>
      </c>
      <c r="M869" s="231">
        <f t="shared" si="202"/>
        <v>2</v>
      </c>
      <c r="N869" s="232" t="s">
        <v>241</v>
      </c>
      <c r="O869" s="420" t="s">
        <v>1443</v>
      </c>
      <c r="P869" s="138">
        <v>2</v>
      </c>
      <c r="Q869" s="235">
        <f t="shared" si="249"/>
        <v>4</v>
      </c>
      <c r="R869" s="428" t="s">
        <v>1444</v>
      </c>
      <c r="S869" s="428" t="s">
        <v>1445</v>
      </c>
      <c r="T869" s="133"/>
      <c r="U869" s="405"/>
      <c r="V869" s="135"/>
      <c r="W869" s="133"/>
      <c r="X869" s="405"/>
      <c r="Y869" s="405"/>
      <c r="Z869" s="135"/>
      <c r="AA869" s="136"/>
      <c r="AB869" s="111"/>
      <c r="AC869" s="226"/>
      <c r="AD869" s="226">
        <f t="shared" si="230"/>
        <v>11441</v>
      </c>
    </row>
    <row r="870" spans="1:31" ht="153.75" outlineLevel="3" thickBot="1" x14ac:dyDescent="0.25">
      <c r="A870" s="199" t="s">
        <v>1772</v>
      </c>
      <c r="B870" s="493"/>
      <c r="C870" s="495"/>
      <c r="D870" s="493"/>
      <c r="E870" s="403" t="s">
        <v>1768</v>
      </c>
      <c r="F870" s="410" t="s">
        <v>749</v>
      </c>
      <c r="G870" s="405" t="s">
        <v>1448</v>
      </c>
      <c r="H870" s="420" t="s">
        <v>1449</v>
      </c>
      <c r="I870" s="164">
        <v>4</v>
      </c>
      <c r="J870" s="410" t="s">
        <v>742</v>
      </c>
      <c r="K870" s="165" t="s">
        <v>338</v>
      </c>
      <c r="L870" s="138">
        <v>1</v>
      </c>
      <c r="M870" s="166">
        <f t="shared" si="202"/>
        <v>4</v>
      </c>
      <c r="N870" s="133" t="s">
        <v>291</v>
      </c>
      <c r="O870" s="420" t="s">
        <v>1443</v>
      </c>
      <c r="P870" s="138">
        <v>2</v>
      </c>
      <c r="Q870" s="225">
        <f t="shared" si="249"/>
        <v>8</v>
      </c>
      <c r="R870" s="428" t="s">
        <v>1444</v>
      </c>
      <c r="S870" s="428" t="s">
        <v>1445</v>
      </c>
      <c r="T870" s="133"/>
      <c r="U870" s="405"/>
      <c r="V870" s="135"/>
      <c r="W870" s="133"/>
      <c r="X870" s="405"/>
      <c r="Y870" s="405"/>
      <c r="Z870" s="135"/>
      <c r="AA870" s="136">
        <f t="shared" si="238"/>
        <v>0</v>
      </c>
      <c r="AB870" s="111"/>
      <c r="AC870" s="226"/>
      <c r="AD870" s="226">
        <f t="shared" si="230"/>
        <v>11442</v>
      </c>
    </row>
    <row r="871" spans="1:31" ht="294" outlineLevel="3" thickBot="1" x14ac:dyDescent="0.25">
      <c r="A871" s="240" t="s">
        <v>1773</v>
      </c>
      <c r="B871" s="492" t="s">
        <v>751</v>
      </c>
      <c r="C871" s="494" t="s">
        <v>752</v>
      </c>
      <c r="D871" s="492" t="s">
        <v>753</v>
      </c>
      <c r="E871" s="410" t="s">
        <v>235</v>
      </c>
      <c r="F871" s="409" t="s">
        <v>754</v>
      </c>
      <c r="G871" s="428" t="s">
        <v>1441</v>
      </c>
      <c r="H871" s="420" t="s">
        <v>1442</v>
      </c>
      <c r="I871" s="409">
        <v>2</v>
      </c>
      <c r="J871" s="409" t="s">
        <v>239</v>
      </c>
      <c r="K871" s="165" t="s">
        <v>338</v>
      </c>
      <c r="L871" s="409">
        <v>1</v>
      </c>
      <c r="M871" s="231">
        <f t="shared" si="202"/>
        <v>2</v>
      </c>
      <c r="N871" s="232" t="s">
        <v>241</v>
      </c>
      <c r="O871" s="420" t="s">
        <v>1443</v>
      </c>
      <c r="P871" s="138">
        <v>2</v>
      </c>
      <c r="Q871" s="235">
        <f t="shared" si="249"/>
        <v>4</v>
      </c>
      <c r="R871" s="428" t="s">
        <v>1444</v>
      </c>
      <c r="S871" s="428" t="s">
        <v>1445</v>
      </c>
      <c r="T871" s="133"/>
      <c r="U871" s="405"/>
      <c r="V871" s="135"/>
      <c r="W871" s="133"/>
      <c r="X871" s="405"/>
      <c r="Y871" s="405"/>
      <c r="Z871" s="135"/>
      <c r="AA871" s="136"/>
      <c r="AB871" s="111"/>
      <c r="AC871" s="363"/>
      <c r="AD871" s="226">
        <f t="shared" si="230"/>
        <v>11443</v>
      </c>
    </row>
    <row r="872" spans="1:31" ht="153.75" outlineLevel="3" thickBot="1" x14ac:dyDescent="0.25">
      <c r="A872" s="199" t="s">
        <v>1774</v>
      </c>
      <c r="B872" s="577"/>
      <c r="C872" s="502"/>
      <c r="D872" s="577"/>
      <c r="E872" s="403" t="s">
        <v>1765</v>
      </c>
      <c r="F872" s="409" t="s">
        <v>754</v>
      </c>
      <c r="G872" s="405" t="s">
        <v>1448</v>
      </c>
      <c r="H872" s="420" t="s">
        <v>1449</v>
      </c>
      <c r="I872" s="164">
        <v>4</v>
      </c>
      <c r="J872" s="409" t="s">
        <v>239</v>
      </c>
      <c r="K872" s="165" t="s">
        <v>338</v>
      </c>
      <c r="L872" s="138">
        <v>1</v>
      </c>
      <c r="M872" s="166">
        <f t="shared" si="202"/>
        <v>4</v>
      </c>
      <c r="N872" s="133" t="s">
        <v>291</v>
      </c>
      <c r="O872" s="420" t="s">
        <v>1443</v>
      </c>
      <c r="P872" s="138">
        <v>2</v>
      </c>
      <c r="Q872" s="225">
        <f t="shared" si="249"/>
        <v>8</v>
      </c>
      <c r="R872" s="428" t="s">
        <v>1444</v>
      </c>
      <c r="S872" s="428" t="s">
        <v>1445</v>
      </c>
      <c r="T872" s="133"/>
      <c r="U872" s="405"/>
      <c r="V872" s="135"/>
      <c r="W872" s="133"/>
      <c r="X872" s="405"/>
      <c r="Y872" s="405"/>
      <c r="Z872" s="135"/>
      <c r="AA872" s="136"/>
      <c r="AB872" s="111"/>
      <c r="AC872" s="363"/>
      <c r="AD872" s="226">
        <f t="shared" si="230"/>
        <v>11444</v>
      </c>
    </row>
    <row r="873" spans="1:31" ht="294" outlineLevel="3" thickBot="1" x14ac:dyDescent="0.25">
      <c r="A873" s="230" t="s">
        <v>1775</v>
      </c>
      <c r="B873" s="577"/>
      <c r="C873" s="502"/>
      <c r="D873" s="577"/>
      <c r="E873" s="410" t="s">
        <v>740</v>
      </c>
      <c r="F873" s="410" t="s">
        <v>756</v>
      </c>
      <c r="G873" s="428" t="s">
        <v>1441</v>
      </c>
      <c r="H873" s="420" t="s">
        <v>1442</v>
      </c>
      <c r="I873" s="410">
        <v>2</v>
      </c>
      <c r="J873" s="410" t="s">
        <v>742</v>
      </c>
      <c r="K873" s="165" t="s">
        <v>338</v>
      </c>
      <c r="L873" s="410">
        <v>1</v>
      </c>
      <c r="M873" s="231">
        <f t="shared" si="202"/>
        <v>2</v>
      </c>
      <c r="N873" s="232" t="s">
        <v>241</v>
      </c>
      <c r="O873" s="420" t="s">
        <v>1443</v>
      </c>
      <c r="P873" s="138">
        <v>2</v>
      </c>
      <c r="Q873" s="235">
        <f t="shared" si="249"/>
        <v>4</v>
      </c>
      <c r="R873" s="428" t="s">
        <v>1444</v>
      </c>
      <c r="S873" s="428" t="s">
        <v>1445</v>
      </c>
      <c r="T873" s="133"/>
      <c r="U873" s="405"/>
      <c r="V873" s="135"/>
      <c r="W873" s="133"/>
      <c r="X873" s="405"/>
      <c r="Y873" s="405"/>
      <c r="Z873" s="135"/>
      <c r="AA873" s="136"/>
      <c r="AB873" s="111"/>
      <c r="AC873" s="363"/>
      <c r="AD873" s="226">
        <f t="shared" si="230"/>
        <v>11445</v>
      </c>
    </row>
    <row r="874" spans="1:31" ht="204.75" outlineLevel="3" thickBot="1" x14ac:dyDescent="0.25">
      <c r="A874" s="199" t="s">
        <v>1776</v>
      </c>
      <c r="B874" s="493"/>
      <c r="C874" s="495"/>
      <c r="D874" s="493"/>
      <c r="E874" s="403" t="s">
        <v>1768</v>
      </c>
      <c r="F874" s="410" t="s">
        <v>756</v>
      </c>
      <c r="G874" s="405" t="s">
        <v>1448</v>
      </c>
      <c r="H874" s="420" t="s">
        <v>1449</v>
      </c>
      <c r="I874" s="164">
        <v>4</v>
      </c>
      <c r="J874" s="410" t="s">
        <v>742</v>
      </c>
      <c r="K874" s="165" t="s">
        <v>338</v>
      </c>
      <c r="L874" s="138">
        <v>1</v>
      </c>
      <c r="M874" s="166">
        <f t="shared" ref="M874" si="257">I874*L874</f>
        <v>4</v>
      </c>
      <c r="N874" s="133" t="s">
        <v>291</v>
      </c>
      <c r="O874" s="420" t="s">
        <v>1443</v>
      </c>
      <c r="P874" s="138">
        <v>2</v>
      </c>
      <c r="Q874" s="225">
        <f t="shared" ref="Q874" si="258">I874*L874*P874</f>
        <v>8</v>
      </c>
      <c r="R874" s="428" t="s">
        <v>1444</v>
      </c>
      <c r="S874" s="428" t="s">
        <v>1445</v>
      </c>
      <c r="T874" s="133"/>
      <c r="U874" s="405"/>
      <c r="V874" s="135"/>
      <c r="W874" s="133"/>
      <c r="X874" s="405"/>
      <c r="Y874" s="405"/>
      <c r="Z874" s="135"/>
      <c r="AA874" s="136">
        <f t="shared" si="238"/>
        <v>0</v>
      </c>
      <c r="AB874" s="111"/>
      <c r="AC874" s="363"/>
      <c r="AD874" s="226">
        <f t="shared" si="230"/>
        <v>11446</v>
      </c>
    </row>
    <row r="875" spans="1:31" ht="294" outlineLevel="3" thickBot="1" x14ac:dyDescent="0.25">
      <c r="A875" s="240" t="s">
        <v>1777</v>
      </c>
      <c r="B875" s="492" t="s">
        <v>758</v>
      </c>
      <c r="C875" s="494" t="s">
        <v>759</v>
      </c>
      <c r="D875" s="492" t="s">
        <v>760</v>
      </c>
      <c r="E875" s="410" t="s">
        <v>235</v>
      </c>
      <c r="F875" s="409" t="s">
        <v>761</v>
      </c>
      <c r="G875" s="428" t="s">
        <v>1441</v>
      </c>
      <c r="H875" s="420" t="s">
        <v>1442</v>
      </c>
      <c r="I875" s="409">
        <v>2</v>
      </c>
      <c r="J875" s="409" t="s">
        <v>239</v>
      </c>
      <c r="K875" s="165" t="s">
        <v>338</v>
      </c>
      <c r="L875" s="409">
        <v>1</v>
      </c>
      <c r="M875" s="231">
        <f t="shared" si="202"/>
        <v>2</v>
      </c>
      <c r="N875" s="232" t="s">
        <v>241</v>
      </c>
      <c r="O875" s="420" t="s">
        <v>1443</v>
      </c>
      <c r="P875" s="138">
        <v>2</v>
      </c>
      <c r="Q875" s="235">
        <f t="shared" si="249"/>
        <v>4</v>
      </c>
      <c r="R875" s="428" t="s">
        <v>1444</v>
      </c>
      <c r="S875" s="428" t="s">
        <v>1445</v>
      </c>
      <c r="T875" s="133"/>
      <c r="U875" s="405"/>
      <c r="V875" s="135"/>
      <c r="W875" s="133"/>
      <c r="X875" s="405"/>
      <c r="Y875" s="405"/>
      <c r="Z875" s="135"/>
      <c r="AA875" s="136"/>
      <c r="AB875" s="111"/>
      <c r="AC875" s="226"/>
      <c r="AD875" s="226">
        <f t="shared" si="230"/>
        <v>11447</v>
      </c>
    </row>
    <row r="876" spans="1:31" ht="153.75" outlineLevel="3" thickBot="1" x14ac:dyDescent="0.25">
      <c r="A876" s="199" t="s">
        <v>1778</v>
      </c>
      <c r="B876" s="577"/>
      <c r="C876" s="502"/>
      <c r="D876" s="577"/>
      <c r="E876" s="403" t="s">
        <v>1765</v>
      </c>
      <c r="F876" s="409" t="s">
        <v>761</v>
      </c>
      <c r="G876" s="405" t="s">
        <v>1448</v>
      </c>
      <c r="H876" s="420" t="s">
        <v>1449</v>
      </c>
      <c r="I876" s="164">
        <v>4</v>
      </c>
      <c r="J876" s="409" t="s">
        <v>239</v>
      </c>
      <c r="K876" s="165" t="s">
        <v>338</v>
      </c>
      <c r="L876" s="138">
        <v>1</v>
      </c>
      <c r="M876" s="166">
        <f t="shared" ref="M876" si="259">I876*L876</f>
        <v>4</v>
      </c>
      <c r="N876" s="133" t="s">
        <v>291</v>
      </c>
      <c r="O876" s="420" t="s">
        <v>1443</v>
      </c>
      <c r="P876" s="138">
        <v>2</v>
      </c>
      <c r="Q876" s="225">
        <f t="shared" ref="Q876" si="260">I876*L876*P876</f>
        <v>8</v>
      </c>
      <c r="R876" s="428" t="s">
        <v>1444</v>
      </c>
      <c r="S876" s="428" t="s">
        <v>1445</v>
      </c>
      <c r="T876" s="133"/>
      <c r="U876" s="405"/>
      <c r="V876" s="135"/>
      <c r="W876" s="133"/>
      <c r="X876" s="405"/>
      <c r="Y876" s="405"/>
      <c r="Z876" s="135"/>
      <c r="AA876" s="136"/>
      <c r="AB876" s="111"/>
      <c r="AC876" s="226"/>
      <c r="AD876" s="226">
        <f t="shared" si="230"/>
        <v>11448</v>
      </c>
    </row>
    <row r="877" spans="1:31" ht="294" outlineLevel="3" thickBot="1" x14ac:dyDescent="0.25">
      <c r="A877" s="230" t="s">
        <v>1779</v>
      </c>
      <c r="B877" s="577"/>
      <c r="C877" s="502"/>
      <c r="D877" s="577"/>
      <c r="E877" s="410" t="s">
        <v>740</v>
      </c>
      <c r="F877" s="410" t="s">
        <v>763</v>
      </c>
      <c r="G877" s="428" t="s">
        <v>1441</v>
      </c>
      <c r="H877" s="420" t="s">
        <v>1442</v>
      </c>
      <c r="I877" s="410">
        <v>2</v>
      </c>
      <c r="J877" s="410" t="s">
        <v>742</v>
      </c>
      <c r="K877" s="165" t="s">
        <v>338</v>
      </c>
      <c r="L877" s="410">
        <v>1</v>
      </c>
      <c r="M877" s="231">
        <f t="shared" si="202"/>
        <v>2</v>
      </c>
      <c r="N877" s="232" t="s">
        <v>241</v>
      </c>
      <c r="O877" s="420" t="s">
        <v>1443</v>
      </c>
      <c r="P877" s="138">
        <v>2</v>
      </c>
      <c r="Q877" s="235">
        <f t="shared" si="249"/>
        <v>4</v>
      </c>
      <c r="R877" s="428" t="s">
        <v>1444</v>
      </c>
      <c r="S877" s="428" t="s">
        <v>1445</v>
      </c>
      <c r="T877" s="133"/>
      <c r="U877" s="405"/>
      <c r="V877" s="135"/>
      <c r="W877" s="133"/>
      <c r="X877" s="405"/>
      <c r="Y877" s="405"/>
      <c r="Z877" s="135"/>
      <c r="AA877" s="136"/>
      <c r="AB877" s="111"/>
      <c r="AC877" s="363"/>
      <c r="AD877" s="226">
        <f t="shared" si="230"/>
        <v>11449</v>
      </c>
    </row>
    <row r="878" spans="1:31" ht="153.75" outlineLevel="3" thickBot="1" x14ac:dyDescent="0.25">
      <c r="A878" s="199" t="s">
        <v>1780</v>
      </c>
      <c r="B878" s="493"/>
      <c r="C878" s="495"/>
      <c r="D878" s="493"/>
      <c r="E878" s="403" t="s">
        <v>1768</v>
      </c>
      <c r="F878" s="410" t="s">
        <v>763</v>
      </c>
      <c r="G878" s="405" t="s">
        <v>1448</v>
      </c>
      <c r="H878" s="420" t="s">
        <v>1449</v>
      </c>
      <c r="I878" s="164">
        <v>4</v>
      </c>
      <c r="J878" s="410" t="s">
        <v>742</v>
      </c>
      <c r="K878" s="165" t="s">
        <v>338</v>
      </c>
      <c r="L878" s="138">
        <v>1</v>
      </c>
      <c r="M878" s="166">
        <f t="shared" si="202"/>
        <v>4</v>
      </c>
      <c r="N878" s="133" t="s">
        <v>291</v>
      </c>
      <c r="O878" s="420" t="s">
        <v>1443</v>
      </c>
      <c r="P878" s="138">
        <v>2</v>
      </c>
      <c r="Q878" s="225">
        <f t="shared" si="249"/>
        <v>8</v>
      </c>
      <c r="R878" s="428" t="s">
        <v>1444</v>
      </c>
      <c r="S878" s="428" t="s">
        <v>1445</v>
      </c>
      <c r="T878" s="133"/>
      <c r="U878" s="405"/>
      <c r="V878" s="135"/>
      <c r="W878" s="133"/>
      <c r="X878" s="405"/>
      <c r="Y878" s="405"/>
      <c r="Z878" s="135"/>
      <c r="AA878" s="136"/>
      <c r="AB878" s="111"/>
      <c r="AC878" s="363"/>
      <c r="AD878" s="226">
        <f t="shared" si="230"/>
        <v>11450</v>
      </c>
    </row>
    <row r="879" spans="1:31" ht="294" outlineLevel="3" thickBot="1" x14ac:dyDescent="0.25">
      <c r="A879" s="199" t="s">
        <v>1781</v>
      </c>
      <c r="B879" s="479" t="s">
        <v>983</v>
      </c>
      <c r="C879" s="479" t="s">
        <v>233</v>
      </c>
      <c r="D879" s="479" t="s">
        <v>984</v>
      </c>
      <c r="E879" s="411" t="s">
        <v>1782</v>
      </c>
      <c r="F879" s="208" t="s">
        <v>1133</v>
      </c>
      <c r="G879" s="428" t="s">
        <v>1441</v>
      </c>
      <c r="H879" s="420" t="s">
        <v>1442</v>
      </c>
      <c r="I879" s="164">
        <v>2</v>
      </c>
      <c r="J879" s="163" t="s">
        <v>770</v>
      </c>
      <c r="K879" s="165" t="s">
        <v>338</v>
      </c>
      <c r="L879" s="138">
        <v>1</v>
      </c>
      <c r="M879" s="166">
        <f t="shared" si="202"/>
        <v>2</v>
      </c>
      <c r="N879" s="133" t="s">
        <v>291</v>
      </c>
      <c r="O879" s="420" t="s">
        <v>1443</v>
      </c>
      <c r="P879" s="138">
        <v>2</v>
      </c>
      <c r="Q879" s="338">
        <f t="shared" si="203"/>
        <v>4</v>
      </c>
      <c r="R879" s="428" t="s">
        <v>1444</v>
      </c>
      <c r="S879" s="428" t="s">
        <v>1445</v>
      </c>
      <c r="T879" s="133"/>
      <c r="U879" s="405"/>
      <c r="V879" s="135"/>
      <c r="W879" s="133"/>
      <c r="X879" s="405"/>
      <c r="Y879" s="405"/>
      <c r="Z879" s="135"/>
      <c r="AA879" s="136"/>
      <c r="AB879" s="111"/>
      <c r="AC879" s="226"/>
      <c r="AD879" s="226">
        <f t="shared" si="230"/>
        <v>6989</v>
      </c>
    </row>
    <row r="880" spans="1:31" s="215" customFormat="1" ht="153.75" outlineLevel="3" thickBot="1" x14ac:dyDescent="0.25">
      <c r="A880" s="199" t="s">
        <v>1783</v>
      </c>
      <c r="B880" s="484"/>
      <c r="C880" s="484"/>
      <c r="D880" s="484"/>
      <c r="E880" s="403" t="s">
        <v>1765</v>
      </c>
      <c r="F880" s="209" t="s">
        <v>1133</v>
      </c>
      <c r="G880" s="405" t="s">
        <v>1448</v>
      </c>
      <c r="H880" s="420" t="s">
        <v>1449</v>
      </c>
      <c r="I880" s="164">
        <v>4</v>
      </c>
      <c r="J880" s="163" t="s">
        <v>770</v>
      </c>
      <c r="K880" s="165" t="s">
        <v>338</v>
      </c>
      <c r="L880" s="138">
        <v>1</v>
      </c>
      <c r="M880" s="166">
        <f t="shared" ref="M880" si="261">I880*L880</f>
        <v>4</v>
      </c>
      <c r="N880" s="133" t="s">
        <v>291</v>
      </c>
      <c r="O880" s="420" t="s">
        <v>1443</v>
      </c>
      <c r="P880" s="138">
        <v>2</v>
      </c>
      <c r="Q880" s="225">
        <f t="shared" si="203"/>
        <v>8</v>
      </c>
      <c r="R880" s="428" t="s">
        <v>1444</v>
      </c>
      <c r="S880" s="428" t="s">
        <v>1445</v>
      </c>
      <c r="T880" s="133"/>
      <c r="U880" s="405"/>
      <c r="V880" s="135"/>
      <c r="W880" s="133"/>
      <c r="X880" s="405"/>
      <c r="Y880" s="405"/>
      <c r="Z880" s="135"/>
      <c r="AA880" s="136"/>
      <c r="AB880" s="111"/>
      <c r="AC880" s="371"/>
      <c r="AD880" s="226">
        <f t="shared" si="230"/>
        <v>11118</v>
      </c>
      <c r="AE880" s="354"/>
    </row>
    <row r="881" spans="1:31" s="216" customFormat="1" ht="294" outlineLevel="3" thickBot="1" x14ac:dyDescent="0.25">
      <c r="A881" s="199" t="s">
        <v>1784</v>
      </c>
      <c r="B881" s="484"/>
      <c r="C881" s="484"/>
      <c r="D881" s="484"/>
      <c r="E881" s="411" t="s">
        <v>985</v>
      </c>
      <c r="F881" s="208" t="s">
        <v>986</v>
      </c>
      <c r="G881" s="428" t="s">
        <v>1441</v>
      </c>
      <c r="H881" s="420" t="s">
        <v>1442</v>
      </c>
      <c r="I881" s="164">
        <v>2</v>
      </c>
      <c r="J881" s="163" t="s">
        <v>988</v>
      </c>
      <c r="K881" s="165" t="s">
        <v>989</v>
      </c>
      <c r="L881" s="138">
        <v>1</v>
      </c>
      <c r="M881" s="166">
        <f t="shared" si="202"/>
        <v>2</v>
      </c>
      <c r="N881" s="133" t="s">
        <v>291</v>
      </c>
      <c r="O881" s="420" t="s">
        <v>1443</v>
      </c>
      <c r="P881" s="138">
        <v>2</v>
      </c>
      <c r="Q881" s="338">
        <f t="shared" si="203"/>
        <v>4</v>
      </c>
      <c r="R881" s="428" t="s">
        <v>1444</v>
      </c>
      <c r="S881" s="428" t="s">
        <v>1445</v>
      </c>
      <c r="T881" s="133"/>
      <c r="U881" s="405"/>
      <c r="V881" s="135"/>
      <c r="W881" s="133"/>
      <c r="X881" s="405"/>
      <c r="Y881" s="405"/>
      <c r="Z881" s="135"/>
      <c r="AA881" s="136"/>
      <c r="AB881" s="111"/>
      <c r="AC881" s="226"/>
      <c r="AD881" s="226">
        <f t="shared" si="230"/>
        <v>6990</v>
      </c>
      <c r="AE881" s="227"/>
    </row>
    <row r="882" spans="1:31" ht="153.75" outlineLevel="3" thickBot="1" x14ac:dyDescent="0.25">
      <c r="A882" s="199" t="s">
        <v>1785</v>
      </c>
      <c r="B882" s="480"/>
      <c r="C882" s="480"/>
      <c r="D882" s="480"/>
      <c r="E882" s="411" t="s">
        <v>1786</v>
      </c>
      <c r="F882" s="208" t="s">
        <v>986</v>
      </c>
      <c r="G882" s="405" t="s">
        <v>1448</v>
      </c>
      <c r="H882" s="420" t="s">
        <v>1449</v>
      </c>
      <c r="I882" s="164">
        <v>4</v>
      </c>
      <c r="J882" s="163" t="s">
        <v>580</v>
      </c>
      <c r="K882" s="165" t="s">
        <v>338</v>
      </c>
      <c r="L882" s="138">
        <v>1</v>
      </c>
      <c r="M882" s="166">
        <f t="shared" si="202"/>
        <v>4</v>
      </c>
      <c r="N882" s="133" t="s">
        <v>291</v>
      </c>
      <c r="O882" s="420" t="s">
        <v>1443</v>
      </c>
      <c r="P882" s="138">
        <v>2</v>
      </c>
      <c r="Q882" s="225">
        <f t="shared" ref="Q882" si="262">I882*L882*P882</f>
        <v>8</v>
      </c>
      <c r="R882" s="428" t="s">
        <v>1444</v>
      </c>
      <c r="S882" s="428" t="s">
        <v>1445</v>
      </c>
      <c r="T882" s="133"/>
      <c r="U882" s="405"/>
      <c r="V882" s="135"/>
      <c r="W882" s="133"/>
      <c r="X882" s="405"/>
      <c r="Y882" s="405"/>
      <c r="Z882" s="135"/>
      <c r="AA882" s="136"/>
      <c r="AB882" s="111"/>
      <c r="AC882" s="226"/>
      <c r="AD882" s="226">
        <f t="shared" si="230"/>
        <v>11119</v>
      </c>
    </row>
    <row r="883" spans="1:31" ht="21" outlineLevel="1" thickBot="1" x14ac:dyDescent="0.25">
      <c r="A883" s="199"/>
      <c r="B883" s="161" t="s">
        <v>1787</v>
      </c>
      <c r="C883" s="191"/>
      <c r="D883" s="162"/>
      <c r="E883" s="162"/>
      <c r="F883" s="162"/>
      <c r="G883" s="78"/>
      <c r="H883" s="78"/>
      <c r="I883" s="78"/>
      <c r="J883" s="78"/>
      <c r="K883" s="78"/>
      <c r="L883" s="78"/>
      <c r="M883" s="78"/>
      <c r="N883" s="78"/>
      <c r="O883" s="78"/>
      <c r="P883" s="78"/>
      <c r="Q883" s="78"/>
      <c r="R883" s="78"/>
      <c r="S883" s="78"/>
      <c r="T883" s="78"/>
      <c r="U883" s="78"/>
      <c r="V883" s="78"/>
      <c r="W883" s="78"/>
      <c r="X883" s="78"/>
      <c r="Y883" s="78"/>
      <c r="Z883" s="78"/>
      <c r="AA883" s="78"/>
      <c r="AB883" s="79"/>
      <c r="AC883" s="226"/>
      <c r="AD883" s="226">
        <f t="shared" si="230"/>
        <v>0</v>
      </c>
    </row>
    <row r="884" spans="1:31" ht="21" outlineLevel="2" thickBot="1" x14ac:dyDescent="0.25">
      <c r="A884" s="199"/>
      <c r="B884" s="117" t="s">
        <v>230</v>
      </c>
      <c r="C884" s="190"/>
      <c r="D884" s="118"/>
      <c r="E884" s="118"/>
      <c r="F884" s="118"/>
      <c r="G884" s="118"/>
      <c r="H884" s="118"/>
      <c r="I884" s="118"/>
      <c r="J884" s="118"/>
      <c r="K884" s="118"/>
      <c r="L884" s="118"/>
      <c r="M884" s="118"/>
      <c r="N884" s="118"/>
      <c r="O884" s="118"/>
      <c r="P884" s="118"/>
      <c r="Q884" s="118"/>
      <c r="R884" s="118"/>
      <c r="S884" s="118"/>
      <c r="T884" s="118"/>
      <c r="U884" s="118"/>
      <c r="V884" s="118"/>
      <c r="W884" s="118"/>
      <c r="X884" s="118"/>
      <c r="Y884" s="118"/>
      <c r="Z884" s="118"/>
      <c r="AA884" s="118"/>
      <c r="AB884" s="119"/>
      <c r="AC884" s="226"/>
      <c r="AD884" s="226">
        <f t="shared" si="230"/>
        <v>0</v>
      </c>
    </row>
    <row r="885" spans="1:31" ht="153.75" outlineLevel="3" thickBot="1" x14ac:dyDescent="0.25">
      <c r="A885" s="199" t="s">
        <v>1788</v>
      </c>
      <c r="B885" s="503" t="s">
        <v>247</v>
      </c>
      <c r="C885" s="505" t="s">
        <v>248</v>
      </c>
      <c r="D885" s="503" t="s">
        <v>249</v>
      </c>
      <c r="E885" s="417" t="s">
        <v>250</v>
      </c>
      <c r="F885" s="417" t="s">
        <v>992</v>
      </c>
      <c r="G885" s="405" t="s">
        <v>1789</v>
      </c>
      <c r="H885" s="127" t="s">
        <v>238</v>
      </c>
      <c r="I885" s="128">
        <v>1</v>
      </c>
      <c r="J885" s="163" t="s">
        <v>775</v>
      </c>
      <c r="K885" s="130" t="s">
        <v>1790</v>
      </c>
      <c r="L885" s="131">
        <v>1</v>
      </c>
      <c r="M885" s="132">
        <f t="shared" ref="M885:M968" si="263">I885*L885</f>
        <v>1</v>
      </c>
      <c r="N885" s="133" t="s">
        <v>291</v>
      </c>
      <c r="O885" s="69" t="s">
        <v>242</v>
      </c>
      <c r="P885" s="131">
        <v>5</v>
      </c>
      <c r="Q885" s="134">
        <f t="shared" ref="Q885:Q936" si="264">I885*L885*P885</f>
        <v>5</v>
      </c>
      <c r="R885" s="428"/>
      <c r="S885" s="428"/>
      <c r="T885" s="133"/>
      <c r="U885" s="405"/>
      <c r="V885" s="135"/>
      <c r="W885" s="133"/>
      <c r="X885" s="405"/>
      <c r="Y885" s="405"/>
      <c r="Z885" s="135"/>
      <c r="AA885" s="136"/>
      <c r="AB885" s="111"/>
      <c r="AC885" s="226"/>
      <c r="AD885" s="226">
        <f t="shared" si="230"/>
        <v>5602</v>
      </c>
    </row>
    <row r="886" spans="1:31" ht="153.75" outlineLevel="3" thickBot="1" x14ac:dyDescent="0.25">
      <c r="A886" s="199" t="s">
        <v>1791</v>
      </c>
      <c r="B886" s="483"/>
      <c r="C886" s="484"/>
      <c r="D886" s="483"/>
      <c r="E886" s="417" t="s">
        <v>255</v>
      </c>
      <c r="F886" s="417" t="s">
        <v>1792</v>
      </c>
      <c r="G886" s="405" t="s">
        <v>1789</v>
      </c>
      <c r="H886" s="127" t="s">
        <v>238</v>
      </c>
      <c r="I886" s="128">
        <v>1</v>
      </c>
      <c r="J886" s="163" t="s">
        <v>257</v>
      </c>
      <c r="K886" s="130" t="s">
        <v>1790</v>
      </c>
      <c r="L886" s="131">
        <v>1</v>
      </c>
      <c r="M886" s="132">
        <f t="shared" si="263"/>
        <v>1</v>
      </c>
      <c r="N886" s="133" t="s">
        <v>291</v>
      </c>
      <c r="O886" s="69" t="s">
        <v>242</v>
      </c>
      <c r="P886" s="131">
        <v>5</v>
      </c>
      <c r="Q886" s="134">
        <f t="shared" si="264"/>
        <v>5</v>
      </c>
      <c r="R886" s="428"/>
      <c r="S886" s="428"/>
      <c r="T886" s="133"/>
      <c r="U886" s="405"/>
      <c r="V886" s="135"/>
      <c r="W886" s="133"/>
      <c r="X886" s="405"/>
      <c r="Y886" s="405"/>
      <c r="Z886" s="135"/>
      <c r="AA886" s="136">
        <f t="shared" si="238"/>
        <v>0</v>
      </c>
      <c r="AB886" s="111"/>
      <c r="AC886" s="363"/>
      <c r="AD886" s="226">
        <f t="shared" si="230"/>
        <v>5603</v>
      </c>
    </row>
    <row r="887" spans="1:31" ht="153.75" outlineLevel="3" thickBot="1" x14ac:dyDescent="0.25">
      <c r="A887" s="199" t="s">
        <v>1793</v>
      </c>
      <c r="B887" s="483"/>
      <c r="C887" s="484"/>
      <c r="D887" s="483"/>
      <c r="E887" s="405" t="s">
        <v>260</v>
      </c>
      <c r="F887" s="405" t="s">
        <v>261</v>
      </c>
      <c r="G887" s="405" t="s">
        <v>1789</v>
      </c>
      <c r="H887" s="420" t="s">
        <v>238</v>
      </c>
      <c r="I887" s="164">
        <v>1</v>
      </c>
      <c r="J887" s="163" t="s">
        <v>257</v>
      </c>
      <c r="K887" s="165" t="s">
        <v>1790</v>
      </c>
      <c r="L887" s="138">
        <v>1</v>
      </c>
      <c r="M887" s="166">
        <f t="shared" si="263"/>
        <v>1</v>
      </c>
      <c r="N887" s="133" t="s">
        <v>291</v>
      </c>
      <c r="O887" s="420" t="s">
        <v>242</v>
      </c>
      <c r="P887" s="138">
        <v>5</v>
      </c>
      <c r="Q887" s="225">
        <f>P887*L887*I887</f>
        <v>5</v>
      </c>
      <c r="R887" s="428"/>
      <c r="S887" s="428"/>
      <c r="T887" s="133"/>
      <c r="U887" s="405"/>
      <c r="V887" s="135"/>
      <c r="W887" s="133"/>
      <c r="X887" s="405"/>
      <c r="Y887" s="405"/>
      <c r="Z887" s="135"/>
      <c r="AA887" s="136"/>
      <c r="AB887" s="111"/>
      <c r="AC887" s="363"/>
      <c r="AD887" s="226">
        <f t="shared" si="230"/>
        <v>6991</v>
      </c>
    </row>
    <row r="888" spans="1:31" ht="153.75" outlineLevel="3" thickBot="1" x14ac:dyDescent="0.25">
      <c r="A888" s="199" t="s">
        <v>1794</v>
      </c>
      <c r="B888" s="478"/>
      <c r="C888" s="480"/>
      <c r="D888" s="478"/>
      <c r="E888" s="405" t="s">
        <v>263</v>
      </c>
      <c r="F888" s="405" t="s">
        <v>781</v>
      </c>
      <c r="G888" s="405" t="s">
        <v>1795</v>
      </c>
      <c r="H888" s="420" t="s">
        <v>238</v>
      </c>
      <c r="I888" s="164">
        <v>1</v>
      </c>
      <c r="J888" s="163" t="s">
        <v>775</v>
      </c>
      <c r="K888" s="165" t="s">
        <v>1790</v>
      </c>
      <c r="L888" s="138">
        <v>1</v>
      </c>
      <c r="M888" s="166">
        <f t="shared" si="263"/>
        <v>1</v>
      </c>
      <c r="N888" s="133" t="s">
        <v>291</v>
      </c>
      <c r="O888" s="420" t="s">
        <v>242</v>
      </c>
      <c r="P888" s="138">
        <v>5</v>
      </c>
      <c r="Q888" s="225">
        <f>P888*L888*I888</f>
        <v>5</v>
      </c>
      <c r="R888" s="428"/>
      <c r="S888" s="428"/>
      <c r="T888" s="133"/>
      <c r="U888" s="405"/>
      <c r="V888" s="135"/>
      <c r="W888" s="133"/>
      <c r="X888" s="405"/>
      <c r="Y888" s="405"/>
      <c r="Z888" s="135"/>
      <c r="AA888" s="136">
        <f t="shared" si="238"/>
        <v>0</v>
      </c>
      <c r="AB888" s="111"/>
      <c r="AC888" s="366"/>
      <c r="AD888" s="226">
        <f t="shared" si="230"/>
        <v>6992</v>
      </c>
      <c r="AE888" s="350"/>
    </row>
    <row r="889" spans="1:31" ht="153.75" outlineLevel="3" thickBot="1" x14ac:dyDescent="0.25">
      <c r="A889" s="199" t="s">
        <v>1796</v>
      </c>
      <c r="B889" s="411" t="s">
        <v>266</v>
      </c>
      <c r="C889" s="412" t="s">
        <v>267</v>
      </c>
      <c r="D889" s="405" t="s">
        <v>268</v>
      </c>
      <c r="E889" s="417" t="s">
        <v>269</v>
      </c>
      <c r="F889" s="417" t="s">
        <v>1002</v>
      </c>
      <c r="G889" s="417" t="s">
        <v>1795</v>
      </c>
      <c r="H889" s="127" t="s">
        <v>238</v>
      </c>
      <c r="I889" s="128">
        <v>2</v>
      </c>
      <c r="J889" s="163" t="s">
        <v>784</v>
      </c>
      <c r="K889" s="130" t="s">
        <v>1790</v>
      </c>
      <c r="L889" s="131">
        <v>1</v>
      </c>
      <c r="M889" s="132">
        <f t="shared" si="263"/>
        <v>2</v>
      </c>
      <c r="N889" s="133" t="s">
        <v>291</v>
      </c>
      <c r="O889" s="69" t="s">
        <v>242</v>
      </c>
      <c r="P889" s="131">
        <v>5</v>
      </c>
      <c r="Q889" s="134">
        <f t="shared" si="264"/>
        <v>10</v>
      </c>
      <c r="R889" s="428"/>
      <c r="S889" s="428"/>
      <c r="T889" s="133"/>
      <c r="U889" s="405"/>
      <c r="V889" s="135"/>
      <c r="W889" s="133"/>
      <c r="X889" s="405"/>
      <c r="Y889" s="405"/>
      <c r="Z889" s="135"/>
      <c r="AA889" s="136"/>
      <c r="AB889" s="111"/>
      <c r="AC889" s="363"/>
      <c r="AD889" s="226">
        <f t="shared" si="230"/>
        <v>5604</v>
      </c>
    </row>
    <row r="890" spans="1:31" ht="153.75" outlineLevel="3" thickBot="1" x14ac:dyDescent="0.25">
      <c r="A890" s="199" t="s">
        <v>1797</v>
      </c>
      <c r="B890" s="477" t="s">
        <v>272</v>
      </c>
      <c r="C890" s="479" t="s">
        <v>273</v>
      </c>
      <c r="D890" s="477" t="s">
        <v>1346</v>
      </c>
      <c r="E890" s="417" t="s">
        <v>275</v>
      </c>
      <c r="F890" s="417" t="s">
        <v>276</v>
      </c>
      <c r="G890" s="405" t="s">
        <v>1789</v>
      </c>
      <c r="H890" s="127" t="s">
        <v>238</v>
      </c>
      <c r="I890" s="128">
        <v>1</v>
      </c>
      <c r="J890" s="163" t="s">
        <v>277</v>
      </c>
      <c r="K890" s="130" t="s">
        <v>1790</v>
      </c>
      <c r="L890" s="131">
        <v>1</v>
      </c>
      <c r="M890" s="132">
        <f t="shared" si="263"/>
        <v>1</v>
      </c>
      <c r="N890" s="133" t="s">
        <v>291</v>
      </c>
      <c r="O890" s="69" t="s">
        <v>242</v>
      </c>
      <c r="P890" s="131">
        <v>5</v>
      </c>
      <c r="Q890" s="134">
        <f t="shared" si="264"/>
        <v>5</v>
      </c>
      <c r="R890" s="428"/>
      <c r="S890" s="428"/>
      <c r="T890" s="133"/>
      <c r="U890" s="405"/>
      <c r="V890" s="135"/>
      <c r="W890" s="133"/>
      <c r="X890" s="405"/>
      <c r="Y890" s="405"/>
      <c r="Z890" s="135"/>
      <c r="AA890" s="136">
        <f t="shared" ref="AA890" si="265">X890*Y890*Z890</f>
        <v>0</v>
      </c>
      <c r="AB890" s="111"/>
      <c r="AC890" s="226"/>
      <c r="AD890" s="226">
        <f t="shared" si="230"/>
        <v>5605</v>
      </c>
    </row>
    <row r="891" spans="1:31" ht="204.75" outlineLevel="3" thickBot="1" x14ac:dyDescent="0.25">
      <c r="A891" s="199" t="s">
        <v>1798</v>
      </c>
      <c r="B891" s="478"/>
      <c r="C891" s="480"/>
      <c r="D891" s="478"/>
      <c r="E891" s="405" t="s">
        <v>279</v>
      </c>
      <c r="F891" s="405" t="s">
        <v>280</v>
      </c>
      <c r="G891" s="405" t="s">
        <v>1789</v>
      </c>
      <c r="H891" s="420" t="s">
        <v>238</v>
      </c>
      <c r="I891" s="164">
        <v>1</v>
      </c>
      <c r="J891" s="163" t="s">
        <v>281</v>
      </c>
      <c r="K891" s="165" t="s">
        <v>1799</v>
      </c>
      <c r="L891" s="138">
        <v>1</v>
      </c>
      <c r="M891" s="166">
        <f t="shared" si="263"/>
        <v>1</v>
      </c>
      <c r="N891" s="133" t="s">
        <v>283</v>
      </c>
      <c r="O891" s="420" t="s">
        <v>242</v>
      </c>
      <c r="P891" s="138">
        <v>5</v>
      </c>
      <c r="Q891" s="225">
        <f t="shared" si="264"/>
        <v>5</v>
      </c>
      <c r="R891" s="428"/>
      <c r="S891" s="428"/>
      <c r="T891" s="133"/>
      <c r="U891" s="405"/>
      <c r="V891" s="135"/>
      <c r="W891" s="133"/>
      <c r="X891" s="405"/>
      <c r="Y891" s="405"/>
      <c r="Z891" s="135"/>
      <c r="AA891" s="136"/>
      <c r="AB891" s="111"/>
      <c r="AC891" s="226"/>
      <c r="AD891" s="226">
        <f t="shared" si="230"/>
        <v>5606</v>
      </c>
    </row>
    <row r="892" spans="1:31" ht="153.75" outlineLevel="3" thickBot="1" x14ac:dyDescent="0.25">
      <c r="A892" s="199" t="s">
        <v>1800</v>
      </c>
      <c r="B892" s="477" t="s">
        <v>285</v>
      </c>
      <c r="C892" s="479" t="s">
        <v>286</v>
      </c>
      <c r="D892" s="477" t="s">
        <v>287</v>
      </c>
      <c r="E892" s="405" t="s">
        <v>288</v>
      </c>
      <c r="F892" s="405" t="s">
        <v>289</v>
      </c>
      <c r="G892" s="405" t="s">
        <v>1795</v>
      </c>
      <c r="H892" s="420" t="s">
        <v>238</v>
      </c>
      <c r="I892" s="164">
        <v>2</v>
      </c>
      <c r="J892" s="163" t="s">
        <v>775</v>
      </c>
      <c r="K892" s="165" t="s">
        <v>1790</v>
      </c>
      <c r="L892" s="138">
        <v>2</v>
      </c>
      <c r="M892" s="166">
        <f t="shared" si="263"/>
        <v>4</v>
      </c>
      <c r="N892" s="133" t="s">
        <v>291</v>
      </c>
      <c r="O892" s="420" t="s">
        <v>242</v>
      </c>
      <c r="P892" s="138">
        <v>5</v>
      </c>
      <c r="Q892" s="225">
        <f t="shared" si="264"/>
        <v>20</v>
      </c>
      <c r="R892" s="428"/>
      <c r="S892" s="428"/>
      <c r="T892" s="133"/>
      <c r="U892" s="405"/>
      <c r="V892" s="135"/>
      <c r="W892" s="133"/>
      <c r="X892" s="405"/>
      <c r="Y892" s="405"/>
      <c r="Z892" s="135"/>
      <c r="AA892" s="136">
        <f t="shared" si="238"/>
        <v>0</v>
      </c>
      <c r="AB892" s="111"/>
      <c r="AC892" s="363"/>
      <c r="AD892" s="226">
        <f t="shared" si="230"/>
        <v>5607</v>
      </c>
    </row>
    <row r="893" spans="1:31" ht="204.75" outlineLevel="3" thickBot="1" x14ac:dyDescent="0.25">
      <c r="A893" s="199" t="s">
        <v>1801</v>
      </c>
      <c r="B893" s="478"/>
      <c r="C893" s="480"/>
      <c r="D893" s="478"/>
      <c r="E893" s="405" t="s">
        <v>293</v>
      </c>
      <c r="F893" s="415" t="s">
        <v>294</v>
      </c>
      <c r="G893" s="405" t="s">
        <v>1789</v>
      </c>
      <c r="H893" s="420" t="s">
        <v>238</v>
      </c>
      <c r="I893" s="164">
        <v>2</v>
      </c>
      <c r="J893" s="163" t="s">
        <v>257</v>
      </c>
      <c r="K893" s="165" t="s">
        <v>1790</v>
      </c>
      <c r="L893" s="138">
        <v>2</v>
      </c>
      <c r="M893" s="166">
        <f t="shared" si="263"/>
        <v>4</v>
      </c>
      <c r="N893" s="133" t="s">
        <v>291</v>
      </c>
      <c r="O893" s="420" t="s">
        <v>242</v>
      </c>
      <c r="P893" s="138">
        <v>5</v>
      </c>
      <c r="Q893" s="225">
        <f t="shared" si="264"/>
        <v>20</v>
      </c>
      <c r="R893" s="428"/>
      <c r="S893" s="428"/>
      <c r="T893" s="133"/>
      <c r="U893" s="405"/>
      <c r="V893" s="135"/>
      <c r="W893" s="133"/>
      <c r="X893" s="405"/>
      <c r="Y893" s="405"/>
      <c r="Z893" s="135"/>
      <c r="AA893" s="136"/>
      <c r="AB893" s="111"/>
      <c r="AC893" s="363"/>
      <c r="AD893" s="226">
        <f t="shared" si="230"/>
        <v>5608</v>
      </c>
    </row>
    <row r="894" spans="1:31" ht="153.75" outlineLevel="3" thickBot="1" x14ac:dyDescent="0.25">
      <c r="A894" s="199" t="s">
        <v>1802</v>
      </c>
      <c r="B894" s="477" t="s">
        <v>297</v>
      </c>
      <c r="C894" s="479" t="s">
        <v>298</v>
      </c>
      <c r="D894" s="477" t="s">
        <v>299</v>
      </c>
      <c r="E894" s="405" t="s">
        <v>300</v>
      </c>
      <c r="F894" s="405" t="s">
        <v>301</v>
      </c>
      <c r="G894" s="420" t="s">
        <v>1795</v>
      </c>
      <c r="H894" s="420" t="s">
        <v>238</v>
      </c>
      <c r="I894" s="164">
        <v>2</v>
      </c>
      <c r="J894" s="163" t="s">
        <v>302</v>
      </c>
      <c r="K894" s="165" t="s">
        <v>1790</v>
      </c>
      <c r="L894" s="138">
        <v>1</v>
      </c>
      <c r="M894" s="166">
        <f t="shared" si="263"/>
        <v>2</v>
      </c>
      <c r="N894" s="133" t="s">
        <v>303</v>
      </c>
      <c r="O894" s="420" t="s">
        <v>242</v>
      </c>
      <c r="P894" s="138">
        <v>5</v>
      </c>
      <c r="Q894" s="225">
        <f>P894*L894*I894</f>
        <v>10</v>
      </c>
      <c r="R894" s="428"/>
      <c r="S894" s="428"/>
      <c r="T894" s="133"/>
      <c r="U894" s="405"/>
      <c r="V894" s="135"/>
      <c r="W894" s="133"/>
      <c r="X894" s="405"/>
      <c r="Y894" s="405"/>
      <c r="Z894" s="135"/>
      <c r="AA894" s="136">
        <f t="shared" ref="AA894" si="266">X894*Y894*Z894</f>
        <v>0</v>
      </c>
      <c r="AB894" s="111"/>
      <c r="AC894" s="363"/>
      <c r="AD894" s="226">
        <f t="shared" si="230"/>
        <v>11120</v>
      </c>
    </row>
    <row r="895" spans="1:31" ht="153.75" outlineLevel="3" thickBot="1" x14ac:dyDescent="0.25">
      <c r="A895" s="199" t="s">
        <v>1803</v>
      </c>
      <c r="B895" s="478"/>
      <c r="C895" s="480"/>
      <c r="D895" s="478"/>
      <c r="E895" s="405" t="s">
        <v>305</v>
      </c>
      <c r="F895" s="405" t="s">
        <v>795</v>
      </c>
      <c r="G895" s="420" t="s">
        <v>1789</v>
      </c>
      <c r="H895" s="420" t="s">
        <v>238</v>
      </c>
      <c r="I895" s="164">
        <v>1</v>
      </c>
      <c r="J895" s="163" t="s">
        <v>307</v>
      </c>
      <c r="K895" s="165" t="s">
        <v>1790</v>
      </c>
      <c r="L895" s="138">
        <v>1</v>
      </c>
      <c r="M895" s="166">
        <f t="shared" si="263"/>
        <v>1</v>
      </c>
      <c r="N895" s="133" t="s">
        <v>303</v>
      </c>
      <c r="O895" s="420" t="s">
        <v>242</v>
      </c>
      <c r="P895" s="138">
        <v>5</v>
      </c>
      <c r="Q895" s="225">
        <f>P895*L895*I895</f>
        <v>5</v>
      </c>
      <c r="R895" s="428"/>
      <c r="S895" s="428"/>
      <c r="T895" s="133"/>
      <c r="U895" s="405"/>
      <c r="V895" s="135"/>
      <c r="W895" s="133"/>
      <c r="X895" s="405"/>
      <c r="Y895" s="405"/>
      <c r="Z895" s="135"/>
      <c r="AA895" s="136"/>
      <c r="AB895" s="111"/>
      <c r="AC895" s="363"/>
      <c r="AD895" s="226">
        <f t="shared" si="230"/>
        <v>11121</v>
      </c>
    </row>
    <row r="896" spans="1:31" ht="166.5" outlineLevel="3" thickBot="1" x14ac:dyDescent="0.25">
      <c r="A896" s="199" t="s">
        <v>1804</v>
      </c>
      <c r="B896" s="477" t="s">
        <v>309</v>
      </c>
      <c r="C896" s="479" t="s">
        <v>310</v>
      </c>
      <c r="D896" s="477" t="s">
        <v>311</v>
      </c>
      <c r="E896" s="405" t="s">
        <v>300</v>
      </c>
      <c r="F896" s="405" t="s">
        <v>289</v>
      </c>
      <c r="G896" s="405" t="s">
        <v>1795</v>
      </c>
      <c r="H896" s="420" t="s">
        <v>238</v>
      </c>
      <c r="I896" s="164">
        <v>2</v>
      </c>
      <c r="J896" s="163" t="s">
        <v>1014</v>
      </c>
      <c r="K896" s="165" t="s">
        <v>1790</v>
      </c>
      <c r="L896" s="138">
        <v>1</v>
      </c>
      <c r="M896" s="166">
        <f t="shared" si="263"/>
        <v>2</v>
      </c>
      <c r="N896" s="133" t="s">
        <v>303</v>
      </c>
      <c r="O896" s="420" t="s">
        <v>242</v>
      </c>
      <c r="P896" s="138">
        <v>5</v>
      </c>
      <c r="Q896" s="225">
        <f t="shared" si="264"/>
        <v>10</v>
      </c>
      <c r="R896" s="428"/>
      <c r="S896" s="428"/>
      <c r="T896" s="133"/>
      <c r="U896" s="405"/>
      <c r="V896" s="135"/>
      <c r="W896" s="133"/>
      <c r="X896" s="405"/>
      <c r="Y896" s="405"/>
      <c r="Z896" s="135"/>
      <c r="AA896" s="136">
        <f t="shared" si="238"/>
        <v>0</v>
      </c>
      <c r="AB896" s="111"/>
      <c r="AC896" s="363"/>
      <c r="AD896" s="226">
        <f t="shared" si="230"/>
        <v>5609</v>
      </c>
    </row>
    <row r="897" spans="1:30" ht="179.25" outlineLevel="3" thickBot="1" x14ac:dyDescent="0.25">
      <c r="A897" s="199" t="s">
        <v>1805</v>
      </c>
      <c r="B897" s="478"/>
      <c r="C897" s="480"/>
      <c r="D897" s="478"/>
      <c r="E897" s="405" t="s">
        <v>314</v>
      </c>
      <c r="F897" s="405" t="s">
        <v>315</v>
      </c>
      <c r="G897" s="420" t="s">
        <v>1789</v>
      </c>
      <c r="H897" s="420" t="s">
        <v>238</v>
      </c>
      <c r="I897" s="164">
        <v>1</v>
      </c>
      <c r="J897" s="163" t="s">
        <v>316</v>
      </c>
      <c r="K897" s="165" t="s">
        <v>1806</v>
      </c>
      <c r="L897" s="138">
        <v>1</v>
      </c>
      <c r="M897" s="166">
        <f t="shared" si="263"/>
        <v>1</v>
      </c>
      <c r="N897" s="133" t="s">
        <v>303</v>
      </c>
      <c r="O897" s="420" t="s">
        <v>242</v>
      </c>
      <c r="P897" s="138">
        <v>5</v>
      </c>
      <c r="Q897" s="225">
        <f t="shared" si="264"/>
        <v>5</v>
      </c>
      <c r="R897" s="428"/>
      <c r="S897" s="428"/>
      <c r="T897" s="133"/>
      <c r="U897" s="405"/>
      <c r="V897" s="135"/>
      <c r="W897" s="133"/>
      <c r="X897" s="405"/>
      <c r="Y897" s="405"/>
      <c r="Z897" s="135"/>
      <c r="AA897" s="136"/>
      <c r="AB897" s="111"/>
      <c r="AC897" s="363"/>
      <c r="AD897" s="226">
        <f t="shared" si="230"/>
        <v>5610</v>
      </c>
    </row>
    <row r="898" spans="1:30" ht="141" outlineLevel="3" thickBot="1" x14ac:dyDescent="0.25">
      <c r="A898" s="199" t="s">
        <v>1807</v>
      </c>
      <c r="B898" s="404"/>
      <c r="C898" s="407"/>
      <c r="D898" s="404"/>
      <c r="E898" s="405" t="s">
        <v>319</v>
      </c>
      <c r="F898" s="405" t="s">
        <v>320</v>
      </c>
      <c r="G898" s="405" t="s">
        <v>1795</v>
      </c>
      <c r="H898" s="420" t="s">
        <v>238</v>
      </c>
      <c r="I898" s="164">
        <v>2</v>
      </c>
      <c r="J898" s="163" t="s">
        <v>316</v>
      </c>
      <c r="K898" s="165" t="s">
        <v>321</v>
      </c>
      <c r="L898" s="138">
        <v>1</v>
      </c>
      <c r="M898" s="166">
        <f t="shared" si="263"/>
        <v>2</v>
      </c>
      <c r="N898" s="133" t="s">
        <v>303</v>
      </c>
      <c r="O898" s="420" t="s">
        <v>242</v>
      </c>
      <c r="P898" s="138">
        <v>5</v>
      </c>
      <c r="Q898" s="225">
        <f t="shared" si="264"/>
        <v>10</v>
      </c>
      <c r="R898" s="428"/>
      <c r="S898" s="428"/>
      <c r="T898" s="133"/>
      <c r="U898" s="405"/>
      <c r="V898" s="135"/>
      <c r="W898" s="133"/>
      <c r="X898" s="405"/>
      <c r="Y898" s="405"/>
      <c r="Z898" s="135"/>
      <c r="AA898" s="136"/>
      <c r="AB898" s="111"/>
      <c r="AC898" s="226"/>
      <c r="AD898" s="226">
        <f t="shared" si="230"/>
        <v>12407</v>
      </c>
    </row>
    <row r="899" spans="1:30" ht="153.75" outlineLevel="3" thickBot="1" x14ac:dyDescent="0.25">
      <c r="A899" s="252" t="s">
        <v>1808</v>
      </c>
      <c r="B899" s="489" t="s">
        <v>323</v>
      </c>
      <c r="C899" s="486" t="s">
        <v>324</v>
      </c>
      <c r="D899" s="489" t="s">
        <v>325</v>
      </c>
      <c r="E899" s="415" t="s">
        <v>326</v>
      </c>
      <c r="F899" s="415" t="s">
        <v>327</v>
      </c>
      <c r="G899" s="417" t="s">
        <v>1795</v>
      </c>
      <c r="H899" s="127" t="s">
        <v>238</v>
      </c>
      <c r="I899" s="128">
        <v>2</v>
      </c>
      <c r="J899" s="163" t="s">
        <v>328</v>
      </c>
      <c r="K899" s="130" t="s">
        <v>1790</v>
      </c>
      <c r="L899" s="131">
        <v>1</v>
      </c>
      <c r="M899" s="132">
        <f t="shared" si="263"/>
        <v>2</v>
      </c>
      <c r="N899" s="133" t="s">
        <v>291</v>
      </c>
      <c r="O899" s="69" t="s">
        <v>242</v>
      </c>
      <c r="P899" s="131">
        <v>5</v>
      </c>
      <c r="Q899" s="134">
        <f t="shared" si="264"/>
        <v>10</v>
      </c>
      <c r="R899" s="428"/>
      <c r="S899" s="428"/>
      <c r="T899" s="133"/>
      <c r="U899" s="405"/>
      <c r="V899" s="135"/>
      <c r="W899" s="133"/>
      <c r="X899" s="405"/>
      <c r="Y899" s="405"/>
      <c r="Z899" s="135"/>
      <c r="AA899" s="136"/>
      <c r="AB899" s="111"/>
      <c r="AC899" s="363"/>
      <c r="AD899" s="226">
        <f t="shared" si="230"/>
        <v>5611</v>
      </c>
    </row>
    <row r="900" spans="1:30" ht="204.75" outlineLevel="3" thickBot="1" x14ac:dyDescent="0.25">
      <c r="A900" s="243" t="s">
        <v>1809</v>
      </c>
      <c r="B900" s="491"/>
      <c r="C900" s="487"/>
      <c r="D900" s="491"/>
      <c r="E900" s="415" t="s">
        <v>330</v>
      </c>
      <c r="F900" s="430" t="s">
        <v>1019</v>
      </c>
      <c r="G900" s="417" t="s">
        <v>1795</v>
      </c>
      <c r="H900" s="127" t="s">
        <v>238</v>
      </c>
      <c r="I900" s="128">
        <v>2</v>
      </c>
      <c r="J900" s="163" t="s">
        <v>332</v>
      </c>
      <c r="K900" s="130" t="s">
        <v>1790</v>
      </c>
      <c r="L900" s="131">
        <v>1</v>
      </c>
      <c r="M900" s="132">
        <f t="shared" si="263"/>
        <v>2</v>
      </c>
      <c r="N900" s="133" t="s">
        <v>291</v>
      </c>
      <c r="O900" s="69" t="s">
        <v>242</v>
      </c>
      <c r="P900" s="131">
        <v>5</v>
      </c>
      <c r="Q900" s="134">
        <f t="shared" si="264"/>
        <v>10</v>
      </c>
      <c r="R900" s="428"/>
      <c r="S900" s="428"/>
      <c r="T900" s="133"/>
      <c r="U900" s="405"/>
      <c r="V900" s="135"/>
      <c r="W900" s="133"/>
      <c r="X900" s="405"/>
      <c r="Y900" s="405"/>
      <c r="Z900" s="135"/>
      <c r="AA900" s="136"/>
      <c r="AB900" s="111"/>
      <c r="AC900" s="226"/>
      <c r="AD900" s="226">
        <f t="shared" si="230"/>
        <v>5612</v>
      </c>
    </row>
    <row r="901" spans="1:30" ht="153.75" outlineLevel="3" thickBot="1" x14ac:dyDescent="0.25">
      <c r="A901" s="199" t="s">
        <v>1810</v>
      </c>
      <c r="B901" s="477" t="s">
        <v>334</v>
      </c>
      <c r="C901" s="479" t="s">
        <v>335</v>
      </c>
      <c r="D901" s="477" t="s">
        <v>336</v>
      </c>
      <c r="E901" s="405" t="s">
        <v>288</v>
      </c>
      <c r="F901" s="405" t="s">
        <v>337</v>
      </c>
      <c r="G901" s="405" t="s">
        <v>1789</v>
      </c>
      <c r="H901" s="420" t="s">
        <v>238</v>
      </c>
      <c r="I901" s="164">
        <v>1</v>
      </c>
      <c r="J901" s="163" t="s">
        <v>775</v>
      </c>
      <c r="K901" s="165" t="s">
        <v>1790</v>
      </c>
      <c r="L901" s="138">
        <v>2</v>
      </c>
      <c r="M901" s="132">
        <f t="shared" si="263"/>
        <v>2</v>
      </c>
      <c r="N901" s="133" t="s">
        <v>291</v>
      </c>
      <c r="O901" s="69" t="s">
        <v>242</v>
      </c>
      <c r="P901" s="131">
        <v>5</v>
      </c>
      <c r="Q901" s="134">
        <f t="shared" si="264"/>
        <v>10</v>
      </c>
      <c r="R901" s="428"/>
      <c r="S901" s="428"/>
      <c r="T901" s="133"/>
      <c r="U901" s="405"/>
      <c r="V901" s="135"/>
      <c r="W901" s="133"/>
      <c r="X901" s="405"/>
      <c r="Y901" s="405"/>
      <c r="Z901" s="135"/>
      <c r="AA901" s="136"/>
      <c r="AB901" s="111"/>
      <c r="AC901" s="363"/>
      <c r="AD901" s="226">
        <f t="shared" si="230"/>
        <v>5613</v>
      </c>
    </row>
    <row r="902" spans="1:30" ht="153.75" outlineLevel="3" thickBot="1" x14ac:dyDescent="0.25">
      <c r="A902" s="243" t="s">
        <v>1811</v>
      </c>
      <c r="B902" s="491"/>
      <c r="C902" s="487"/>
      <c r="D902" s="491"/>
      <c r="E902" s="415" t="s">
        <v>340</v>
      </c>
      <c r="F902" s="430" t="s">
        <v>341</v>
      </c>
      <c r="G902" s="417" t="s">
        <v>1795</v>
      </c>
      <c r="H902" s="127" t="s">
        <v>238</v>
      </c>
      <c r="I902" s="128">
        <v>2</v>
      </c>
      <c r="J902" s="163" t="s">
        <v>257</v>
      </c>
      <c r="K902" s="130" t="s">
        <v>1790</v>
      </c>
      <c r="L902" s="138">
        <v>2</v>
      </c>
      <c r="M902" s="132">
        <f t="shared" si="263"/>
        <v>4</v>
      </c>
      <c r="N902" s="133" t="s">
        <v>291</v>
      </c>
      <c r="O902" s="69" t="s">
        <v>242</v>
      </c>
      <c r="P902" s="131">
        <v>5</v>
      </c>
      <c r="Q902" s="134">
        <f t="shared" si="264"/>
        <v>20</v>
      </c>
      <c r="R902" s="428"/>
      <c r="S902" s="428"/>
      <c r="T902" s="133"/>
      <c r="U902" s="405"/>
      <c r="V902" s="135"/>
      <c r="W902" s="133"/>
      <c r="X902" s="405"/>
      <c r="Y902" s="405"/>
      <c r="Z902" s="135"/>
      <c r="AA902" s="136"/>
      <c r="AB902" s="111"/>
      <c r="AC902" s="226"/>
      <c r="AD902" s="226">
        <f t="shared" ref="AD902:AD965" si="267">VALUE(RIGHT((IF(A902="",0,A902)),5))</f>
        <v>5614</v>
      </c>
    </row>
    <row r="903" spans="1:30" ht="153.75" outlineLevel="3" thickBot="1" x14ac:dyDescent="0.25">
      <c r="A903" s="199" t="s">
        <v>1812</v>
      </c>
      <c r="B903" s="477" t="s">
        <v>343</v>
      </c>
      <c r="C903" s="479" t="s">
        <v>344</v>
      </c>
      <c r="D903" s="477" t="s">
        <v>345</v>
      </c>
      <c r="E903" s="405" t="s">
        <v>275</v>
      </c>
      <c r="F903" s="405" t="s">
        <v>315</v>
      </c>
      <c r="G903" s="405" t="s">
        <v>1789</v>
      </c>
      <c r="H903" s="420" t="s">
        <v>238</v>
      </c>
      <c r="I903" s="164">
        <v>1</v>
      </c>
      <c r="J903" s="163" t="s">
        <v>277</v>
      </c>
      <c r="K903" s="165" t="s">
        <v>1790</v>
      </c>
      <c r="L903" s="138">
        <v>1</v>
      </c>
      <c r="M903" s="166">
        <f t="shared" si="263"/>
        <v>1</v>
      </c>
      <c r="N903" s="133" t="s">
        <v>241</v>
      </c>
      <c r="O903" s="420" t="s">
        <v>242</v>
      </c>
      <c r="P903" s="138">
        <v>5</v>
      </c>
      <c r="Q903" s="225">
        <f t="shared" si="264"/>
        <v>5</v>
      </c>
      <c r="R903" s="428"/>
      <c r="S903" s="428"/>
      <c r="T903" s="133"/>
      <c r="U903" s="405"/>
      <c r="V903" s="135"/>
      <c r="W903" s="133"/>
      <c r="X903" s="405"/>
      <c r="Y903" s="405"/>
      <c r="Z903" s="135"/>
      <c r="AA903" s="136"/>
      <c r="AB903" s="111"/>
      <c r="AC903" s="226"/>
      <c r="AD903" s="226">
        <f t="shared" si="267"/>
        <v>12408</v>
      </c>
    </row>
    <row r="904" spans="1:30" ht="166.5" outlineLevel="3" thickBot="1" x14ac:dyDescent="0.25">
      <c r="A904" s="199" t="s">
        <v>1813</v>
      </c>
      <c r="B904" s="478"/>
      <c r="C904" s="480"/>
      <c r="D904" s="478"/>
      <c r="E904" s="405" t="s">
        <v>279</v>
      </c>
      <c r="F904" s="405" t="s">
        <v>347</v>
      </c>
      <c r="G904" s="405" t="s">
        <v>1795</v>
      </c>
      <c r="H904" s="420" t="s">
        <v>238</v>
      </c>
      <c r="I904" s="164">
        <v>2</v>
      </c>
      <c r="J904" s="163" t="s">
        <v>281</v>
      </c>
      <c r="K904" s="165" t="s">
        <v>1790</v>
      </c>
      <c r="L904" s="138">
        <v>1</v>
      </c>
      <c r="M904" s="166">
        <f t="shared" si="263"/>
        <v>2</v>
      </c>
      <c r="N904" s="133" t="s">
        <v>283</v>
      </c>
      <c r="O904" s="420" t="s">
        <v>242</v>
      </c>
      <c r="P904" s="138">
        <v>5</v>
      </c>
      <c r="Q904" s="225">
        <f t="shared" si="264"/>
        <v>10</v>
      </c>
      <c r="R904" s="428"/>
      <c r="S904" s="428"/>
      <c r="T904" s="133"/>
      <c r="U904" s="405"/>
      <c r="V904" s="135"/>
      <c r="W904" s="133"/>
      <c r="X904" s="405"/>
      <c r="Y904" s="405"/>
      <c r="Z904" s="135"/>
      <c r="AA904" s="136"/>
      <c r="AB904" s="111"/>
      <c r="AC904" s="226"/>
      <c r="AD904" s="226">
        <f t="shared" si="267"/>
        <v>12409</v>
      </c>
    </row>
    <row r="905" spans="1:30" ht="153.75" outlineLevel="3" thickBot="1" x14ac:dyDescent="0.25">
      <c r="A905" s="201" t="s">
        <v>1814</v>
      </c>
      <c r="B905" s="506" t="s">
        <v>349</v>
      </c>
      <c r="C905" s="507" t="s">
        <v>350</v>
      </c>
      <c r="D905" s="506" t="s">
        <v>351</v>
      </c>
      <c r="E905" s="411" t="s">
        <v>352</v>
      </c>
      <c r="F905" s="411" t="s">
        <v>809</v>
      </c>
      <c r="G905" s="420" t="s">
        <v>1795</v>
      </c>
      <c r="H905" s="420" t="s">
        <v>238</v>
      </c>
      <c r="I905" s="411">
        <v>2</v>
      </c>
      <c r="J905" s="411" t="s">
        <v>302</v>
      </c>
      <c r="K905" s="130" t="s">
        <v>1790</v>
      </c>
      <c r="L905" s="411">
        <v>1</v>
      </c>
      <c r="M905" s="166">
        <f t="shared" si="263"/>
        <v>2</v>
      </c>
      <c r="N905" s="133" t="s">
        <v>303</v>
      </c>
      <c r="O905" s="420" t="s">
        <v>242</v>
      </c>
      <c r="P905" s="138">
        <v>5</v>
      </c>
      <c r="Q905" s="225">
        <f>P905*L905*I905</f>
        <v>10</v>
      </c>
      <c r="R905" s="428"/>
      <c r="S905" s="428"/>
      <c r="T905" s="133"/>
      <c r="U905" s="405"/>
      <c r="V905" s="135"/>
      <c r="W905" s="133"/>
      <c r="X905" s="405"/>
      <c r="Y905" s="405"/>
      <c r="Z905" s="135"/>
      <c r="AA905" s="136"/>
      <c r="AB905" s="111"/>
      <c r="AC905" s="363"/>
      <c r="AD905" s="226">
        <f t="shared" si="267"/>
        <v>11122</v>
      </c>
    </row>
    <row r="906" spans="1:30" ht="153.75" outlineLevel="3" thickBot="1" x14ac:dyDescent="0.25">
      <c r="A906" s="198" t="s">
        <v>1815</v>
      </c>
      <c r="B906" s="506"/>
      <c r="C906" s="507"/>
      <c r="D906" s="506"/>
      <c r="E906" s="411" t="s">
        <v>355</v>
      </c>
      <c r="F906" s="411" t="s">
        <v>356</v>
      </c>
      <c r="G906" s="411" t="s">
        <v>1795</v>
      </c>
      <c r="H906" s="420" t="s">
        <v>238</v>
      </c>
      <c r="I906" s="411">
        <v>2</v>
      </c>
      <c r="J906" s="411" t="s">
        <v>307</v>
      </c>
      <c r="K906" s="130" t="s">
        <v>1790</v>
      </c>
      <c r="L906" s="411">
        <v>1</v>
      </c>
      <c r="M906" s="166">
        <f t="shared" si="263"/>
        <v>2</v>
      </c>
      <c r="N906" s="133" t="s">
        <v>303</v>
      </c>
      <c r="O906" s="420" t="s">
        <v>242</v>
      </c>
      <c r="P906" s="138">
        <v>5</v>
      </c>
      <c r="Q906" s="225">
        <f>P906*L906*I906</f>
        <v>10</v>
      </c>
      <c r="R906" s="428"/>
      <c r="S906" s="428"/>
      <c r="T906" s="133"/>
      <c r="U906" s="405"/>
      <c r="V906" s="135"/>
      <c r="W906" s="133"/>
      <c r="X906" s="405"/>
      <c r="Y906" s="405"/>
      <c r="Z906" s="135"/>
      <c r="AA906" s="136"/>
      <c r="AB906" s="111"/>
      <c r="AC906" s="363"/>
      <c r="AD906" s="226">
        <f t="shared" si="267"/>
        <v>11123</v>
      </c>
    </row>
    <row r="907" spans="1:30" ht="153.75" outlineLevel="3" thickBot="1" x14ac:dyDescent="0.25">
      <c r="A907" s="199" t="s">
        <v>1816</v>
      </c>
      <c r="B907" s="477" t="s">
        <v>358</v>
      </c>
      <c r="C907" s="479" t="s">
        <v>359</v>
      </c>
      <c r="D907" s="477" t="s">
        <v>360</v>
      </c>
      <c r="E907" s="405" t="s">
        <v>288</v>
      </c>
      <c r="F907" s="405" t="s">
        <v>361</v>
      </c>
      <c r="G907" s="417" t="s">
        <v>1795</v>
      </c>
      <c r="H907" s="420" t="s">
        <v>238</v>
      </c>
      <c r="I907" s="164">
        <v>2</v>
      </c>
      <c r="J907" s="163" t="s">
        <v>775</v>
      </c>
      <c r="K907" s="130" t="s">
        <v>1790</v>
      </c>
      <c r="L907" s="138">
        <v>1</v>
      </c>
      <c r="M907" s="166">
        <f t="shared" si="263"/>
        <v>2</v>
      </c>
      <c r="N907" s="133" t="s">
        <v>291</v>
      </c>
      <c r="O907" s="69" t="s">
        <v>242</v>
      </c>
      <c r="P907" s="131">
        <v>5</v>
      </c>
      <c r="Q907" s="134">
        <f t="shared" si="264"/>
        <v>10</v>
      </c>
      <c r="R907" s="428"/>
      <c r="S907" s="428"/>
      <c r="T907" s="133"/>
      <c r="U907" s="405"/>
      <c r="V907" s="135"/>
      <c r="W907" s="133"/>
      <c r="X907" s="405"/>
      <c r="Y907" s="405"/>
      <c r="Z907" s="135"/>
      <c r="AA907" s="136"/>
      <c r="AB907" s="111"/>
      <c r="AC907" s="363"/>
      <c r="AD907" s="226">
        <f t="shared" si="267"/>
        <v>6993</v>
      </c>
    </row>
    <row r="908" spans="1:30" ht="153.75" outlineLevel="3" thickBot="1" x14ac:dyDescent="0.25">
      <c r="A908" s="199" t="s">
        <v>1817</v>
      </c>
      <c r="B908" s="478"/>
      <c r="C908" s="480"/>
      <c r="D908" s="478"/>
      <c r="E908" s="405" t="s">
        <v>340</v>
      </c>
      <c r="F908" s="405" t="s">
        <v>363</v>
      </c>
      <c r="G908" s="417" t="s">
        <v>1795</v>
      </c>
      <c r="H908" s="420" t="s">
        <v>238</v>
      </c>
      <c r="I908" s="164">
        <v>2</v>
      </c>
      <c r="J908" s="163" t="s">
        <v>257</v>
      </c>
      <c r="K908" s="130" t="s">
        <v>1790</v>
      </c>
      <c r="L908" s="138">
        <v>1</v>
      </c>
      <c r="M908" s="166">
        <f t="shared" si="263"/>
        <v>2</v>
      </c>
      <c r="N908" s="133" t="s">
        <v>291</v>
      </c>
      <c r="O908" s="69" t="s">
        <v>242</v>
      </c>
      <c r="P908" s="131">
        <v>5</v>
      </c>
      <c r="Q908" s="134">
        <f t="shared" si="264"/>
        <v>10</v>
      </c>
      <c r="R908" s="428"/>
      <c r="S908" s="428"/>
      <c r="T908" s="133"/>
      <c r="U908" s="405"/>
      <c r="V908" s="135"/>
      <c r="W908" s="133"/>
      <c r="X908" s="405"/>
      <c r="Y908" s="405"/>
      <c r="Z908" s="135"/>
      <c r="AA908" s="136"/>
      <c r="AB908" s="111"/>
      <c r="AC908" s="363"/>
      <c r="AD908" s="226">
        <f t="shared" si="267"/>
        <v>6994</v>
      </c>
    </row>
    <row r="909" spans="1:30" ht="153.75" outlineLevel="3" thickBot="1" x14ac:dyDescent="0.25">
      <c r="A909" s="199" t="s">
        <v>1818</v>
      </c>
      <c r="B909" s="477" t="s">
        <v>365</v>
      </c>
      <c r="C909" s="479" t="s">
        <v>366</v>
      </c>
      <c r="D909" s="477" t="s">
        <v>367</v>
      </c>
      <c r="E909" s="405" t="s">
        <v>288</v>
      </c>
      <c r="F909" s="405" t="s">
        <v>327</v>
      </c>
      <c r="G909" s="417" t="s">
        <v>1795</v>
      </c>
      <c r="H909" s="420" t="s">
        <v>238</v>
      </c>
      <c r="I909" s="164">
        <v>2</v>
      </c>
      <c r="J909" s="163" t="s">
        <v>775</v>
      </c>
      <c r="K909" s="130" t="s">
        <v>1790</v>
      </c>
      <c r="L909" s="138">
        <v>1</v>
      </c>
      <c r="M909" s="166">
        <f t="shared" si="263"/>
        <v>2</v>
      </c>
      <c r="N909" s="133" t="s">
        <v>291</v>
      </c>
      <c r="O909" s="69" t="s">
        <v>242</v>
      </c>
      <c r="P909" s="131">
        <v>5</v>
      </c>
      <c r="Q909" s="134">
        <f t="shared" si="264"/>
        <v>10</v>
      </c>
      <c r="R909" s="428"/>
      <c r="S909" s="428"/>
      <c r="T909" s="133"/>
      <c r="U909" s="405"/>
      <c r="V909" s="135"/>
      <c r="W909" s="133"/>
      <c r="X909" s="405"/>
      <c r="Y909" s="405"/>
      <c r="Z909" s="135"/>
      <c r="AA909" s="136">
        <f t="shared" si="238"/>
        <v>0</v>
      </c>
      <c r="AB909" s="111"/>
      <c r="AC909" s="363"/>
      <c r="AD909" s="226">
        <f t="shared" si="267"/>
        <v>6995</v>
      </c>
    </row>
    <row r="910" spans="1:30" ht="166.5" outlineLevel="3" thickBot="1" x14ac:dyDescent="0.25">
      <c r="A910" s="199" t="s">
        <v>1819</v>
      </c>
      <c r="B910" s="478"/>
      <c r="C910" s="480"/>
      <c r="D910" s="478"/>
      <c r="E910" s="405" t="s">
        <v>340</v>
      </c>
      <c r="F910" s="405" t="s">
        <v>369</v>
      </c>
      <c r="G910" s="405" t="s">
        <v>1795</v>
      </c>
      <c r="H910" s="420" t="s">
        <v>238</v>
      </c>
      <c r="I910" s="164">
        <v>2</v>
      </c>
      <c r="J910" s="163" t="s">
        <v>257</v>
      </c>
      <c r="K910" s="165" t="s">
        <v>1790</v>
      </c>
      <c r="L910" s="138">
        <v>1</v>
      </c>
      <c r="M910" s="166">
        <f t="shared" si="263"/>
        <v>2</v>
      </c>
      <c r="N910" s="133" t="s">
        <v>291</v>
      </c>
      <c r="O910" s="69" t="s">
        <v>242</v>
      </c>
      <c r="P910" s="131">
        <v>5</v>
      </c>
      <c r="Q910" s="134">
        <f t="shared" si="264"/>
        <v>10</v>
      </c>
      <c r="R910" s="428"/>
      <c r="S910" s="428"/>
      <c r="T910" s="133"/>
      <c r="U910" s="405"/>
      <c r="V910" s="135"/>
      <c r="W910" s="133"/>
      <c r="X910" s="405"/>
      <c r="Y910" s="405"/>
      <c r="Z910" s="135"/>
      <c r="AA910" s="136"/>
      <c r="AB910" s="111"/>
      <c r="AC910" s="363"/>
      <c r="AD910" s="226">
        <f t="shared" si="267"/>
        <v>6996</v>
      </c>
    </row>
    <row r="911" spans="1:30" ht="153.75" outlineLevel="3" thickBot="1" x14ac:dyDescent="0.25">
      <c r="A911" s="199" t="s">
        <v>1820</v>
      </c>
      <c r="B911" s="477" t="s">
        <v>371</v>
      </c>
      <c r="C911" s="479" t="s">
        <v>372</v>
      </c>
      <c r="D911" s="477" t="s">
        <v>373</v>
      </c>
      <c r="E911" s="405" t="s">
        <v>288</v>
      </c>
      <c r="F911" s="405" t="s">
        <v>374</v>
      </c>
      <c r="G911" s="417" t="s">
        <v>1795</v>
      </c>
      <c r="H911" s="420" t="s">
        <v>238</v>
      </c>
      <c r="I911" s="164">
        <v>2</v>
      </c>
      <c r="J911" s="163" t="s">
        <v>1031</v>
      </c>
      <c r="K911" s="130" t="s">
        <v>1790</v>
      </c>
      <c r="L911" s="138">
        <v>2</v>
      </c>
      <c r="M911" s="166">
        <f t="shared" si="263"/>
        <v>4</v>
      </c>
      <c r="N911" s="133" t="s">
        <v>291</v>
      </c>
      <c r="O911" s="69" t="s">
        <v>242</v>
      </c>
      <c r="P911" s="131">
        <v>5</v>
      </c>
      <c r="Q911" s="134">
        <f t="shared" si="264"/>
        <v>20</v>
      </c>
      <c r="R911" s="428"/>
      <c r="S911" s="428"/>
      <c r="T911" s="133"/>
      <c r="U911" s="405"/>
      <c r="V911" s="135"/>
      <c r="W911" s="133"/>
      <c r="X911" s="405"/>
      <c r="Y911" s="405"/>
      <c r="Z911" s="135"/>
      <c r="AA911" s="136"/>
      <c r="AB911" s="111"/>
      <c r="AC911" s="363"/>
      <c r="AD911" s="226">
        <f t="shared" si="267"/>
        <v>6997</v>
      </c>
    </row>
    <row r="912" spans="1:30" ht="153.75" outlineLevel="3" thickBot="1" x14ac:dyDescent="0.25">
      <c r="A912" s="199" t="s">
        <v>1821</v>
      </c>
      <c r="B912" s="478"/>
      <c r="C912" s="480"/>
      <c r="D912" s="478"/>
      <c r="E912" s="405" t="s">
        <v>340</v>
      </c>
      <c r="F912" s="405" t="s">
        <v>1822</v>
      </c>
      <c r="G912" s="405" t="s">
        <v>1795</v>
      </c>
      <c r="H912" s="420" t="s">
        <v>238</v>
      </c>
      <c r="I912" s="164">
        <v>2</v>
      </c>
      <c r="J912" s="163" t="s">
        <v>833</v>
      </c>
      <c r="K912" s="165" t="s">
        <v>1790</v>
      </c>
      <c r="L912" s="138">
        <v>2</v>
      </c>
      <c r="M912" s="166">
        <f t="shared" si="263"/>
        <v>4</v>
      </c>
      <c r="N912" s="133" t="s">
        <v>291</v>
      </c>
      <c r="O912" s="420" t="s">
        <v>242</v>
      </c>
      <c r="P912" s="138">
        <v>5</v>
      </c>
      <c r="Q912" s="225">
        <f t="shared" si="264"/>
        <v>20</v>
      </c>
      <c r="R912" s="428"/>
      <c r="S912" s="428"/>
      <c r="T912" s="133"/>
      <c r="U912" s="405"/>
      <c r="V912" s="135"/>
      <c r="W912" s="133"/>
      <c r="X912" s="405"/>
      <c r="Y912" s="405"/>
      <c r="Z912" s="135"/>
      <c r="AA912" s="136"/>
      <c r="AB912" s="111"/>
      <c r="AC912" s="363"/>
      <c r="AD912" s="226">
        <f t="shared" si="267"/>
        <v>6998</v>
      </c>
    </row>
    <row r="913" spans="1:31" ht="153.75" outlineLevel="3" thickBot="1" x14ac:dyDescent="0.25">
      <c r="A913" s="243" t="s">
        <v>1823</v>
      </c>
      <c r="B913" s="489" t="s">
        <v>378</v>
      </c>
      <c r="C913" s="486" t="s">
        <v>379</v>
      </c>
      <c r="D913" s="516" t="s">
        <v>380</v>
      </c>
      <c r="E913" s="417" t="s">
        <v>381</v>
      </c>
      <c r="F913" s="417" t="s">
        <v>327</v>
      </c>
      <c r="G913" s="417" t="s">
        <v>1795</v>
      </c>
      <c r="H913" s="127" t="s">
        <v>238</v>
      </c>
      <c r="I913" s="128">
        <v>2</v>
      </c>
      <c r="J913" s="163" t="s">
        <v>382</v>
      </c>
      <c r="K913" s="130" t="s">
        <v>1790</v>
      </c>
      <c r="L913" s="131">
        <v>1</v>
      </c>
      <c r="M913" s="132">
        <f t="shared" si="263"/>
        <v>2</v>
      </c>
      <c r="N913" s="133" t="s">
        <v>291</v>
      </c>
      <c r="O913" s="69" t="s">
        <v>242</v>
      </c>
      <c r="P913" s="131">
        <v>5</v>
      </c>
      <c r="Q913" s="134">
        <f t="shared" si="264"/>
        <v>10</v>
      </c>
      <c r="R913" s="428"/>
      <c r="S913" s="428"/>
      <c r="T913" s="133"/>
      <c r="U913" s="405"/>
      <c r="V913" s="135"/>
      <c r="W913" s="133"/>
      <c r="X913" s="405"/>
      <c r="Y913" s="405"/>
      <c r="Z913" s="135"/>
      <c r="AA913" s="136"/>
      <c r="AB913" s="111"/>
      <c r="AD913" s="226">
        <f t="shared" si="267"/>
        <v>5615</v>
      </c>
      <c r="AE913" s="357"/>
    </row>
    <row r="914" spans="1:31" ht="166.5" outlineLevel="3" thickBot="1" x14ac:dyDescent="0.25">
      <c r="A914" s="199" t="s">
        <v>1824</v>
      </c>
      <c r="B914" s="478"/>
      <c r="C914" s="480"/>
      <c r="D914" s="478"/>
      <c r="E914" s="405" t="s">
        <v>384</v>
      </c>
      <c r="F914" s="405" t="s">
        <v>385</v>
      </c>
      <c r="G914" s="405" t="s">
        <v>1795</v>
      </c>
      <c r="H914" s="420" t="s">
        <v>238</v>
      </c>
      <c r="I914" s="164">
        <v>2</v>
      </c>
      <c r="J914" s="163" t="s">
        <v>386</v>
      </c>
      <c r="K914" s="165" t="s">
        <v>1790</v>
      </c>
      <c r="L914" s="138">
        <v>1</v>
      </c>
      <c r="M914" s="166">
        <f t="shared" si="263"/>
        <v>2</v>
      </c>
      <c r="N914" s="133" t="s">
        <v>291</v>
      </c>
      <c r="O914" s="420" t="s">
        <v>242</v>
      </c>
      <c r="P914" s="138">
        <v>5</v>
      </c>
      <c r="Q914" s="225">
        <f t="shared" si="264"/>
        <v>10</v>
      </c>
      <c r="R914" s="428"/>
      <c r="S914" s="428"/>
      <c r="T914" s="133"/>
      <c r="U914" s="405"/>
      <c r="V914" s="135"/>
      <c r="W914" s="133"/>
      <c r="X914" s="405"/>
      <c r="Y914" s="405"/>
      <c r="Z914" s="135"/>
      <c r="AA914" s="136">
        <f>X914*Y914*Z914</f>
        <v>0</v>
      </c>
      <c r="AB914" s="111"/>
      <c r="AC914" s="363"/>
      <c r="AD914" s="226">
        <f t="shared" si="267"/>
        <v>5616</v>
      </c>
    </row>
    <row r="915" spans="1:31" s="144" customFormat="1" ht="153.75" outlineLevel="3" thickBot="1" x14ac:dyDescent="0.25">
      <c r="A915" s="252" t="s">
        <v>1825</v>
      </c>
      <c r="B915" s="489" t="s">
        <v>388</v>
      </c>
      <c r="C915" s="486" t="s">
        <v>389</v>
      </c>
      <c r="D915" s="489" t="s">
        <v>390</v>
      </c>
      <c r="E915" s="415" t="s">
        <v>300</v>
      </c>
      <c r="F915" s="415" t="s">
        <v>1826</v>
      </c>
      <c r="G915" s="417" t="s">
        <v>1795</v>
      </c>
      <c r="H915" s="127" t="s">
        <v>238</v>
      </c>
      <c r="I915" s="128">
        <v>2</v>
      </c>
      <c r="J915" s="163" t="s">
        <v>302</v>
      </c>
      <c r="K915" s="130" t="s">
        <v>1790</v>
      </c>
      <c r="L915" s="131">
        <v>1</v>
      </c>
      <c r="M915" s="132">
        <f t="shared" si="263"/>
        <v>2</v>
      </c>
      <c r="N915" s="133" t="s">
        <v>291</v>
      </c>
      <c r="O915" s="69" t="s">
        <v>242</v>
      </c>
      <c r="P915" s="131">
        <v>5</v>
      </c>
      <c r="Q915" s="134">
        <f t="shared" si="264"/>
        <v>10</v>
      </c>
      <c r="R915" s="428"/>
      <c r="S915" s="428"/>
      <c r="T915" s="133"/>
      <c r="U915" s="405"/>
      <c r="V915" s="135"/>
      <c r="W915" s="133"/>
      <c r="X915" s="405"/>
      <c r="Y915" s="405"/>
      <c r="Z915" s="135"/>
      <c r="AA915" s="136">
        <f>X915*Y915*Z915</f>
        <v>0</v>
      </c>
      <c r="AB915" s="111"/>
      <c r="AC915" s="366"/>
      <c r="AD915" s="226">
        <f t="shared" si="267"/>
        <v>5617</v>
      </c>
      <c r="AE915" s="350"/>
    </row>
    <row r="916" spans="1:31" s="144" customFormat="1" ht="230.25" outlineLevel="3" thickBot="1" x14ac:dyDescent="0.25">
      <c r="A916" s="243" t="s">
        <v>1827</v>
      </c>
      <c r="B916" s="491"/>
      <c r="C916" s="487"/>
      <c r="D916" s="491"/>
      <c r="E916" s="415" t="s">
        <v>393</v>
      </c>
      <c r="F916" s="430" t="s">
        <v>1828</v>
      </c>
      <c r="G916" s="417" t="s">
        <v>1795</v>
      </c>
      <c r="H916" s="127" t="s">
        <v>238</v>
      </c>
      <c r="I916" s="128">
        <v>2</v>
      </c>
      <c r="J916" s="163" t="s">
        <v>307</v>
      </c>
      <c r="K916" s="130" t="s">
        <v>1790</v>
      </c>
      <c r="L916" s="131">
        <v>1</v>
      </c>
      <c r="M916" s="132">
        <f t="shared" si="263"/>
        <v>2</v>
      </c>
      <c r="N916" s="133" t="s">
        <v>291</v>
      </c>
      <c r="O916" s="69" t="s">
        <v>242</v>
      </c>
      <c r="P916" s="131">
        <v>5</v>
      </c>
      <c r="Q916" s="134">
        <f t="shared" si="264"/>
        <v>10</v>
      </c>
      <c r="R916" s="428"/>
      <c r="S916" s="428"/>
      <c r="T916" s="133"/>
      <c r="U916" s="405"/>
      <c r="V916" s="135"/>
      <c r="W916" s="133"/>
      <c r="X916" s="405"/>
      <c r="Y916" s="405"/>
      <c r="Z916" s="135"/>
      <c r="AA916" s="136">
        <f>X916*Y916*Z916</f>
        <v>0</v>
      </c>
      <c r="AB916" s="111"/>
      <c r="AC916" s="366"/>
      <c r="AD916" s="226">
        <f t="shared" si="267"/>
        <v>5618</v>
      </c>
      <c r="AE916" s="350"/>
    </row>
    <row r="917" spans="1:31" ht="192" outlineLevel="3" thickBot="1" x14ac:dyDescent="0.25">
      <c r="A917" s="200" t="s">
        <v>1829</v>
      </c>
      <c r="B917" s="485" t="s">
        <v>396</v>
      </c>
      <c r="C917" s="479"/>
      <c r="D917" s="485" t="s">
        <v>397</v>
      </c>
      <c r="E917" s="337" t="s">
        <v>398</v>
      </c>
      <c r="F917" s="337" t="s">
        <v>399</v>
      </c>
      <c r="G917" s="337" t="s">
        <v>1795</v>
      </c>
      <c r="H917" s="148" t="s">
        <v>238</v>
      </c>
      <c r="I917" s="149">
        <v>2</v>
      </c>
      <c r="J917" s="176" t="s">
        <v>438</v>
      </c>
      <c r="K917" s="151" t="s">
        <v>1790</v>
      </c>
      <c r="L917" s="152">
        <v>1</v>
      </c>
      <c r="M917" s="153">
        <f t="shared" si="263"/>
        <v>2</v>
      </c>
      <c r="N917" s="154" t="s">
        <v>291</v>
      </c>
      <c r="O917" s="155" t="s">
        <v>242</v>
      </c>
      <c r="P917" s="152">
        <v>5</v>
      </c>
      <c r="Q917" s="156">
        <f t="shared" si="264"/>
        <v>10</v>
      </c>
      <c r="R917" s="428"/>
      <c r="S917" s="428"/>
      <c r="T917" s="133"/>
      <c r="U917" s="405"/>
      <c r="V917" s="135"/>
      <c r="W917" s="133"/>
      <c r="X917" s="405"/>
      <c r="Y917" s="405"/>
      <c r="Z917" s="135"/>
      <c r="AA917" s="136">
        <f t="shared" ref="AA917:AA935" si="268">X917*Y917*Z917</f>
        <v>0</v>
      </c>
      <c r="AB917" s="111"/>
      <c r="AC917" s="363"/>
      <c r="AD917" s="226">
        <f t="shared" si="267"/>
        <v>5619</v>
      </c>
    </row>
    <row r="918" spans="1:31" ht="153.75" outlineLevel="3" thickBot="1" x14ac:dyDescent="0.25">
      <c r="A918" s="199" t="s">
        <v>1830</v>
      </c>
      <c r="B918" s="478"/>
      <c r="C918" s="480"/>
      <c r="D918" s="478"/>
      <c r="E918" s="417" t="s">
        <v>340</v>
      </c>
      <c r="F918" s="417" t="s">
        <v>1040</v>
      </c>
      <c r="G918" s="417" t="s">
        <v>1795</v>
      </c>
      <c r="H918" s="127" t="s">
        <v>238</v>
      </c>
      <c r="I918" s="128">
        <v>2</v>
      </c>
      <c r="J918" s="163" t="s">
        <v>402</v>
      </c>
      <c r="K918" s="130" t="s">
        <v>1790</v>
      </c>
      <c r="L918" s="131">
        <v>1</v>
      </c>
      <c r="M918" s="132">
        <f t="shared" si="263"/>
        <v>2</v>
      </c>
      <c r="N918" s="133" t="s">
        <v>291</v>
      </c>
      <c r="O918" s="69" t="s">
        <v>242</v>
      </c>
      <c r="P918" s="131">
        <v>5</v>
      </c>
      <c r="Q918" s="134">
        <f t="shared" si="264"/>
        <v>10</v>
      </c>
      <c r="R918" s="428"/>
      <c r="S918" s="428"/>
      <c r="T918" s="133"/>
      <c r="U918" s="405"/>
      <c r="V918" s="135"/>
      <c r="W918" s="133"/>
      <c r="X918" s="405"/>
      <c r="Y918" s="405"/>
      <c r="Z918" s="135"/>
      <c r="AA918" s="136"/>
      <c r="AB918" s="111"/>
      <c r="AC918" s="363"/>
      <c r="AD918" s="226">
        <f t="shared" si="267"/>
        <v>5620</v>
      </c>
    </row>
    <row r="919" spans="1:31" ht="153.75" outlineLevel="3" thickBot="1" x14ac:dyDescent="0.25">
      <c r="A919" s="199" t="s">
        <v>1831</v>
      </c>
      <c r="B919" s="477" t="s">
        <v>404</v>
      </c>
      <c r="C919" s="479" t="s">
        <v>405</v>
      </c>
      <c r="D919" s="477" t="s">
        <v>406</v>
      </c>
      <c r="E919" s="417" t="s">
        <v>407</v>
      </c>
      <c r="F919" s="417" t="s">
        <v>408</v>
      </c>
      <c r="G919" s="405" t="s">
        <v>1789</v>
      </c>
      <c r="H919" s="127" t="s">
        <v>238</v>
      </c>
      <c r="I919" s="128">
        <v>1</v>
      </c>
      <c r="J919" s="163" t="s">
        <v>277</v>
      </c>
      <c r="K919" s="130" t="s">
        <v>1790</v>
      </c>
      <c r="L919" s="131">
        <v>1</v>
      </c>
      <c r="M919" s="132">
        <f t="shared" si="263"/>
        <v>1</v>
      </c>
      <c r="N919" s="133" t="s">
        <v>291</v>
      </c>
      <c r="O919" s="69" t="s">
        <v>242</v>
      </c>
      <c r="P919" s="131">
        <v>5</v>
      </c>
      <c r="Q919" s="134">
        <f t="shared" si="264"/>
        <v>5</v>
      </c>
      <c r="R919" s="428"/>
      <c r="S919" s="428"/>
      <c r="T919" s="133"/>
      <c r="U919" s="405"/>
      <c r="V919" s="135"/>
      <c r="W919" s="133"/>
      <c r="X919" s="405"/>
      <c r="Y919" s="405"/>
      <c r="Z919" s="135"/>
      <c r="AA919" s="136">
        <f t="shared" si="268"/>
        <v>0</v>
      </c>
      <c r="AB919" s="111"/>
      <c r="AC919" s="363"/>
      <c r="AD919" s="226">
        <f t="shared" si="267"/>
        <v>5621</v>
      </c>
    </row>
    <row r="920" spans="1:31" ht="153.75" outlineLevel="3" thickBot="1" x14ac:dyDescent="0.25">
      <c r="A920" s="199" t="s">
        <v>1832</v>
      </c>
      <c r="B920" s="478"/>
      <c r="C920" s="480"/>
      <c r="D920" s="478"/>
      <c r="E920" s="417" t="s">
        <v>279</v>
      </c>
      <c r="F920" s="417" t="s">
        <v>411</v>
      </c>
      <c r="G920" s="417" t="s">
        <v>1795</v>
      </c>
      <c r="H920" s="127" t="s">
        <v>238</v>
      </c>
      <c r="I920" s="128">
        <v>2</v>
      </c>
      <c r="J920" s="163" t="s">
        <v>412</v>
      </c>
      <c r="K920" s="130" t="s">
        <v>1790</v>
      </c>
      <c r="L920" s="131">
        <v>1</v>
      </c>
      <c r="M920" s="132">
        <f t="shared" si="263"/>
        <v>2</v>
      </c>
      <c r="N920" s="133" t="s">
        <v>291</v>
      </c>
      <c r="O920" s="69" t="s">
        <v>242</v>
      </c>
      <c r="P920" s="131">
        <v>5</v>
      </c>
      <c r="Q920" s="134">
        <f t="shared" si="264"/>
        <v>10</v>
      </c>
      <c r="R920" s="428"/>
      <c r="S920" s="428"/>
      <c r="T920" s="133"/>
      <c r="U920" s="405"/>
      <c r="V920" s="135"/>
      <c r="W920" s="133"/>
      <c r="X920" s="405"/>
      <c r="Y920" s="405"/>
      <c r="Z920" s="135"/>
      <c r="AA920" s="136"/>
      <c r="AB920" s="111"/>
      <c r="AC920" s="363"/>
      <c r="AD920" s="226">
        <f t="shared" si="267"/>
        <v>5622</v>
      </c>
    </row>
    <row r="921" spans="1:31" ht="153.75" outlineLevel="3" thickBot="1" x14ac:dyDescent="0.25">
      <c r="A921" s="199" t="s">
        <v>1833</v>
      </c>
      <c r="B921" s="477" t="s">
        <v>414</v>
      </c>
      <c r="C921" s="479" t="s">
        <v>415</v>
      </c>
      <c r="D921" s="477" t="s">
        <v>416</v>
      </c>
      <c r="E921" s="417" t="s">
        <v>417</v>
      </c>
      <c r="F921" s="417" t="s">
        <v>418</v>
      </c>
      <c r="G921" s="417" t="s">
        <v>1795</v>
      </c>
      <c r="H921" s="127" t="s">
        <v>238</v>
      </c>
      <c r="I921" s="128">
        <v>2</v>
      </c>
      <c r="J921" s="163" t="s">
        <v>302</v>
      </c>
      <c r="K921" s="130" t="s">
        <v>1790</v>
      </c>
      <c r="L921" s="131">
        <v>1</v>
      </c>
      <c r="M921" s="132">
        <f t="shared" si="263"/>
        <v>2</v>
      </c>
      <c r="N921" s="133" t="s">
        <v>291</v>
      </c>
      <c r="O921" s="69" t="s">
        <v>242</v>
      </c>
      <c r="P921" s="131">
        <v>5</v>
      </c>
      <c r="Q921" s="134">
        <f t="shared" si="264"/>
        <v>10</v>
      </c>
      <c r="R921" s="428"/>
      <c r="S921" s="428"/>
      <c r="T921" s="133"/>
      <c r="U921" s="405"/>
      <c r="V921" s="135"/>
      <c r="W921" s="133"/>
      <c r="X921" s="405"/>
      <c r="Y921" s="405"/>
      <c r="Z921" s="135"/>
      <c r="AA921" s="136">
        <f t="shared" si="268"/>
        <v>0</v>
      </c>
      <c r="AB921" s="111"/>
      <c r="AC921" s="363"/>
      <c r="AD921" s="226">
        <f t="shared" si="267"/>
        <v>5623</v>
      </c>
    </row>
    <row r="922" spans="1:31" ht="230.25" outlineLevel="3" thickBot="1" x14ac:dyDescent="0.25">
      <c r="A922" s="199" t="s">
        <v>1834</v>
      </c>
      <c r="B922" s="478"/>
      <c r="C922" s="480"/>
      <c r="D922" s="478"/>
      <c r="E922" s="417" t="s">
        <v>393</v>
      </c>
      <c r="F922" s="417" t="s">
        <v>1226</v>
      </c>
      <c r="G922" s="417" t="s">
        <v>1795</v>
      </c>
      <c r="H922" s="127" t="s">
        <v>238</v>
      </c>
      <c r="I922" s="128">
        <v>2</v>
      </c>
      <c r="J922" s="163" t="s">
        <v>307</v>
      </c>
      <c r="K922" s="130" t="s">
        <v>1790</v>
      </c>
      <c r="L922" s="131">
        <v>1</v>
      </c>
      <c r="M922" s="132">
        <f t="shared" si="263"/>
        <v>2</v>
      </c>
      <c r="N922" s="133" t="s">
        <v>291</v>
      </c>
      <c r="O922" s="69" t="s">
        <v>242</v>
      </c>
      <c r="P922" s="131">
        <v>5</v>
      </c>
      <c r="Q922" s="134">
        <f t="shared" si="264"/>
        <v>10</v>
      </c>
      <c r="R922" s="428"/>
      <c r="S922" s="428"/>
      <c r="T922" s="133"/>
      <c r="U922" s="405"/>
      <c r="V922" s="135"/>
      <c r="W922" s="133"/>
      <c r="X922" s="405"/>
      <c r="Y922" s="405"/>
      <c r="Z922" s="135"/>
      <c r="AA922" s="136"/>
      <c r="AB922" s="111"/>
      <c r="AC922" s="363"/>
      <c r="AD922" s="226">
        <f t="shared" si="267"/>
        <v>5624</v>
      </c>
    </row>
    <row r="923" spans="1:31" ht="153.75" outlineLevel="3" thickBot="1" x14ac:dyDescent="0.25">
      <c r="A923" s="243" t="s">
        <v>1835</v>
      </c>
      <c r="B923" s="489" t="s">
        <v>422</v>
      </c>
      <c r="C923" s="523" t="s">
        <v>423</v>
      </c>
      <c r="D923" s="516" t="s">
        <v>424</v>
      </c>
      <c r="E923" s="415" t="s">
        <v>425</v>
      </c>
      <c r="F923" s="415" t="s">
        <v>1836</v>
      </c>
      <c r="G923" s="417" t="s">
        <v>1795</v>
      </c>
      <c r="H923" s="127" t="s">
        <v>238</v>
      </c>
      <c r="I923" s="128">
        <v>2</v>
      </c>
      <c r="J923" s="163" t="s">
        <v>1031</v>
      </c>
      <c r="K923" s="130" t="s">
        <v>1790</v>
      </c>
      <c r="L923" s="138">
        <v>2</v>
      </c>
      <c r="M923" s="132">
        <f t="shared" si="263"/>
        <v>4</v>
      </c>
      <c r="N923" s="133" t="s">
        <v>291</v>
      </c>
      <c r="O923" s="69" t="s">
        <v>242</v>
      </c>
      <c r="P923" s="131">
        <v>5</v>
      </c>
      <c r="Q923" s="134">
        <f t="shared" si="264"/>
        <v>20</v>
      </c>
      <c r="R923" s="428"/>
      <c r="S923" s="428"/>
      <c r="T923" s="133"/>
      <c r="U923" s="405"/>
      <c r="V923" s="135"/>
      <c r="W923" s="133"/>
      <c r="X923" s="405"/>
      <c r="Y923" s="405"/>
      <c r="Z923" s="135"/>
      <c r="AA923" s="136">
        <f t="shared" si="268"/>
        <v>0</v>
      </c>
      <c r="AB923" s="111"/>
      <c r="AC923" s="363"/>
      <c r="AD923" s="226">
        <f t="shared" si="267"/>
        <v>5625</v>
      </c>
    </row>
    <row r="924" spans="1:31" ht="230.25" outlineLevel="3" thickBot="1" x14ac:dyDescent="0.25">
      <c r="A924" s="243" t="s">
        <v>1837</v>
      </c>
      <c r="B924" s="491"/>
      <c r="C924" s="524"/>
      <c r="D924" s="491"/>
      <c r="E924" s="415" t="s">
        <v>340</v>
      </c>
      <c r="F924" s="430" t="s">
        <v>427</v>
      </c>
      <c r="G924" s="417" t="s">
        <v>1795</v>
      </c>
      <c r="H924" s="127" t="s">
        <v>238</v>
      </c>
      <c r="I924" s="128">
        <v>2</v>
      </c>
      <c r="J924" s="163" t="s">
        <v>833</v>
      </c>
      <c r="K924" s="130" t="s">
        <v>1790</v>
      </c>
      <c r="L924" s="138">
        <v>2</v>
      </c>
      <c r="M924" s="132">
        <f t="shared" si="263"/>
        <v>4</v>
      </c>
      <c r="N924" s="133" t="s">
        <v>291</v>
      </c>
      <c r="O924" s="69" t="s">
        <v>242</v>
      </c>
      <c r="P924" s="131">
        <v>5</v>
      </c>
      <c r="Q924" s="134">
        <f t="shared" si="264"/>
        <v>20</v>
      </c>
      <c r="R924" s="428"/>
      <c r="S924" s="428"/>
      <c r="T924" s="133"/>
      <c r="U924" s="405"/>
      <c r="V924" s="135"/>
      <c r="W924" s="133"/>
      <c r="X924" s="405"/>
      <c r="Y924" s="405"/>
      <c r="Z924" s="135"/>
      <c r="AA924" s="136"/>
      <c r="AB924" s="111"/>
      <c r="AC924" s="363"/>
      <c r="AD924" s="226">
        <f t="shared" si="267"/>
        <v>5626</v>
      </c>
    </row>
    <row r="925" spans="1:31" ht="153.75" outlineLevel="3" thickBot="1" x14ac:dyDescent="0.25">
      <c r="A925" s="199" t="s">
        <v>1838</v>
      </c>
      <c r="B925" s="477" t="s">
        <v>430</v>
      </c>
      <c r="C925" s="479" t="s">
        <v>431</v>
      </c>
      <c r="D925" s="477" t="s">
        <v>432</v>
      </c>
      <c r="E925" s="405" t="s">
        <v>352</v>
      </c>
      <c r="F925" s="405" t="s">
        <v>418</v>
      </c>
      <c r="G925" s="417" t="s">
        <v>1795</v>
      </c>
      <c r="H925" s="420" t="s">
        <v>238</v>
      </c>
      <c r="I925" s="164">
        <v>2</v>
      </c>
      <c r="J925" s="163" t="s">
        <v>302</v>
      </c>
      <c r="K925" s="130" t="s">
        <v>1790</v>
      </c>
      <c r="L925" s="138">
        <v>1</v>
      </c>
      <c r="M925" s="166">
        <f t="shared" si="263"/>
        <v>2</v>
      </c>
      <c r="N925" s="133" t="s">
        <v>291</v>
      </c>
      <c r="O925" s="69" t="s">
        <v>242</v>
      </c>
      <c r="P925" s="131">
        <v>5</v>
      </c>
      <c r="Q925" s="134">
        <f t="shared" si="264"/>
        <v>10</v>
      </c>
      <c r="R925" s="428"/>
      <c r="S925" s="428"/>
      <c r="T925" s="133"/>
      <c r="U925" s="405"/>
      <c r="V925" s="135"/>
      <c r="W925" s="133"/>
      <c r="X925" s="405"/>
      <c r="Y925" s="405"/>
      <c r="Z925" s="135"/>
      <c r="AA925" s="136"/>
      <c r="AB925" s="111"/>
      <c r="AC925" s="363"/>
      <c r="AD925" s="226">
        <f t="shared" si="267"/>
        <v>6999</v>
      </c>
    </row>
    <row r="926" spans="1:31" ht="153.75" outlineLevel="3" thickBot="1" x14ac:dyDescent="0.25">
      <c r="A926" s="199" t="s">
        <v>1839</v>
      </c>
      <c r="B926" s="478"/>
      <c r="C926" s="480"/>
      <c r="D926" s="478"/>
      <c r="E926" s="405" t="s">
        <v>355</v>
      </c>
      <c r="F926" s="405" t="s">
        <v>418</v>
      </c>
      <c r="G926" s="417" t="s">
        <v>1795</v>
      </c>
      <c r="H926" s="420" t="s">
        <v>238</v>
      </c>
      <c r="I926" s="164">
        <v>2</v>
      </c>
      <c r="J926" s="163" t="s">
        <v>307</v>
      </c>
      <c r="K926" s="130" t="s">
        <v>1790</v>
      </c>
      <c r="L926" s="138">
        <v>1</v>
      </c>
      <c r="M926" s="166">
        <f t="shared" si="263"/>
        <v>2</v>
      </c>
      <c r="N926" s="133" t="s">
        <v>291</v>
      </c>
      <c r="O926" s="69" t="s">
        <v>242</v>
      </c>
      <c r="P926" s="131">
        <v>5</v>
      </c>
      <c r="Q926" s="134">
        <f t="shared" si="264"/>
        <v>10</v>
      </c>
      <c r="R926" s="428"/>
      <c r="S926" s="428"/>
      <c r="T926" s="133"/>
      <c r="U926" s="405"/>
      <c r="V926" s="135"/>
      <c r="W926" s="133"/>
      <c r="X926" s="405"/>
      <c r="Y926" s="405"/>
      <c r="Z926" s="135"/>
      <c r="AA926" s="136"/>
      <c r="AB926" s="111"/>
      <c r="AC926" s="363"/>
      <c r="AD926" s="226">
        <f t="shared" si="267"/>
        <v>7000</v>
      </c>
    </row>
    <row r="927" spans="1:31" ht="153.75" outlineLevel="3" thickBot="1" x14ac:dyDescent="0.25">
      <c r="A927" s="200" t="s">
        <v>1840</v>
      </c>
      <c r="B927" s="485" t="s">
        <v>436</v>
      </c>
      <c r="C927" s="566" t="s">
        <v>423</v>
      </c>
      <c r="D927" s="522" t="s">
        <v>424</v>
      </c>
      <c r="E927" s="414" t="s">
        <v>437</v>
      </c>
      <c r="F927" s="414" t="s">
        <v>418</v>
      </c>
      <c r="G927" s="337" t="s">
        <v>1795</v>
      </c>
      <c r="H927" s="336" t="s">
        <v>238</v>
      </c>
      <c r="I927" s="177">
        <v>2</v>
      </c>
      <c r="J927" s="176" t="s">
        <v>438</v>
      </c>
      <c r="K927" s="151" t="s">
        <v>1790</v>
      </c>
      <c r="L927" s="179">
        <v>1</v>
      </c>
      <c r="M927" s="180">
        <f t="shared" si="263"/>
        <v>2</v>
      </c>
      <c r="N927" s="154" t="s">
        <v>291</v>
      </c>
      <c r="O927" s="155" t="s">
        <v>242</v>
      </c>
      <c r="P927" s="152">
        <v>5</v>
      </c>
      <c r="Q927" s="156">
        <f t="shared" si="264"/>
        <v>10</v>
      </c>
      <c r="R927" s="428"/>
      <c r="S927" s="428"/>
      <c r="T927" s="133"/>
      <c r="U927" s="405"/>
      <c r="V927" s="135"/>
      <c r="W927" s="133"/>
      <c r="X927" s="405"/>
      <c r="Y927" s="405"/>
      <c r="Z927" s="135"/>
      <c r="AA927" s="136">
        <f t="shared" si="268"/>
        <v>0</v>
      </c>
      <c r="AB927" s="111"/>
      <c r="AC927" s="363"/>
      <c r="AD927" s="226">
        <f t="shared" si="267"/>
        <v>7001</v>
      </c>
    </row>
    <row r="928" spans="1:31" ht="153.75" outlineLevel="3" thickBot="1" x14ac:dyDescent="0.25">
      <c r="A928" s="200" t="s">
        <v>1841</v>
      </c>
      <c r="B928" s="515"/>
      <c r="C928" s="567"/>
      <c r="D928" s="521"/>
      <c r="E928" s="414" t="s">
        <v>440</v>
      </c>
      <c r="F928" s="414" t="s">
        <v>441</v>
      </c>
      <c r="G928" s="414" t="s">
        <v>1789</v>
      </c>
      <c r="H928" s="336" t="s">
        <v>238</v>
      </c>
      <c r="I928" s="177">
        <v>1</v>
      </c>
      <c r="J928" s="176" t="s">
        <v>402</v>
      </c>
      <c r="K928" s="151" t="s">
        <v>1790</v>
      </c>
      <c r="L928" s="179">
        <v>1</v>
      </c>
      <c r="M928" s="180">
        <f t="shared" si="263"/>
        <v>1</v>
      </c>
      <c r="N928" s="154" t="s">
        <v>291</v>
      </c>
      <c r="O928" s="155" t="s">
        <v>242</v>
      </c>
      <c r="P928" s="152">
        <v>5</v>
      </c>
      <c r="Q928" s="156">
        <f t="shared" si="264"/>
        <v>5</v>
      </c>
      <c r="R928" s="428"/>
      <c r="S928" s="428"/>
      <c r="T928" s="133"/>
      <c r="U928" s="405"/>
      <c r="V928" s="135"/>
      <c r="W928" s="133"/>
      <c r="X928" s="405"/>
      <c r="Y928" s="405"/>
      <c r="Z928" s="135"/>
      <c r="AA928" s="136"/>
      <c r="AB928" s="111"/>
      <c r="AC928" s="363"/>
      <c r="AD928" s="226">
        <f t="shared" si="267"/>
        <v>7002</v>
      </c>
    </row>
    <row r="929" spans="1:31" ht="166.5" outlineLevel="3" thickBot="1" x14ac:dyDescent="0.25">
      <c r="A929" s="199" t="s">
        <v>1842</v>
      </c>
      <c r="B929" s="477" t="s">
        <v>443</v>
      </c>
      <c r="C929" s="479" t="s">
        <v>444</v>
      </c>
      <c r="D929" s="477" t="s">
        <v>445</v>
      </c>
      <c r="E929" s="405" t="s">
        <v>437</v>
      </c>
      <c r="F929" s="405" t="s">
        <v>446</v>
      </c>
      <c r="G929" s="417" t="s">
        <v>1795</v>
      </c>
      <c r="H929" s="420" t="s">
        <v>238</v>
      </c>
      <c r="I929" s="164">
        <v>2</v>
      </c>
      <c r="J929" s="163" t="s">
        <v>438</v>
      </c>
      <c r="K929" s="130" t="s">
        <v>1790</v>
      </c>
      <c r="L929" s="138">
        <v>1</v>
      </c>
      <c r="M929" s="166">
        <f t="shared" si="263"/>
        <v>2</v>
      </c>
      <c r="N929" s="133" t="s">
        <v>291</v>
      </c>
      <c r="O929" s="69" t="s">
        <v>242</v>
      </c>
      <c r="P929" s="131">
        <v>5</v>
      </c>
      <c r="Q929" s="134">
        <f t="shared" si="264"/>
        <v>10</v>
      </c>
      <c r="R929" s="428"/>
      <c r="S929" s="428"/>
      <c r="T929" s="133"/>
      <c r="U929" s="405"/>
      <c r="V929" s="135"/>
      <c r="W929" s="133"/>
      <c r="X929" s="405"/>
      <c r="Y929" s="405"/>
      <c r="Z929" s="135"/>
      <c r="AA929" s="136">
        <f t="shared" si="268"/>
        <v>0</v>
      </c>
      <c r="AB929" s="111"/>
      <c r="AC929" s="363"/>
      <c r="AD929" s="226">
        <f t="shared" si="267"/>
        <v>7003</v>
      </c>
    </row>
    <row r="930" spans="1:31" ht="153.75" outlineLevel="3" thickBot="1" x14ac:dyDescent="0.25">
      <c r="A930" s="199" t="s">
        <v>1843</v>
      </c>
      <c r="B930" s="478"/>
      <c r="C930" s="480"/>
      <c r="D930" s="478"/>
      <c r="E930" s="405" t="s">
        <v>440</v>
      </c>
      <c r="F930" s="405" t="s">
        <v>448</v>
      </c>
      <c r="G930" s="417" t="s">
        <v>1795</v>
      </c>
      <c r="H930" s="420" t="s">
        <v>238</v>
      </c>
      <c r="I930" s="164">
        <v>2</v>
      </c>
      <c r="J930" s="163" t="s">
        <v>402</v>
      </c>
      <c r="K930" s="130" t="s">
        <v>1790</v>
      </c>
      <c r="L930" s="138">
        <v>1</v>
      </c>
      <c r="M930" s="166">
        <f t="shared" si="263"/>
        <v>2</v>
      </c>
      <c r="N930" s="133" t="s">
        <v>291</v>
      </c>
      <c r="O930" s="69" t="s">
        <v>242</v>
      </c>
      <c r="P930" s="131">
        <v>5</v>
      </c>
      <c r="Q930" s="134">
        <f t="shared" si="264"/>
        <v>10</v>
      </c>
      <c r="R930" s="428"/>
      <c r="S930" s="428"/>
      <c r="T930" s="133"/>
      <c r="U930" s="405"/>
      <c r="V930" s="135"/>
      <c r="W930" s="133"/>
      <c r="X930" s="405"/>
      <c r="Y930" s="405"/>
      <c r="Z930" s="135"/>
      <c r="AA930" s="136"/>
      <c r="AB930" s="111"/>
      <c r="AC930" s="363"/>
      <c r="AD930" s="226">
        <f t="shared" si="267"/>
        <v>7004</v>
      </c>
    </row>
    <row r="931" spans="1:31" ht="153.75" outlineLevel="3" thickBot="1" x14ac:dyDescent="0.25">
      <c r="A931" s="199" t="s">
        <v>1844</v>
      </c>
      <c r="B931" s="477" t="s">
        <v>450</v>
      </c>
      <c r="C931" s="479" t="s">
        <v>451</v>
      </c>
      <c r="D931" s="477" t="s">
        <v>452</v>
      </c>
      <c r="E931" s="405" t="s">
        <v>437</v>
      </c>
      <c r="F931" s="405" t="s">
        <v>441</v>
      </c>
      <c r="G931" s="405" t="s">
        <v>1789</v>
      </c>
      <c r="H931" s="420" t="s">
        <v>238</v>
      </c>
      <c r="I931" s="164">
        <v>1</v>
      </c>
      <c r="J931" s="163" t="s">
        <v>438</v>
      </c>
      <c r="K931" s="130" t="s">
        <v>1790</v>
      </c>
      <c r="L931" s="138">
        <v>2</v>
      </c>
      <c r="M931" s="166">
        <f t="shared" si="263"/>
        <v>2</v>
      </c>
      <c r="N931" s="133" t="s">
        <v>291</v>
      </c>
      <c r="O931" s="69" t="s">
        <v>242</v>
      </c>
      <c r="P931" s="131">
        <v>5</v>
      </c>
      <c r="Q931" s="134">
        <f t="shared" si="264"/>
        <v>10</v>
      </c>
      <c r="R931" s="428"/>
      <c r="S931" s="428"/>
      <c r="T931" s="133"/>
      <c r="U931" s="405"/>
      <c r="V931" s="135"/>
      <c r="W931" s="133"/>
      <c r="X931" s="405"/>
      <c r="Y931" s="405"/>
      <c r="Z931" s="135"/>
      <c r="AA931" s="136"/>
      <c r="AB931" s="111"/>
      <c r="AC931" s="363"/>
      <c r="AD931" s="226">
        <f t="shared" si="267"/>
        <v>7005</v>
      </c>
    </row>
    <row r="932" spans="1:31" ht="153.75" outlineLevel="3" thickBot="1" x14ac:dyDescent="0.25">
      <c r="A932" s="199" t="s">
        <v>1845</v>
      </c>
      <c r="B932" s="478"/>
      <c r="C932" s="480"/>
      <c r="D932" s="478"/>
      <c r="E932" s="405" t="s">
        <v>440</v>
      </c>
      <c r="F932" s="405" t="s">
        <v>454</v>
      </c>
      <c r="G932" s="417" t="s">
        <v>1795</v>
      </c>
      <c r="H932" s="420" t="s">
        <v>238</v>
      </c>
      <c r="I932" s="164">
        <v>2</v>
      </c>
      <c r="J932" s="163" t="s">
        <v>402</v>
      </c>
      <c r="K932" s="130" t="s">
        <v>1790</v>
      </c>
      <c r="L932" s="138">
        <v>2</v>
      </c>
      <c r="M932" s="166">
        <f t="shared" si="263"/>
        <v>4</v>
      </c>
      <c r="N932" s="133" t="s">
        <v>291</v>
      </c>
      <c r="O932" s="69" t="s">
        <v>242</v>
      </c>
      <c r="P932" s="131">
        <v>5</v>
      </c>
      <c r="Q932" s="134">
        <f t="shared" si="264"/>
        <v>20</v>
      </c>
      <c r="R932" s="428"/>
      <c r="S932" s="428"/>
      <c r="T932" s="133"/>
      <c r="U932" s="405"/>
      <c r="V932" s="135"/>
      <c r="W932" s="133"/>
      <c r="X932" s="405"/>
      <c r="Y932" s="405"/>
      <c r="Z932" s="135"/>
      <c r="AA932" s="136"/>
      <c r="AB932" s="111"/>
      <c r="AC932" s="363"/>
      <c r="AD932" s="226">
        <f t="shared" si="267"/>
        <v>7006</v>
      </c>
    </row>
    <row r="933" spans="1:31" ht="153.75" outlineLevel="3" thickBot="1" x14ac:dyDescent="0.25">
      <c r="A933" s="199" t="s">
        <v>1846</v>
      </c>
      <c r="B933" s="477" t="s">
        <v>456</v>
      </c>
      <c r="C933" s="479" t="s">
        <v>457</v>
      </c>
      <c r="D933" s="477" t="s">
        <v>458</v>
      </c>
      <c r="E933" s="417" t="s">
        <v>459</v>
      </c>
      <c r="F933" s="417" t="s">
        <v>418</v>
      </c>
      <c r="G933" s="417" t="s">
        <v>1795</v>
      </c>
      <c r="H933" s="127" t="s">
        <v>238</v>
      </c>
      <c r="I933" s="128">
        <v>2</v>
      </c>
      <c r="J933" s="163" t="s">
        <v>328</v>
      </c>
      <c r="K933" s="130" t="s">
        <v>1790</v>
      </c>
      <c r="L933" s="131">
        <v>1</v>
      </c>
      <c r="M933" s="132">
        <f t="shared" si="263"/>
        <v>2</v>
      </c>
      <c r="N933" s="133" t="s">
        <v>291</v>
      </c>
      <c r="O933" s="69" t="s">
        <v>242</v>
      </c>
      <c r="P933" s="131">
        <v>5</v>
      </c>
      <c r="Q933" s="134">
        <f t="shared" si="264"/>
        <v>10</v>
      </c>
      <c r="R933" s="428"/>
      <c r="S933" s="428"/>
      <c r="T933" s="133"/>
      <c r="U933" s="405"/>
      <c r="V933" s="135"/>
      <c r="W933" s="133"/>
      <c r="X933" s="405"/>
      <c r="Y933" s="405"/>
      <c r="Z933" s="135"/>
      <c r="AA933" s="136">
        <f t="shared" si="268"/>
        <v>0</v>
      </c>
      <c r="AB933" s="111"/>
      <c r="AC933" s="363"/>
      <c r="AD933" s="226">
        <f t="shared" si="267"/>
        <v>5627</v>
      </c>
    </row>
    <row r="934" spans="1:31" ht="217.5" outlineLevel="3" thickBot="1" x14ac:dyDescent="0.25">
      <c r="A934" s="199" t="s">
        <v>1847</v>
      </c>
      <c r="B934" s="478"/>
      <c r="C934" s="480"/>
      <c r="D934" s="478"/>
      <c r="E934" s="417" t="s">
        <v>330</v>
      </c>
      <c r="F934" s="417" t="s">
        <v>461</v>
      </c>
      <c r="G934" s="417" t="s">
        <v>1795</v>
      </c>
      <c r="H934" s="127" t="s">
        <v>238</v>
      </c>
      <c r="I934" s="128">
        <v>2</v>
      </c>
      <c r="J934" s="163" t="s">
        <v>332</v>
      </c>
      <c r="K934" s="130" t="s">
        <v>1790</v>
      </c>
      <c r="L934" s="131">
        <v>1</v>
      </c>
      <c r="M934" s="132">
        <f t="shared" si="263"/>
        <v>2</v>
      </c>
      <c r="N934" s="133" t="s">
        <v>291</v>
      </c>
      <c r="O934" s="69" t="s">
        <v>242</v>
      </c>
      <c r="P934" s="131">
        <v>5</v>
      </c>
      <c r="Q934" s="134">
        <f t="shared" si="264"/>
        <v>10</v>
      </c>
      <c r="R934" s="428"/>
      <c r="S934" s="428"/>
      <c r="T934" s="133"/>
      <c r="U934" s="405"/>
      <c r="V934" s="135"/>
      <c r="W934" s="133"/>
      <c r="X934" s="405"/>
      <c r="Y934" s="405"/>
      <c r="Z934" s="135"/>
      <c r="AA934" s="136"/>
      <c r="AB934" s="111"/>
      <c r="AC934" s="363"/>
      <c r="AD934" s="226">
        <f t="shared" si="267"/>
        <v>5628</v>
      </c>
    </row>
    <row r="935" spans="1:31" ht="153.75" outlineLevel="3" thickBot="1" x14ac:dyDescent="0.25">
      <c r="A935" s="252" t="s">
        <v>1848</v>
      </c>
      <c r="B935" s="489" t="s">
        <v>463</v>
      </c>
      <c r="C935" s="486" t="s">
        <v>464</v>
      </c>
      <c r="D935" s="477" t="s">
        <v>465</v>
      </c>
      <c r="E935" s="415" t="s">
        <v>425</v>
      </c>
      <c r="F935" s="415" t="s">
        <v>337</v>
      </c>
      <c r="G935" s="405" t="s">
        <v>1789</v>
      </c>
      <c r="H935" s="127" t="s">
        <v>238</v>
      </c>
      <c r="I935" s="128">
        <v>1</v>
      </c>
      <c r="J935" s="163" t="s">
        <v>438</v>
      </c>
      <c r="K935" s="130" t="s">
        <v>1790</v>
      </c>
      <c r="L935" s="131">
        <v>2</v>
      </c>
      <c r="M935" s="132">
        <f t="shared" si="263"/>
        <v>2</v>
      </c>
      <c r="N935" s="133" t="s">
        <v>291</v>
      </c>
      <c r="O935" s="69" t="s">
        <v>242</v>
      </c>
      <c r="P935" s="131">
        <v>5</v>
      </c>
      <c r="Q935" s="134">
        <f t="shared" si="264"/>
        <v>10</v>
      </c>
      <c r="R935" s="428"/>
      <c r="S935" s="428"/>
      <c r="T935" s="133"/>
      <c r="U935" s="405"/>
      <c r="V935" s="135"/>
      <c r="W935" s="133"/>
      <c r="X935" s="405"/>
      <c r="Y935" s="405"/>
      <c r="Z935" s="135"/>
      <c r="AA935" s="136">
        <f t="shared" si="268"/>
        <v>0</v>
      </c>
      <c r="AB935" s="111"/>
      <c r="AC935" s="363"/>
      <c r="AD935" s="226">
        <f t="shared" si="267"/>
        <v>5629</v>
      </c>
    </row>
    <row r="936" spans="1:31" ht="153.75" outlineLevel="3" thickBot="1" x14ac:dyDescent="0.25">
      <c r="A936" s="243" t="s">
        <v>1849</v>
      </c>
      <c r="B936" s="490"/>
      <c r="C936" s="578"/>
      <c r="D936" s="517"/>
      <c r="E936" s="415" t="s">
        <v>340</v>
      </c>
      <c r="F936" s="430" t="s">
        <v>468</v>
      </c>
      <c r="G936" s="417" t="s">
        <v>1795</v>
      </c>
      <c r="H936" s="127" t="s">
        <v>238</v>
      </c>
      <c r="I936" s="128">
        <v>2</v>
      </c>
      <c r="J936" s="163" t="s">
        <v>402</v>
      </c>
      <c r="K936" s="130" t="s">
        <v>1790</v>
      </c>
      <c r="L936" s="131">
        <v>2</v>
      </c>
      <c r="M936" s="132">
        <f t="shared" si="263"/>
        <v>4</v>
      </c>
      <c r="N936" s="133" t="s">
        <v>291</v>
      </c>
      <c r="O936" s="69" t="s">
        <v>242</v>
      </c>
      <c r="P936" s="131">
        <v>5</v>
      </c>
      <c r="Q936" s="134">
        <f t="shared" si="264"/>
        <v>20</v>
      </c>
      <c r="R936" s="428"/>
      <c r="S936" s="428"/>
      <c r="T936" s="133"/>
      <c r="U936" s="405"/>
      <c r="V936" s="135"/>
      <c r="W936" s="133"/>
      <c r="X936" s="405"/>
      <c r="Y936" s="405"/>
      <c r="Z936" s="135"/>
      <c r="AA936" s="136"/>
      <c r="AB936" s="111"/>
      <c r="AC936" s="363"/>
      <c r="AD936" s="226">
        <f t="shared" si="267"/>
        <v>5630</v>
      </c>
    </row>
    <row r="937" spans="1:31" ht="21" outlineLevel="2" thickBot="1" x14ac:dyDescent="0.25">
      <c r="A937" s="199"/>
      <c r="B937" s="117" t="s">
        <v>469</v>
      </c>
      <c r="C937" s="190"/>
      <c r="D937" s="118"/>
      <c r="E937" s="118"/>
      <c r="F937" s="118"/>
      <c r="G937" s="118"/>
      <c r="H937" s="118"/>
      <c r="I937" s="118"/>
      <c r="J937" s="118"/>
      <c r="K937" s="118"/>
      <c r="L937" s="118"/>
      <c r="M937" s="118"/>
      <c r="N937" s="118"/>
      <c r="O937" s="118"/>
      <c r="P937" s="118"/>
      <c r="Q937" s="118"/>
      <c r="R937" s="118"/>
      <c r="S937" s="118"/>
      <c r="T937" s="118"/>
      <c r="U937" s="118"/>
      <c r="V937" s="118"/>
      <c r="W937" s="118"/>
      <c r="X937" s="118"/>
      <c r="Y937" s="118"/>
      <c r="Z937" s="118"/>
      <c r="AA937" s="118"/>
      <c r="AB937" s="119"/>
      <c r="AD937" s="226">
        <f t="shared" si="267"/>
        <v>0</v>
      </c>
      <c r="AE937" s="357"/>
    </row>
    <row r="938" spans="1:31" ht="153.75" outlineLevel="3" thickBot="1" x14ac:dyDescent="0.25">
      <c r="A938" s="199" t="s">
        <v>1850</v>
      </c>
      <c r="B938" s="503" t="s">
        <v>471</v>
      </c>
      <c r="C938" s="505" t="s">
        <v>472</v>
      </c>
      <c r="D938" s="503" t="s">
        <v>473</v>
      </c>
      <c r="E938" s="417" t="s">
        <v>474</v>
      </c>
      <c r="F938" s="417" t="s">
        <v>1061</v>
      </c>
      <c r="G938" s="417" t="s">
        <v>1795</v>
      </c>
      <c r="H938" s="127" t="s">
        <v>238</v>
      </c>
      <c r="I938" s="128">
        <v>2</v>
      </c>
      <c r="J938" s="163" t="s">
        <v>476</v>
      </c>
      <c r="K938" s="130" t="s">
        <v>1790</v>
      </c>
      <c r="L938" s="131">
        <v>1</v>
      </c>
      <c r="M938" s="132">
        <f t="shared" si="263"/>
        <v>2</v>
      </c>
      <c r="N938" s="133" t="s">
        <v>291</v>
      </c>
      <c r="O938" s="69" t="s">
        <v>242</v>
      </c>
      <c r="P938" s="131">
        <v>5</v>
      </c>
      <c r="Q938" s="134">
        <f t="shared" ref="Q938:Q966" si="269">I938*L938*P938</f>
        <v>10</v>
      </c>
      <c r="R938" s="428"/>
      <c r="S938" s="428"/>
      <c r="T938" s="133"/>
      <c r="U938" s="405"/>
      <c r="V938" s="135"/>
      <c r="W938" s="133"/>
      <c r="X938" s="405"/>
      <c r="Y938" s="405"/>
      <c r="Z938" s="135"/>
      <c r="AA938" s="136">
        <f>X938*Y938*Z938</f>
        <v>0</v>
      </c>
      <c r="AB938" s="111"/>
      <c r="AC938" s="363"/>
      <c r="AD938" s="226">
        <f t="shared" si="267"/>
        <v>5631</v>
      </c>
    </row>
    <row r="939" spans="1:31" ht="153.75" outlineLevel="3" thickBot="1" x14ac:dyDescent="0.25">
      <c r="A939" s="199" t="s">
        <v>1851</v>
      </c>
      <c r="B939" s="483"/>
      <c r="C939" s="484"/>
      <c r="D939" s="483"/>
      <c r="E939" s="417" t="s">
        <v>478</v>
      </c>
      <c r="F939" s="417" t="s">
        <v>1063</v>
      </c>
      <c r="G939" s="417" t="s">
        <v>1795</v>
      </c>
      <c r="H939" s="127" t="s">
        <v>238</v>
      </c>
      <c r="I939" s="128">
        <v>2</v>
      </c>
      <c r="J939" s="163" t="s">
        <v>476</v>
      </c>
      <c r="K939" s="130" t="s">
        <v>1790</v>
      </c>
      <c r="L939" s="131">
        <v>1</v>
      </c>
      <c r="M939" s="132">
        <f t="shared" si="263"/>
        <v>2</v>
      </c>
      <c r="N939" s="133" t="s">
        <v>291</v>
      </c>
      <c r="O939" s="69" t="s">
        <v>242</v>
      </c>
      <c r="P939" s="131">
        <v>5</v>
      </c>
      <c r="Q939" s="134">
        <f t="shared" si="269"/>
        <v>10</v>
      </c>
      <c r="R939" s="428"/>
      <c r="S939" s="428"/>
      <c r="T939" s="133"/>
      <c r="U939" s="405"/>
      <c r="V939" s="135"/>
      <c r="W939" s="133"/>
      <c r="X939" s="405"/>
      <c r="Y939" s="405"/>
      <c r="Z939" s="135"/>
      <c r="AA939" s="136"/>
      <c r="AB939" s="111"/>
      <c r="AC939" s="363"/>
      <c r="AD939" s="226">
        <f t="shared" si="267"/>
        <v>5632</v>
      </c>
    </row>
    <row r="940" spans="1:31" ht="153.75" outlineLevel="3" thickBot="1" x14ac:dyDescent="0.25">
      <c r="A940" s="199" t="s">
        <v>1852</v>
      </c>
      <c r="B940" s="478"/>
      <c r="C940" s="480"/>
      <c r="D940" s="478"/>
      <c r="E940" s="417" t="s">
        <v>852</v>
      </c>
      <c r="F940" s="417" t="s">
        <v>482</v>
      </c>
      <c r="G940" s="405" t="s">
        <v>1789</v>
      </c>
      <c r="H940" s="127" t="s">
        <v>238</v>
      </c>
      <c r="I940" s="128">
        <v>1</v>
      </c>
      <c r="J940" s="163" t="s">
        <v>483</v>
      </c>
      <c r="K940" s="130" t="s">
        <v>1790</v>
      </c>
      <c r="L940" s="131">
        <v>2</v>
      </c>
      <c r="M940" s="132">
        <f t="shared" si="263"/>
        <v>2</v>
      </c>
      <c r="N940" s="133" t="s">
        <v>291</v>
      </c>
      <c r="O940" s="69" t="s">
        <v>242</v>
      </c>
      <c r="P940" s="131">
        <v>5</v>
      </c>
      <c r="Q940" s="134">
        <f t="shared" si="269"/>
        <v>10</v>
      </c>
      <c r="R940" s="428"/>
      <c r="S940" s="428"/>
      <c r="T940" s="133"/>
      <c r="U940" s="405"/>
      <c r="V940" s="135"/>
      <c r="W940" s="133"/>
      <c r="X940" s="405"/>
      <c r="Y940" s="405"/>
      <c r="Z940" s="135"/>
      <c r="AA940" s="136"/>
      <c r="AB940" s="111"/>
      <c r="AC940" s="363"/>
      <c r="AD940" s="226">
        <f t="shared" si="267"/>
        <v>5633</v>
      </c>
    </row>
    <row r="941" spans="1:31" ht="153.75" outlineLevel="3" thickBot="1" x14ac:dyDescent="0.25">
      <c r="A941" s="199" t="s">
        <v>1853</v>
      </c>
      <c r="B941" s="477" t="s">
        <v>485</v>
      </c>
      <c r="C941" s="479" t="s">
        <v>486</v>
      </c>
      <c r="D941" s="477" t="s">
        <v>487</v>
      </c>
      <c r="E941" s="417" t="s">
        <v>300</v>
      </c>
      <c r="F941" s="417" t="s">
        <v>496</v>
      </c>
      <c r="G941" s="417" t="s">
        <v>1795</v>
      </c>
      <c r="H941" s="127" t="s">
        <v>238</v>
      </c>
      <c r="I941" s="128">
        <v>2</v>
      </c>
      <c r="J941" s="163" t="s">
        <v>302</v>
      </c>
      <c r="K941" s="130" t="s">
        <v>1790</v>
      </c>
      <c r="L941" s="131">
        <v>1</v>
      </c>
      <c r="M941" s="132">
        <f t="shared" si="263"/>
        <v>2</v>
      </c>
      <c r="N941" s="133" t="s">
        <v>291</v>
      </c>
      <c r="O941" s="69" t="s">
        <v>242</v>
      </c>
      <c r="P941" s="131">
        <v>5</v>
      </c>
      <c r="Q941" s="134">
        <f t="shared" si="269"/>
        <v>10</v>
      </c>
      <c r="R941" s="428"/>
      <c r="S941" s="428"/>
      <c r="T941" s="133"/>
      <c r="U941" s="405"/>
      <c r="V941" s="135"/>
      <c r="W941" s="133"/>
      <c r="X941" s="405"/>
      <c r="Y941" s="405"/>
      <c r="Z941" s="135"/>
      <c r="AA941" s="136"/>
      <c r="AB941" s="111"/>
      <c r="AC941" s="363"/>
      <c r="AD941" s="226">
        <f t="shared" si="267"/>
        <v>5634</v>
      </c>
    </row>
    <row r="942" spans="1:31" ht="153.75" outlineLevel="3" thickBot="1" x14ac:dyDescent="0.25">
      <c r="A942" s="199" t="s">
        <v>1854</v>
      </c>
      <c r="B942" s="478"/>
      <c r="C942" s="480"/>
      <c r="D942" s="478"/>
      <c r="E942" s="417" t="s">
        <v>393</v>
      </c>
      <c r="F942" s="417" t="s">
        <v>1067</v>
      </c>
      <c r="G942" s="417" t="s">
        <v>1795</v>
      </c>
      <c r="H942" s="127" t="s">
        <v>238</v>
      </c>
      <c r="I942" s="128">
        <v>2</v>
      </c>
      <c r="J942" s="163" t="s">
        <v>307</v>
      </c>
      <c r="K942" s="130" t="s">
        <v>1790</v>
      </c>
      <c r="L942" s="131">
        <v>1</v>
      </c>
      <c r="M942" s="132">
        <f t="shared" si="263"/>
        <v>2</v>
      </c>
      <c r="N942" s="133" t="s">
        <v>291</v>
      </c>
      <c r="O942" s="69" t="s">
        <v>242</v>
      </c>
      <c r="P942" s="131">
        <v>5</v>
      </c>
      <c r="Q942" s="134">
        <f t="shared" si="269"/>
        <v>10</v>
      </c>
      <c r="R942" s="428"/>
      <c r="S942" s="428"/>
      <c r="T942" s="133"/>
      <c r="U942" s="405"/>
      <c r="V942" s="135"/>
      <c r="W942" s="133"/>
      <c r="X942" s="405"/>
      <c r="Y942" s="405"/>
      <c r="Z942" s="135"/>
      <c r="AA942" s="136"/>
      <c r="AB942" s="111"/>
      <c r="AC942" s="363"/>
      <c r="AD942" s="226">
        <f t="shared" si="267"/>
        <v>5635</v>
      </c>
    </row>
    <row r="943" spans="1:31" ht="153.75" outlineLevel="3" thickBot="1" x14ac:dyDescent="0.25">
      <c r="A943" s="243" t="s">
        <v>1855</v>
      </c>
      <c r="B943" s="489" t="s">
        <v>492</v>
      </c>
      <c r="C943" s="486" t="s">
        <v>493</v>
      </c>
      <c r="D943" s="489" t="s">
        <v>487</v>
      </c>
      <c r="E943" s="415" t="s">
        <v>300</v>
      </c>
      <c r="F943" s="430" t="s">
        <v>1067</v>
      </c>
      <c r="G943" s="417" t="s">
        <v>1795</v>
      </c>
      <c r="H943" s="127" t="s">
        <v>238</v>
      </c>
      <c r="I943" s="128">
        <v>2</v>
      </c>
      <c r="J943" s="163" t="s">
        <v>302</v>
      </c>
      <c r="K943" s="130" t="s">
        <v>1790</v>
      </c>
      <c r="L943" s="131">
        <v>1</v>
      </c>
      <c r="M943" s="132">
        <f t="shared" si="263"/>
        <v>2</v>
      </c>
      <c r="N943" s="133" t="s">
        <v>291</v>
      </c>
      <c r="O943" s="69" t="s">
        <v>242</v>
      </c>
      <c r="P943" s="131">
        <v>5</v>
      </c>
      <c r="Q943" s="134">
        <f t="shared" si="269"/>
        <v>10</v>
      </c>
      <c r="R943" s="428"/>
      <c r="S943" s="428"/>
      <c r="T943" s="133"/>
      <c r="U943" s="405"/>
      <c r="V943" s="135"/>
      <c r="W943" s="133"/>
      <c r="X943" s="405"/>
      <c r="Y943" s="405"/>
      <c r="Z943" s="135"/>
      <c r="AA943" s="136"/>
      <c r="AB943" s="111"/>
      <c r="AC943" s="363"/>
      <c r="AD943" s="226">
        <f t="shared" si="267"/>
        <v>5636</v>
      </c>
    </row>
    <row r="944" spans="1:31" ht="153.75" outlineLevel="3" thickBot="1" x14ac:dyDescent="0.25">
      <c r="A944" s="243" t="s">
        <v>1856</v>
      </c>
      <c r="B944" s="491"/>
      <c r="C944" s="487"/>
      <c r="D944" s="491"/>
      <c r="E944" s="415" t="s">
        <v>393</v>
      </c>
      <c r="F944" s="430" t="s">
        <v>496</v>
      </c>
      <c r="G944" s="417" t="s">
        <v>1795</v>
      </c>
      <c r="H944" s="127" t="s">
        <v>238</v>
      </c>
      <c r="I944" s="128">
        <v>2</v>
      </c>
      <c r="J944" s="163" t="s">
        <v>307</v>
      </c>
      <c r="K944" s="130" t="s">
        <v>1790</v>
      </c>
      <c r="L944" s="131">
        <v>1</v>
      </c>
      <c r="M944" s="132">
        <f t="shared" si="263"/>
        <v>2</v>
      </c>
      <c r="N944" s="133" t="s">
        <v>291</v>
      </c>
      <c r="O944" s="69" t="s">
        <v>242</v>
      </c>
      <c r="P944" s="131">
        <v>5</v>
      </c>
      <c r="Q944" s="134">
        <f t="shared" si="269"/>
        <v>10</v>
      </c>
      <c r="R944" s="428"/>
      <c r="S944" s="428"/>
      <c r="T944" s="133"/>
      <c r="U944" s="405"/>
      <c r="V944" s="135"/>
      <c r="W944" s="133"/>
      <c r="X944" s="405"/>
      <c r="Y944" s="405"/>
      <c r="Z944" s="135"/>
      <c r="AA944" s="136">
        <f t="shared" ref="AA944:AA970" si="270">X944*Y944*Z944</f>
        <v>0</v>
      </c>
      <c r="AB944" s="111"/>
      <c r="AC944" s="363"/>
      <c r="AD944" s="226">
        <f t="shared" si="267"/>
        <v>5637</v>
      </c>
    </row>
    <row r="945" spans="1:31" ht="217.5" outlineLevel="3" thickBot="1" x14ac:dyDescent="0.25">
      <c r="A945" s="199" t="s">
        <v>1857</v>
      </c>
      <c r="B945" s="477" t="s">
        <v>498</v>
      </c>
      <c r="C945" s="479" t="s">
        <v>499</v>
      </c>
      <c r="D945" s="477" t="s">
        <v>500</v>
      </c>
      <c r="E945" s="417" t="s">
        <v>300</v>
      </c>
      <c r="F945" s="417" t="s">
        <v>1071</v>
      </c>
      <c r="G945" s="417" t="s">
        <v>1795</v>
      </c>
      <c r="H945" s="127" t="s">
        <v>238</v>
      </c>
      <c r="I945" s="128">
        <v>2</v>
      </c>
      <c r="J945" s="163" t="s">
        <v>302</v>
      </c>
      <c r="K945" s="130" t="s">
        <v>1790</v>
      </c>
      <c r="L945" s="131">
        <v>1</v>
      </c>
      <c r="M945" s="132">
        <f t="shared" si="263"/>
        <v>2</v>
      </c>
      <c r="N945" s="133" t="s">
        <v>291</v>
      </c>
      <c r="O945" s="69" t="s">
        <v>242</v>
      </c>
      <c r="P945" s="131">
        <v>5</v>
      </c>
      <c r="Q945" s="134">
        <f t="shared" si="269"/>
        <v>10</v>
      </c>
      <c r="R945" s="428"/>
      <c r="S945" s="428"/>
      <c r="T945" s="133"/>
      <c r="U945" s="405"/>
      <c r="V945" s="135"/>
      <c r="W945" s="133"/>
      <c r="X945" s="405"/>
      <c r="Y945" s="405"/>
      <c r="Z945" s="135"/>
      <c r="AA945" s="136"/>
      <c r="AB945" s="111"/>
      <c r="AC945" s="363"/>
      <c r="AD945" s="226">
        <f t="shared" si="267"/>
        <v>5638</v>
      </c>
    </row>
    <row r="946" spans="1:31" ht="204.75" outlineLevel="3" thickBot="1" x14ac:dyDescent="0.25">
      <c r="A946" s="199" t="s">
        <v>1858</v>
      </c>
      <c r="B946" s="478"/>
      <c r="C946" s="480"/>
      <c r="D946" s="478"/>
      <c r="E946" s="417" t="s">
        <v>393</v>
      </c>
      <c r="F946" s="417" t="s">
        <v>1859</v>
      </c>
      <c r="G946" s="417" t="s">
        <v>1795</v>
      </c>
      <c r="H946" s="127" t="s">
        <v>238</v>
      </c>
      <c r="I946" s="128">
        <v>2</v>
      </c>
      <c r="J946" s="163" t="s">
        <v>307</v>
      </c>
      <c r="K946" s="130" t="s">
        <v>1790</v>
      </c>
      <c r="L946" s="131">
        <v>1</v>
      </c>
      <c r="M946" s="132">
        <f t="shared" si="263"/>
        <v>2</v>
      </c>
      <c r="N946" s="133" t="s">
        <v>291</v>
      </c>
      <c r="O946" s="69" t="s">
        <v>242</v>
      </c>
      <c r="P946" s="131">
        <v>5</v>
      </c>
      <c r="Q946" s="134">
        <f t="shared" si="269"/>
        <v>10</v>
      </c>
      <c r="R946" s="428"/>
      <c r="S946" s="428"/>
      <c r="T946" s="133"/>
      <c r="U946" s="405"/>
      <c r="V946" s="135"/>
      <c r="W946" s="133"/>
      <c r="X946" s="405"/>
      <c r="Y946" s="405"/>
      <c r="Z946" s="135"/>
      <c r="AA946" s="136">
        <f t="shared" si="270"/>
        <v>0</v>
      </c>
      <c r="AB946" s="111"/>
      <c r="AC946" s="363"/>
      <c r="AD946" s="226">
        <f t="shared" si="267"/>
        <v>5639</v>
      </c>
    </row>
    <row r="947" spans="1:31" s="303" customFormat="1" ht="230.25" outlineLevel="3" thickBot="1" x14ac:dyDescent="0.25">
      <c r="A947" s="199" t="s">
        <v>1860</v>
      </c>
      <c r="B947" s="477" t="s">
        <v>506</v>
      </c>
      <c r="C947" s="479" t="s">
        <v>507</v>
      </c>
      <c r="D947" s="477" t="s">
        <v>508</v>
      </c>
      <c r="E947" s="417" t="s">
        <v>300</v>
      </c>
      <c r="F947" s="417" t="s">
        <v>1253</v>
      </c>
      <c r="G947" s="417" t="s">
        <v>1795</v>
      </c>
      <c r="H947" s="127" t="s">
        <v>238</v>
      </c>
      <c r="I947" s="128">
        <v>2</v>
      </c>
      <c r="J947" s="163" t="s">
        <v>302</v>
      </c>
      <c r="K947" s="130" t="s">
        <v>1790</v>
      </c>
      <c r="L947" s="131">
        <v>1</v>
      </c>
      <c r="M947" s="132">
        <f t="shared" si="263"/>
        <v>2</v>
      </c>
      <c r="N947" s="133" t="s">
        <v>291</v>
      </c>
      <c r="O947" s="69" t="s">
        <v>242</v>
      </c>
      <c r="P947" s="131">
        <v>5</v>
      </c>
      <c r="Q947" s="134">
        <f t="shared" si="269"/>
        <v>10</v>
      </c>
      <c r="R947" s="428"/>
      <c r="S947" s="428"/>
      <c r="T947" s="133"/>
      <c r="U947" s="405"/>
      <c r="V947" s="135"/>
      <c r="W947" s="133"/>
      <c r="X947" s="405"/>
      <c r="Y947" s="405"/>
      <c r="Z947" s="135"/>
      <c r="AA947" s="136"/>
      <c r="AB947" s="111"/>
      <c r="AC947" s="367"/>
      <c r="AD947" s="226">
        <f t="shared" si="267"/>
        <v>5640</v>
      </c>
      <c r="AE947" s="239"/>
    </row>
    <row r="948" spans="1:31" s="303" customFormat="1" ht="230.25" outlineLevel="3" thickBot="1" x14ac:dyDescent="0.25">
      <c r="A948" s="199" t="s">
        <v>1861</v>
      </c>
      <c r="B948" s="478"/>
      <c r="C948" s="480"/>
      <c r="D948" s="478"/>
      <c r="E948" s="417" t="s">
        <v>393</v>
      </c>
      <c r="F948" s="417" t="s">
        <v>1253</v>
      </c>
      <c r="G948" s="417" t="s">
        <v>1795</v>
      </c>
      <c r="H948" s="127" t="s">
        <v>238</v>
      </c>
      <c r="I948" s="128">
        <v>2</v>
      </c>
      <c r="J948" s="163" t="s">
        <v>307</v>
      </c>
      <c r="K948" s="130" t="s">
        <v>1790</v>
      </c>
      <c r="L948" s="131">
        <v>1</v>
      </c>
      <c r="M948" s="132">
        <f t="shared" si="263"/>
        <v>2</v>
      </c>
      <c r="N948" s="133" t="s">
        <v>291</v>
      </c>
      <c r="O948" s="69" t="s">
        <v>242</v>
      </c>
      <c r="P948" s="131">
        <v>5</v>
      </c>
      <c r="Q948" s="134">
        <f t="shared" si="269"/>
        <v>10</v>
      </c>
      <c r="R948" s="428"/>
      <c r="S948" s="428"/>
      <c r="T948" s="133"/>
      <c r="U948" s="405"/>
      <c r="V948" s="135"/>
      <c r="W948" s="133"/>
      <c r="X948" s="405"/>
      <c r="Y948" s="405"/>
      <c r="Z948" s="135"/>
      <c r="AA948" s="136"/>
      <c r="AB948" s="111"/>
      <c r="AC948" s="367"/>
      <c r="AD948" s="226">
        <f t="shared" si="267"/>
        <v>5641</v>
      </c>
      <c r="AE948" s="239"/>
    </row>
    <row r="949" spans="1:31" s="303" customFormat="1" ht="153.75" outlineLevel="3" thickBot="1" x14ac:dyDescent="0.25">
      <c r="A949" s="199" t="s">
        <v>1862</v>
      </c>
      <c r="B949" s="477" t="s">
        <v>513</v>
      </c>
      <c r="C949" s="479" t="s">
        <v>514</v>
      </c>
      <c r="D949" s="477" t="s">
        <v>515</v>
      </c>
      <c r="E949" s="417" t="s">
        <v>300</v>
      </c>
      <c r="F949" s="417" t="s">
        <v>866</v>
      </c>
      <c r="G949" s="405" t="s">
        <v>1789</v>
      </c>
      <c r="H949" s="127" t="s">
        <v>238</v>
      </c>
      <c r="I949" s="128">
        <v>1</v>
      </c>
      <c r="J949" s="163" t="s">
        <v>302</v>
      </c>
      <c r="K949" s="130" t="s">
        <v>1790</v>
      </c>
      <c r="L949" s="131">
        <v>1</v>
      </c>
      <c r="M949" s="132">
        <f t="shared" si="263"/>
        <v>1</v>
      </c>
      <c r="N949" s="133" t="s">
        <v>291</v>
      </c>
      <c r="O949" s="69" t="s">
        <v>242</v>
      </c>
      <c r="P949" s="131">
        <v>5</v>
      </c>
      <c r="Q949" s="134">
        <f t="shared" si="269"/>
        <v>5</v>
      </c>
      <c r="R949" s="428"/>
      <c r="S949" s="428"/>
      <c r="T949" s="133"/>
      <c r="U949" s="405"/>
      <c r="V949" s="135"/>
      <c r="W949" s="133"/>
      <c r="X949" s="405"/>
      <c r="Y949" s="405"/>
      <c r="Z949" s="135"/>
      <c r="AA949" s="136"/>
      <c r="AB949" s="111"/>
      <c r="AC949" s="367"/>
      <c r="AD949" s="226">
        <f t="shared" si="267"/>
        <v>5642</v>
      </c>
      <c r="AE949" s="239"/>
    </row>
    <row r="950" spans="1:31" s="303" customFormat="1" ht="153.75" outlineLevel="3" thickBot="1" x14ac:dyDescent="0.25">
      <c r="A950" s="199" t="s">
        <v>1863</v>
      </c>
      <c r="B950" s="478"/>
      <c r="C950" s="480"/>
      <c r="D950" s="478"/>
      <c r="E950" s="417" t="s">
        <v>393</v>
      </c>
      <c r="F950" s="417" t="s">
        <v>866</v>
      </c>
      <c r="G950" s="405" t="s">
        <v>1789</v>
      </c>
      <c r="H950" s="127" t="s">
        <v>238</v>
      </c>
      <c r="I950" s="128">
        <v>1</v>
      </c>
      <c r="J950" s="163" t="s">
        <v>307</v>
      </c>
      <c r="K950" s="130" t="s">
        <v>1790</v>
      </c>
      <c r="L950" s="131">
        <v>1</v>
      </c>
      <c r="M950" s="132">
        <f t="shared" si="263"/>
        <v>1</v>
      </c>
      <c r="N950" s="133" t="s">
        <v>291</v>
      </c>
      <c r="O950" s="69" t="s">
        <v>242</v>
      </c>
      <c r="P950" s="131">
        <v>5</v>
      </c>
      <c r="Q950" s="134">
        <f t="shared" si="269"/>
        <v>5</v>
      </c>
      <c r="R950" s="428"/>
      <c r="S950" s="428"/>
      <c r="T950" s="133"/>
      <c r="U950" s="405"/>
      <c r="V950" s="135"/>
      <c r="W950" s="133"/>
      <c r="X950" s="405"/>
      <c r="Y950" s="405"/>
      <c r="Z950" s="135"/>
      <c r="AA950" s="136"/>
      <c r="AB950" s="111"/>
      <c r="AC950" s="367"/>
      <c r="AD950" s="226">
        <f t="shared" si="267"/>
        <v>5643</v>
      </c>
      <c r="AE950" s="239"/>
    </row>
    <row r="951" spans="1:31" ht="153.75" outlineLevel="3" thickBot="1" x14ac:dyDescent="0.25">
      <c r="A951" s="199" t="s">
        <v>1864</v>
      </c>
      <c r="B951" s="477" t="s">
        <v>520</v>
      </c>
      <c r="C951" s="479" t="s">
        <v>521</v>
      </c>
      <c r="D951" s="477" t="s">
        <v>522</v>
      </c>
      <c r="E951" s="417" t="s">
        <v>275</v>
      </c>
      <c r="F951" s="417" t="s">
        <v>1078</v>
      </c>
      <c r="G951" s="405" t="s">
        <v>1789</v>
      </c>
      <c r="H951" s="127" t="s">
        <v>238</v>
      </c>
      <c r="I951" s="128">
        <v>1</v>
      </c>
      <c r="J951" s="163" t="s">
        <v>277</v>
      </c>
      <c r="K951" s="130" t="s">
        <v>1790</v>
      </c>
      <c r="L951" s="131">
        <v>1</v>
      </c>
      <c r="M951" s="132">
        <f t="shared" si="263"/>
        <v>1</v>
      </c>
      <c r="N951" s="133" t="s">
        <v>291</v>
      </c>
      <c r="O951" s="69" t="s">
        <v>242</v>
      </c>
      <c r="P951" s="131">
        <v>5</v>
      </c>
      <c r="Q951" s="134">
        <f t="shared" si="269"/>
        <v>5</v>
      </c>
      <c r="R951" s="428"/>
      <c r="S951" s="428"/>
      <c r="T951" s="133"/>
      <c r="U951" s="405"/>
      <c r="V951" s="135"/>
      <c r="W951" s="133"/>
      <c r="X951" s="405"/>
      <c r="Y951" s="405"/>
      <c r="Z951" s="135"/>
      <c r="AA951" s="136"/>
      <c r="AB951" s="111"/>
      <c r="AC951" s="363"/>
      <c r="AD951" s="226">
        <f t="shared" si="267"/>
        <v>5644</v>
      </c>
    </row>
    <row r="952" spans="1:31" ht="153.75" outlineLevel="3" thickBot="1" x14ac:dyDescent="0.25">
      <c r="A952" s="199" t="s">
        <v>1865</v>
      </c>
      <c r="B952" s="478"/>
      <c r="C952" s="480"/>
      <c r="D952" s="478"/>
      <c r="E952" s="417" t="s">
        <v>279</v>
      </c>
      <c r="F952" s="417" t="s">
        <v>1259</v>
      </c>
      <c r="G952" s="417" t="s">
        <v>1795</v>
      </c>
      <c r="H952" s="127" t="s">
        <v>238</v>
      </c>
      <c r="I952" s="128">
        <v>2</v>
      </c>
      <c r="J952" s="163" t="s">
        <v>412</v>
      </c>
      <c r="K952" s="130" t="s">
        <v>1790</v>
      </c>
      <c r="L952" s="131">
        <v>1</v>
      </c>
      <c r="M952" s="132">
        <f t="shared" si="263"/>
        <v>2</v>
      </c>
      <c r="N952" s="133" t="s">
        <v>291</v>
      </c>
      <c r="O952" s="69" t="s">
        <v>242</v>
      </c>
      <c r="P952" s="131">
        <v>5</v>
      </c>
      <c r="Q952" s="134">
        <f t="shared" si="269"/>
        <v>10</v>
      </c>
      <c r="R952" s="428"/>
      <c r="S952" s="428"/>
      <c r="T952" s="133"/>
      <c r="U952" s="405"/>
      <c r="V952" s="135"/>
      <c r="W952" s="133"/>
      <c r="X952" s="405"/>
      <c r="Y952" s="405"/>
      <c r="Z952" s="135"/>
      <c r="AA952" s="136">
        <f t="shared" si="270"/>
        <v>0</v>
      </c>
      <c r="AB952" s="111"/>
      <c r="AC952" s="363"/>
      <c r="AD952" s="226">
        <f t="shared" si="267"/>
        <v>5645</v>
      </c>
    </row>
    <row r="953" spans="1:31" ht="153.75" outlineLevel="3" thickBot="1" x14ac:dyDescent="0.25">
      <c r="A953" s="200" t="s">
        <v>1866</v>
      </c>
      <c r="B953" s="485" t="s">
        <v>527</v>
      </c>
      <c r="C953" s="566" t="s">
        <v>528</v>
      </c>
      <c r="D953" s="485" t="s">
        <v>529</v>
      </c>
      <c r="E953" s="337" t="s">
        <v>300</v>
      </c>
      <c r="F953" s="337" t="s">
        <v>530</v>
      </c>
      <c r="G953" s="414" t="s">
        <v>1789</v>
      </c>
      <c r="H953" s="148" t="s">
        <v>238</v>
      </c>
      <c r="I953" s="149">
        <v>1</v>
      </c>
      <c r="J953" s="176" t="s">
        <v>302</v>
      </c>
      <c r="K953" s="151" t="s">
        <v>1790</v>
      </c>
      <c r="L953" s="152">
        <v>1</v>
      </c>
      <c r="M953" s="153">
        <f t="shared" si="263"/>
        <v>1</v>
      </c>
      <c r="N953" s="154" t="s">
        <v>291</v>
      </c>
      <c r="O953" s="155" t="s">
        <v>242</v>
      </c>
      <c r="P953" s="152">
        <v>5</v>
      </c>
      <c r="Q953" s="156">
        <f t="shared" si="269"/>
        <v>5</v>
      </c>
      <c r="R953" s="428"/>
      <c r="S953" s="428"/>
      <c r="T953" s="133"/>
      <c r="U953" s="405"/>
      <c r="V953" s="135"/>
      <c r="W953" s="133"/>
      <c r="X953" s="405"/>
      <c r="Y953" s="405"/>
      <c r="Z953" s="135"/>
      <c r="AA953" s="136"/>
      <c r="AB953" s="111"/>
      <c r="AC953" s="363"/>
      <c r="AD953" s="226">
        <f t="shared" si="267"/>
        <v>5646</v>
      </c>
    </row>
    <row r="954" spans="1:31" ht="153.75" outlineLevel="3" thickBot="1" x14ac:dyDescent="0.25">
      <c r="A954" s="200" t="s">
        <v>1867</v>
      </c>
      <c r="B954" s="515"/>
      <c r="C954" s="567"/>
      <c r="D954" s="515"/>
      <c r="E954" s="337" t="s">
        <v>393</v>
      </c>
      <c r="F954" s="337" t="s">
        <v>530</v>
      </c>
      <c r="G954" s="414" t="s">
        <v>1789</v>
      </c>
      <c r="H954" s="148" t="s">
        <v>238</v>
      </c>
      <c r="I954" s="149">
        <v>1</v>
      </c>
      <c r="J954" s="176" t="s">
        <v>307</v>
      </c>
      <c r="K954" s="151" t="s">
        <v>1790</v>
      </c>
      <c r="L954" s="152">
        <v>1</v>
      </c>
      <c r="M954" s="153">
        <f t="shared" si="263"/>
        <v>1</v>
      </c>
      <c r="N954" s="154" t="s">
        <v>291</v>
      </c>
      <c r="O954" s="155" t="s">
        <v>242</v>
      </c>
      <c r="P954" s="152">
        <v>5</v>
      </c>
      <c r="Q954" s="156">
        <f t="shared" si="269"/>
        <v>5</v>
      </c>
      <c r="R954" s="428"/>
      <c r="S954" s="428"/>
      <c r="T954" s="133"/>
      <c r="U954" s="405"/>
      <c r="V954" s="135"/>
      <c r="W954" s="133"/>
      <c r="X954" s="405"/>
      <c r="Y954" s="405"/>
      <c r="Z954" s="135"/>
      <c r="AA954" s="136">
        <f t="shared" si="270"/>
        <v>0</v>
      </c>
      <c r="AB954" s="111"/>
      <c r="AC954" s="363"/>
      <c r="AD954" s="226">
        <f t="shared" si="267"/>
        <v>5647</v>
      </c>
    </row>
    <row r="955" spans="1:31" ht="153.75" outlineLevel="3" thickBot="1" x14ac:dyDescent="0.25">
      <c r="A955" s="199" t="s">
        <v>1868</v>
      </c>
      <c r="B955" s="477" t="s">
        <v>533</v>
      </c>
      <c r="C955" s="479" t="s">
        <v>534</v>
      </c>
      <c r="D955" s="477" t="s">
        <v>535</v>
      </c>
      <c r="E955" s="417" t="s">
        <v>536</v>
      </c>
      <c r="F955" s="417" t="s">
        <v>874</v>
      </c>
      <c r="G955" s="405" t="s">
        <v>1789</v>
      </c>
      <c r="H955" s="127" t="s">
        <v>238</v>
      </c>
      <c r="I955" s="128">
        <v>1</v>
      </c>
      <c r="J955" s="163" t="s">
        <v>277</v>
      </c>
      <c r="K955" s="130" t="s">
        <v>1790</v>
      </c>
      <c r="L955" s="131">
        <v>1</v>
      </c>
      <c r="M955" s="132">
        <f t="shared" si="263"/>
        <v>1</v>
      </c>
      <c r="N955" s="133" t="s">
        <v>291</v>
      </c>
      <c r="O955" s="69" t="s">
        <v>242</v>
      </c>
      <c r="P955" s="131">
        <v>5</v>
      </c>
      <c r="Q955" s="134">
        <f>P955*L955*I955</f>
        <v>5</v>
      </c>
      <c r="R955" s="428"/>
      <c r="S955" s="428"/>
      <c r="T955" s="133"/>
      <c r="U955" s="405"/>
      <c r="V955" s="135"/>
      <c r="W955" s="133"/>
      <c r="X955" s="405"/>
      <c r="Y955" s="405"/>
      <c r="Z955" s="135"/>
      <c r="AA955" s="136"/>
      <c r="AB955" s="111"/>
      <c r="AC955" s="363"/>
      <c r="AD955" s="226">
        <f t="shared" si="267"/>
        <v>5648</v>
      </c>
    </row>
    <row r="956" spans="1:31" ht="153.75" outlineLevel="3" thickBot="1" x14ac:dyDescent="0.25">
      <c r="A956" s="199" t="s">
        <v>1869</v>
      </c>
      <c r="B956" s="478"/>
      <c r="C956" s="480"/>
      <c r="D956" s="478"/>
      <c r="E956" s="417" t="s">
        <v>279</v>
      </c>
      <c r="F956" s="417" t="s">
        <v>539</v>
      </c>
      <c r="G956" s="405" t="s">
        <v>1789</v>
      </c>
      <c r="H956" s="127" t="s">
        <v>238</v>
      </c>
      <c r="I956" s="128">
        <v>1</v>
      </c>
      <c r="J956" s="163" t="s">
        <v>412</v>
      </c>
      <c r="K956" s="130" t="s">
        <v>1790</v>
      </c>
      <c r="L956" s="131">
        <v>1</v>
      </c>
      <c r="M956" s="132">
        <f t="shared" si="263"/>
        <v>1</v>
      </c>
      <c r="N956" s="133" t="s">
        <v>291</v>
      </c>
      <c r="O956" s="69" t="s">
        <v>242</v>
      </c>
      <c r="P956" s="131">
        <v>5</v>
      </c>
      <c r="Q956" s="134">
        <f t="shared" ref="Q956" si="271">I956*L956*P956</f>
        <v>5</v>
      </c>
      <c r="R956" s="428"/>
      <c r="S956" s="428"/>
      <c r="T956" s="133"/>
      <c r="U956" s="405"/>
      <c r="V956" s="135"/>
      <c r="W956" s="133"/>
      <c r="X956" s="405"/>
      <c r="Y956" s="405"/>
      <c r="Z956" s="135"/>
      <c r="AA956" s="136">
        <f t="shared" si="270"/>
        <v>0</v>
      </c>
      <c r="AB956" s="111"/>
      <c r="AC956" s="363"/>
      <c r="AD956" s="226">
        <f t="shared" si="267"/>
        <v>5649</v>
      </c>
    </row>
    <row r="957" spans="1:31" ht="153.75" outlineLevel="3" thickBot="1" x14ac:dyDescent="0.25">
      <c r="A957" s="199" t="s">
        <v>1870</v>
      </c>
      <c r="B957" s="569" t="s">
        <v>541</v>
      </c>
      <c r="C957" s="499" t="s">
        <v>542</v>
      </c>
      <c r="D957" s="569" t="s">
        <v>877</v>
      </c>
      <c r="E957" s="417" t="s">
        <v>275</v>
      </c>
      <c r="F957" s="417" t="s">
        <v>878</v>
      </c>
      <c r="G957" s="405" t="s">
        <v>1789</v>
      </c>
      <c r="H957" s="127" t="s">
        <v>238</v>
      </c>
      <c r="I957" s="128">
        <v>1</v>
      </c>
      <c r="J957" s="163" t="s">
        <v>277</v>
      </c>
      <c r="K957" s="130" t="s">
        <v>1790</v>
      </c>
      <c r="L957" s="131">
        <v>1</v>
      </c>
      <c r="M957" s="132">
        <f t="shared" si="263"/>
        <v>1</v>
      </c>
      <c r="N957" s="133" t="s">
        <v>291</v>
      </c>
      <c r="O957" s="69" t="s">
        <v>242</v>
      </c>
      <c r="P957" s="131">
        <v>5</v>
      </c>
      <c r="Q957" s="134">
        <f t="shared" si="269"/>
        <v>5</v>
      </c>
      <c r="R957" s="428"/>
      <c r="S957" s="428"/>
      <c r="T957" s="133"/>
      <c r="U957" s="405"/>
      <c r="V957" s="135"/>
      <c r="W957" s="133"/>
      <c r="X957" s="405"/>
      <c r="Y957" s="405"/>
      <c r="Z957" s="135"/>
      <c r="AA957" s="136"/>
      <c r="AB957" s="111"/>
      <c r="AC957" s="363"/>
      <c r="AD957" s="226">
        <f t="shared" si="267"/>
        <v>5650</v>
      </c>
    </row>
    <row r="958" spans="1:31" ht="153.75" outlineLevel="3" thickBot="1" x14ac:dyDescent="0.25">
      <c r="A958" s="199" t="s">
        <v>1871</v>
      </c>
      <c r="B958" s="570"/>
      <c r="C958" s="500"/>
      <c r="D958" s="570"/>
      <c r="E958" s="417" t="s">
        <v>279</v>
      </c>
      <c r="F958" s="417" t="s">
        <v>878</v>
      </c>
      <c r="G958" s="405" t="s">
        <v>1789</v>
      </c>
      <c r="H958" s="127" t="s">
        <v>238</v>
      </c>
      <c r="I958" s="128">
        <v>1</v>
      </c>
      <c r="J958" s="163" t="s">
        <v>412</v>
      </c>
      <c r="K958" s="130" t="s">
        <v>1790</v>
      </c>
      <c r="L958" s="131">
        <v>1</v>
      </c>
      <c r="M958" s="132">
        <f t="shared" si="263"/>
        <v>1</v>
      </c>
      <c r="N958" s="133" t="s">
        <v>291</v>
      </c>
      <c r="O958" s="69" t="s">
        <v>242</v>
      </c>
      <c r="P958" s="131">
        <v>5</v>
      </c>
      <c r="Q958" s="134">
        <f t="shared" si="269"/>
        <v>5</v>
      </c>
      <c r="R958" s="428"/>
      <c r="S958" s="428"/>
      <c r="T958" s="133"/>
      <c r="U958" s="405"/>
      <c r="V958" s="135"/>
      <c r="W958" s="133"/>
      <c r="X958" s="405"/>
      <c r="Y958" s="405"/>
      <c r="Z958" s="135"/>
      <c r="AA958" s="136">
        <f t="shared" ref="AA958" si="272">X958*Y958*Z958</f>
        <v>0</v>
      </c>
      <c r="AB958" s="111"/>
      <c r="AC958" s="363"/>
      <c r="AD958" s="226">
        <f t="shared" si="267"/>
        <v>5651</v>
      </c>
    </row>
    <row r="959" spans="1:31" ht="153.75" outlineLevel="3" thickBot="1" x14ac:dyDescent="0.25">
      <c r="A959" s="199" t="s">
        <v>1872</v>
      </c>
      <c r="B959" s="477" t="s">
        <v>547</v>
      </c>
      <c r="C959" s="479" t="s">
        <v>548</v>
      </c>
      <c r="D959" s="477" t="s">
        <v>549</v>
      </c>
      <c r="E959" s="411" t="s">
        <v>275</v>
      </c>
      <c r="F959" s="405" t="s">
        <v>537</v>
      </c>
      <c r="G959" s="405" t="s">
        <v>1789</v>
      </c>
      <c r="H959" s="420" t="s">
        <v>238</v>
      </c>
      <c r="I959" s="164">
        <v>1</v>
      </c>
      <c r="J959" s="163" t="s">
        <v>277</v>
      </c>
      <c r="K959" s="165" t="s">
        <v>1790</v>
      </c>
      <c r="L959" s="138">
        <v>1</v>
      </c>
      <c r="M959" s="166">
        <f t="shared" si="263"/>
        <v>1</v>
      </c>
      <c r="N959" s="133" t="s">
        <v>241</v>
      </c>
      <c r="O959" s="420" t="s">
        <v>242</v>
      </c>
      <c r="P959" s="138">
        <v>5</v>
      </c>
      <c r="Q959" s="225">
        <f t="shared" si="269"/>
        <v>5</v>
      </c>
      <c r="R959" s="428"/>
      <c r="S959" s="428"/>
      <c r="T959" s="133"/>
      <c r="U959" s="405"/>
      <c r="V959" s="135"/>
      <c r="W959" s="133"/>
      <c r="X959" s="405"/>
      <c r="Y959" s="405"/>
      <c r="Z959" s="135"/>
      <c r="AA959" s="136"/>
      <c r="AB959" s="111"/>
      <c r="AC959" s="226"/>
      <c r="AD959" s="226">
        <f t="shared" si="267"/>
        <v>12410</v>
      </c>
    </row>
    <row r="960" spans="1:31" ht="166.5" outlineLevel="3" thickBot="1" x14ac:dyDescent="0.25">
      <c r="A960" s="199" t="s">
        <v>1873</v>
      </c>
      <c r="B960" s="478"/>
      <c r="C960" s="480"/>
      <c r="D960" s="478"/>
      <c r="E960" s="405" t="s">
        <v>279</v>
      </c>
      <c r="F960" s="405" t="s">
        <v>882</v>
      </c>
      <c r="G960" s="405" t="s">
        <v>1795</v>
      </c>
      <c r="H960" s="420" t="s">
        <v>238</v>
      </c>
      <c r="I960" s="164">
        <v>2</v>
      </c>
      <c r="J960" s="163" t="s">
        <v>281</v>
      </c>
      <c r="K960" s="165" t="s">
        <v>1790</v>
      </c>
      <c r="L960" s="138">
        <v>1</v>
      </c>
      <c r="M960" s="166">
        <f t="shared" si="263"/>
        <v>2</v>
      </c>
      <c r="N960" s="133" t="s">
        <v>283</v>
      </c>
      <c r="O960" s="420" t="s">
        <v>242</v>
      </c>
      <c r="P960" s="138">
        <v>5</v>
      </c>
      <c r="Q960" s="225">
        <f t="shared" si="269"/>
        <v>10</v>
      </c>
      <c r="R960" s="428"/>
      <c r="S960" s="428"/>
      <c r="T960" s="133"/>
      <c r="U960" s="405"/>
      <c r="V960" s="135"/>
      <c r="W960" s="133"/>
      <c r="X960" s="405"/>
      <c r="Y960" s="405"/>
      <c r="Z960" s="135"/>
      <c r="AA960" s="136"/>
      <c r="AB960" s="111"/>
      <c r="AC960" s="226"/>
      <c r="AD960" s="226">
        <f t="shared" si="267"/>
        <v>12411</v>
      </c>
    </row>
    <row r="961" spans="1:31" ht="153.75" outlineLevel="3" thickBot="1" x14ac:dyDescent="0.25">
      <c r="A961" s="245" t="s">
        <v>1874</v>
      </c>
      <c r="B961" s="518" t="s">
        <v>553</v>
      </c>
      <c r="C961" s="494" t="s">
        <v>554</v>
      </c>
      <c r="D961" s="518" t="s">
        <v>555</v>
      </c>
      <c r="E961" s="409" t="s">
        <v>275</v>
      </c>
      <c r="F961" s="329" t="s">
        <v>556</v>
      </c>
      <c r="G961" s="409" t="s">
        <v>1789</v>
      </c>
      <c r="H961" s="295" t="s">
        <v>238</v>
      </c>
      <c r="I961" s="296">
        <v>1</v>
      </c>
      <c r="J961" s="297" t="s">
        <v>277</v>
      </c>
      <c r="K961" s="130" t="s">
        <v>1790</v>
      </c>
      <c r="L961" s="234">
        <v>1</v>
      </c>
      <c r="M961" s="231">
        <f t="shared" si="263"/>
        <v>1</v>
      </c>
      <c r="N961" s="232" t="s">
        <v>241</v>
      </c>
      <c r="O961" s="233" t="s">
        <v>242</v>
      </c>
      <c r="P961" s="234">
        <v>5</v>
      </c>
      <c r="Q961" s="235">
        <f t="shared" si="269"/>
        <v>5</v>
      </c>
      <c r="R961" s="428"/>
      <c r="S961" s="428"/>
      <c r="T961" s="133"/>
      <c r="U961" s="405"/>
      <c r="V961" s="135"/>
      <c r="W961" s="133"/>
      <c r="X961" s="405"/>
      <c r="Y961" s="405"/>
      <c r="Z961" s="135"/>
      <c r="AA961" s="136"/>
      <c r="AB961" s="111"/>
      <c r="AC961" s="363"/>
      <c r="AD961" s="226">
        <f t="shared" si="267"/>
        <v>11124</v>
      </c>
    </row>
    <row r="962" spans="1:31" ht="153.75" outlineLevel="3" thickBot="1" x14ac:dyDescent="0.25">
      <c r="A962" s="245" t="s">
        <v>1875</v>
      </c>
      <c r="B962" s="518"/>
      <c r="C962" s="495"/>
      <c r="D962" s="518"/>
      <c r="E962" s="409" t="s">
        <v>279</v>
      </c>
      <c r="F962" s="329" t="s">
        <v>558</v>
      </c>
      <c r="G962" s="409" t="s">
        <v>1795</v>
      </c>
      <c r="H962" s="295" t="s">
        <v>238</v>
      </c>
      <c r="I962" s="296">
        <v>2</v>
      </c>
      <c r="J962" s="297" t="s">
        <v>412</v>
      </c>
      <c r="K962" s="130" t="s">
        <v>1790</v>
      </c>
      <c r="L962" s="234">
        <v>1</v>
      </c>
      <c r="M962" s="231">
        <f t="shared" si="263"/>
        <v>2</v>
      </c>
      <c r="N962" s="232" t="s">
        <v>291</v>
      </c>
      <c r="O962" s="233" t="s">
        <v>242</v>
      </c>
      <c r="P962" s="234">
        <v>5</v>
      </c>
      <c r="Q962" s="235">
        <f t="shared" si="269"/>
        <v>10</v>
      </c>
      <c r="R962" s="428"/>
      <c r="S962" s="428"/>
      <c r="T962" s="133"/>
      <c r="U962" s="405"/>
      <c r="V962" s="135"/>
      <c r="W962" s="133"/>
      <c r="X962" s="405"/>
      <c r="Y962" s="405"/>
      <c r="Z962" s="135"/>
      <c r="AA962" s="136"/>
      <c r="AB962" s="111"/>
      <c r="AC962" s="363"/>
      <c r="AD962" s="226">
        <f t="shared" si="267"/>
        <v>11125</v>
      </c>
    </row>
    <row r="963" spans="1:31" ht="153.75" outlineLevel="3" thickBot="1" x14ac:dyDescent="0.25">
      <c r="A963" s="245" t="s">
        <v>1876</v>
      </c>
      <c r="B963" s="518" t="s">
        <v>560</v>
      </c>
      <c r="C963" s="494" t="s">
        <v>561</v>
      </c>
      <c r="D963" s="492" t="s">
        <v>886</v>
      </c>
      <c r="E963" s="409" t="s">
        <v>300</v>
      </c>
      <c r="F963" s="329" t="s">
        <v>563</v>
      </c>
      <c r="G963" s="409" t="s">
        <v>1789</v>
      </c>
      <c r="H963" s="295" t="s">
        <v>238</v>
      </c>
      <c r="I963" s="296">
        <v>1</v>
      </c>
      <c r="J963" s="297" t="s">
        <v>302</v>
      </c>
      <c r="K963" s="130" t="s">
        <v>1790</v>
      </c>
      <c r="L963" s="234">
        <v>1</v>
      </c>
      <c r="M963" s="231">
        <f t="shared" si="263"/>
        <v>1</v>
      </c>
      <c r="N963" s="232" t="s">
        <v>291</v>
      </c>
      <c r="O963" s="233" t="s">
        <v>242</v>
      </c>
      <c r="P963" s="234">
        <v>5</v>
      </c>
      <c r="Q963" s="235">
        <f t="shared" si="269"/>
        <v>5</v>
      </c>
      <c r="R963" s="428"/>
      <c r="S963" s="428"/>
      <c r="T963" s="133"/>
      <c r="U963" s="405"/>
      <c r="V963" s="135"/>
      <c r="W963" s="133"/>
      <c r="X963" s="405"/>
      <c r="Y963" s="405"/>
      <c r="Z963" s="135"/>
      <c r="AA963" s="136"/>
      <c r="AB963" s="111"/>
      <c r="AC963" s="363"/>
      <c r="AD963" s="226">
        <f t="shared" si="267"/>
        <v>11126</v>
      </c>
    </row>
    <row r="964" spans="1:31" ht="153.75" outlineLevel="3" thickBot="1" x14ac:dyDescent="0.25">
      <c r="A964" s="245" t="s">
        <v>1877</v>
      </c>
      <c r="B964" s="518"/>
      <c r="C964" s="495"/>
      <c r="D964" s="612"/>
      <c r="E964" s="409" t="s">
        <v>393</v>
      </c>
      <c r="F964" s="329" t="s">
        <v>888</v>
      </c>
      <c r="G964" s="409" t="s">
        <v>1795</v>
      </c>
      <c r="H964" s="295" t="s">
        <v>238</v>
      </c>
      <c r="I964" s="296">
        <v>1</v>
      </c>
      <c r="J964" s="297" t="s">
        <v>307</v>
      </c>
      <c r="K964" s="130" t="s">
        <v>1790</v>
      </c>
      <c r="L964" s="234">
        <v>1</v>
      </c>
      <c r="M964" s="231">
        <f t="shared" si="263"/>
        <v>1</v>
      </c>
      <c r="N964" s="232" t="s">
        <v>291</v>
      </c>
      <c r="O964" s="233" t="s">
        <v>242</v>
      </c>
      <c r="P964" s="234">
        <v>5</v>
      </c>
      <c r="Q964" s="235">
        <f t="shared" si="269"/>
        <v>5</v>
      </c>
      <c r="R964" s="428"/>
      <c r="S964" s="428"/>
      <c r="T964" s="133"/>
      <c r="U964" s="405"/>
      <c r="V964" s="135"/>
      <c r="W964" s="133"/>
      <c r="X964" s="405"/>
      <c r="Y964" s="405"/>
      <c r="Z964" s="135"/>
      <c r="AA964" s="136">
        <f t="shared" si="270"/>
        <v>0</v>
      </c>
      <c r="AB964" s="111"/>
      <c r="AC964" s="363"/>
      <c r="AD964" s="226">
        <f t="shared" si="267"/>
        <v>11127</v>
      </c>
    </row>
    <row r="965" spans="1:31" ht="153.75" outlineLevel="3" thickBot="1" x14ac:dyDescent="0.25">
      <c r="A965" s="199" t="s">
        <v>1878</v>
      </c>
      <c r="B965" s="477" t="s">
        <v>567</v>
      </c>
      <c r="C965" s="479" t="s">
        <v>568</v>
      </c>
      <c r="D965" s="477" t="s">
        <v>569</v>
      </c>
      <c r="E965" s="417" t="s">
        <v>300</v>
      </c>
      <c r="F965" s="417" t="s">
        <v>1879</v>
      </c>
      <c r="G965" s="417" t="s">
        <v>1795</v>
      </c>
      <c r="H965" s="127" t="s">
        <v>238</v>
      </c>
      <c r="I965" s="128">
        <v>2</v>
      </c>
      <c r="J965" s="163" t="s">
        <v>302</v>
      </c>
      <c r="K965" s="130" t="s">
        <v>1790</v>
      </c>
      <c r="L965" s="131">
        <v>1</v>
      </c>
      <c r="M965" s="132">
        <f t="shared" si="263"/>
        <v>2</v>
      </c>
      <c r="N965" s="133" t="s">
        <v>291</v>
      </c>
      <c r="O965" s="69" t="s">
        <v>242</v>
      </c>
      <c r="P965" s="131">
        <v>5</v>
      </c>
      <c r="Q965" s="134">
        <f t="shared" si="269"/>
        <v>10</v>
      </c>
      <c r="R965" s="428"/>
      <c r="S965" s="428"/>
      <c r="T965" s="133"/>
      <c r="U965" s="405"/>
      <c r="V965" s="135"/>
      <c r="W965" s="133"/>
      <c r="X965" s="405"/>
      <c r="Y965" s="405"/>
      <c r="Z965" s="135"/>
      <c r="AA965" s="136"/>
      <c r="AB965" s="111"/>
      <c r="AC965" s="363"/>
      <c r="AD965" s="226">
        <f t="shared" si="267"/>
        <v>5652</v>
      </c>
    </row>
    <row r="966" spans="1:31" s="303" customFormat="1" ht="153.75" outlineLevel="3" thickBot="1" x14ac:dyDescent="0.25">
      <c r="A966" s="199" t="s">
        <v>1880</v>
      </c>
      <c r="B966" s="517"/>
      <c r="C966" s="514"/>
      <c r="D966" s="517"/>
      <c r="E966" s="417" t="s">
        <v>393</v>
      </c>
      <c r="F966" s="417" t="s">
        <v>1646</v>
      </c>
      <c r="G966" s="417" t="s">
        <v>1795</v>
      </c>
      <c r="H966" s="127" t="s">
        <v>238</v>
      </c>
      <c r="I966" s="128">
        <v>2</v>
      </c>
      <c r="J966" s="163" t="s">
        <v>307</v>
      </c>
      <c r="K966" s="130" t="s">
        <v>1790</v>
      </c>
      <c r="L966" s="131">
        <v>1</v>
      </c>
      <c r="M966" s="132">
        <f t="shared" si="263"/>
        <v>2</v>
      </c>
      <c r="N966" s="133" t="s">
        <v>291</v>
      </c>
      <c r="O966" s="69" t="s">
        <v>242</v>
      </c>
      <c r="P966" s="131">
        <v>5</v>
      </c>
      <c r="Q966" s="134">
        <f t="shared" si="269"/>
        <v>10</v>
      </c>
      <c r="R966" s="428"/>
      <c r="S966" s="428"/>
      <c r="T966" s="133"/>
      <c r="U966" s="405"/>
      <c r="V966" s="135"/>
      <c r="W966" s="133"/>
      <c r="X966" s="405"/>
      <c r="Y966" s="405"/>
      <c r="Z966" s="135"/>
      <c r="AA966" s="136">
        <f t="shared" si="270"/>
        <v>0</v>
      </c>
      <c r="AB966" s="111"/>
      <c r="AC966" s="367"/>
      <c r="AD966" s="226">
        <f t="shared" ref="AD966:AD1025" si="273">VALUE(RIGHT((IF(A966="",0,A966)),5))</f>
        <v>5653</v>
      </c>
      <c r="AE966" s="239"/>
    </row>
    <row r="967" spans="1:31" s="303" customFormat="1" ht="21" outlineLevel="2" thickBot="1" x14ac:dyDescent="0.25">
      <c r="A967" s="199"/>
      <c r="B967" s="117" t="s">
        <v>573</v>
      </c>
      <c r="C967" s="190"/>
      <c r="D967" s="118"/>
      <c r="E967" s="118"/>
      <c r="F967" s="118"/>
      <c r="G967" s="118"/>
      <c r="H967" s="118"/>
      <c r="I967" s="118"/>
      <c r="J967" s="118"/>
      <c r="K967" s="118"/>
      <c r="L967" s="118"/>
      <c r="M967" s="118"/>
      <c r="N967" s="118"/>
      <c r="O967" s="118"/>
      <c r="P967" s="118"/>
      <c r="Q967" s="118"/>
      <c r="R967" s="118"/>
      <c r="S967" s="118"/>
      <c r="T967" s="118"/>
      <c r="U967" s="118"/>
      <c r="V967" s="118"/>
      <c r="W967" s="118"/>
      <c r="X967" s="118"/>
      <c r="Y967" s="118"/>
      <c r="Z967" s="118"/>
      <c r="AA967" s="118"/>
      <c r="AB967" s="119"/>
      <c r="AC967" s="367"/>
      <c r="AD967" s="226">
        <f t="shared" si="273"/>
        <v>0</v>
      </c>
      <c r="AE967" s="239"/>
    </row>
    <row r="968" spans="1:31" s="303" customFormat="1" ht="153.75" outlineLevel="3" thickBot="1" x14ac:dyDescent="0.25">
      <c r="A968" s="201" t="s">
        <v>1881</v>
      </c>
      <c r="B968" s="591" t="s">
        <v>575</v>
      </c>
      <c r="C968" s="505" t="s">
        <v>576</v>
      </c>
      <c r="D968" s="503" t="s">
        <v>577</v>
      </c>
      <c r="E968" s="405" t="s">
        <v>894</v>
      </c>
      <c r="F968" s="405" t="s">
        <v>1098</v>
      </c>
      <c r="G968" s="417" t="s">
        <v>1795</v>
      </c>
      <c r="H968" s="127" t="s">
        <v>238</v>
      </c>
      <c r="I968" s="128">
        <v>2</v>
      </c>
      <c r="J968" s="163" t="s">
        <v>580</v>
      </c>
      <c r="K968" s="130" t="s">
        <v>1790</v>
      </c>
      <c r="L968" s="131">
        <v>1</v>
      </c>
      <c r="M968" s="132">
        <f t="shared" si="263"/>
        <v>2</v>
      </c>
      <c r="N968" s="133" t="s">
        <v>291</v>
      </c>
      <c r="O968" s="69" t="s">
        <v>242</v>
      </c>
      <c r="P968" s="131">
        <v>5</v>
      </c>
      <c r="Q968" s="134">
        <f t="shared" ref="Q968:Q1024" si="274">I968*L968*P968</f>
        <v>10</v>
      </c>
      <c r="R968" s="428"/>
      <c r="S968" s="428"/>
      <c r="T968" s="133"/>
      <c r="U968" s="405"/>
      <c r="V968" s="135"/>
      <c r="W968" s="133"/>
      <c r="X968" s="405"/>
      <c r="Y968" s="405"/>
      <c r="Z968" s="135"/>
      <c r="AA968" s="136">
        <f t="shared" si="270"/>
        <v>0</v>
      </c>
      <c r="AB968" s="111"/>
      <c r="AC968" s="367"/>
      <c r="AD968" s="226">
        <f t="shared" si="273"/>
        <v>5654</v>
      </c>
      <c r="AE968" s="239"/>
    </row>
    <row r="969" spans="1:31" s="303" customFormat="1" ht="153.75" outlineLevel="3" thickBot="1" x14ac:dyDescent="0.25">
      <c r="A969" s="198" t="s">
        <v>1882</v>
      </c>
      <c r="B969" s="592"/>
      <c r="C969" s="484"/>
      <c r="D969" s="483"/>
      <c r="E969" s="417" t="s">
        <v>582</v>
      </c>
      <c r="F969" s="417" t="s">
        <v>583</v>
      </c>
      <c r="G969" s="417" t="s">
        <v>1795</v>
      </c>
      <c r="H969" s="127" t="s">
        <v>238</v>
      </c>
      <c r="I969" s="128">
        <v>2</v>
      </c>
      <c r="J969" s="163" t="s">
        <v>580</v>
      </c>
      <c r="K969" s="130" t="s">
        <v>1790</v>
      </c>
      <c r="L969" s="131">
        <v>1</v>
      </c>
      <c r="M969" s="132">
        <f t="shared" ref="M969:M1024" si="275">I969*L969</f>
        <v>2</v>
      </c>
      <c r="N969" s="133" t="s">
        <v>291</v>
      </c>
      <c r="O969" s="69" t="s">
        <v>242</v>
      </c>
      <c r="P969" s="131">
        <v>5</v>
      </c>
      <c r="Q969" s="134">
        <f t="shared" si="274"/>
        <v>10</v>
      </c>
      <c r="R969" s="428"/>
      <c r="S969" s="428"/>
      <c r="T969" s="133"/>
      <c r="U969" s="405"/>
      <c r="V969" s="135"/>
      <c r="W969" s="133"/>
      <c r="X969" s="405"/>
      <c r="Y969" s="405"/>
      <c r="Z969" s="135"/>
      <c r="AA969" s="136"/>
      <c r="AB969" s="111"/>
      <c r="AC969" s="367"/>
      <c r="AD969" s="226">
        <f t="shared" si="273"/>
        <v>5655</v>
      </c>
      <c r="AE969" s="239"/>
    </row>
    <row r="970" spans="1:31" s="303" customFormat="1" ht="243" outlineLevel="3" thickBot="1" x14ac:dyDescent="0.25">
      <c r="A970" s="198" t="s">
        <v>1883</v>
      </c>
      <c r="B970" s="593"/>
      <c r="C970" s="480"/>
      <c r="D970" s="478"/>
      <c r="E970" s="405" t="s">
        <v>585</v>
      </c>
      <c r="F970" s="405" t="s">
        <v>586</v>
      </c>
      <c r="G970" s="417" t="s">
        <v>1795</v>
      </c>
      <c r="H970" s="127" t="s">
        <v>238</v>
      </c>
      <c r="I970" s="128">
        <v>2</v>
      </c>
      <c r="J970" s="163" t="s">
        <v>580</v>
      </c>
      <c r="K970" s="130" t="s">
        <v>1790</v>
      </c>
      <c r="L970" s="131">
        <v>1</v>
      </c>
      <c r="M970" s="132">
        <f t="shared" si="275"/>
        <v>2</v>
      </c>
      <c r="N970" s="133" t="s">
        <v>291</v>
      </c>
      <c r="O970" s="69" t="s">
        <v>242</v>
      </c>
      <c r="P970" s="131">
        <v>5</v>
      </c>
      <c r="Q970" s="134">
        <f t="shared" si="274"/>
        <v>10</v>
      </c>
      <c r="R970" s="428"/>
      <c r="S970" s="428"/>
      <c r="T970" s="133"/>
      <c r="U970" s="405"/>
      <c r="V970" s="135"/>
      <c r="W970" s="133"/>
      <c r="X970" s="405"/>
      <c r="Y970" s="405"/>
      <c r="Z970" s="135"/>
      <c r="AA970" s="136">
        <f t="shared" si="270"/>
        <v>0</v>
      </c>
      <c r="AB970" s="111"/>
      <c r="AC970" s="367"/>
      <c r="AD970" s="226">
        <f t="shared" si="273"/>
        <v>5656</v>
      </c>
      <c r="AE970" s="239"/>
    </row>
    <row r="971" spans="1:31" s="303" customFormat="1" ht="153.75" outlineLevel="3" thickBot="1" x14ac:dyDescent="0.25">
      <c r="A971" s="199" t="s">
        <v>1884</v>
      </c>
      <c r="B971" s="607" t="s">
        <v>575</v>
      </c>
      <c r="C971" s="505" t="s">
        <v>576</v>
      </c>
      <c r="D971" s="503" t="s">
        <v>577</v>
      </c>
      <c r="E971" s="405" t="s">
        <v>588</v>
      </c>
      <c r="F971" s="405" t="s">
        <v>1885</v>
      </c>
      <c r="G971" s="405" t="s">
        <v>1795</v>
      </c>
      <c r="H971" s="420" t="s">
        <v>238</v>
      </c>
      <c r="I971" s="164">
        <v>2</v>
      </c>
      <c r="J971" s="163" t="s">
        <v>580</v>
      </c>
      <c r="K971" s="165" t="s">
        <v>1790</v>
      </c>
      <c r="L971" s="138">
        <v>1</v>
      </c>
      <c r="M971" s="166">
        <f t="shared" si="275"/>
        <v>2</v>
      </c>
      <c r="N971" s="133" t="s">
        <v>291</v>
      </c>
      <c r="O971" s="420" t="s">
        <v>242</v>
      </c>
      <c r="P971" s="138">
        <v>5</v>
      </c>
      <c r="Q971" s="225">
        <f t="shared" si="274"/>
        <v>10</v>
      </c>
      <c r="R971" s="428"/>
      <c r="S971" s="428"/>
      <c r="T971" s="133"/>
      <c r="U971" s="405"/>
      <c r="V971" s="135"/>
      <c r="W971" s="133"/>
      <c r="X971" s="405"/>
      <c r="Y971" s="405"/>
      <c r="Z971" s="135"/>
      <c r="AA971" s="136"/>
      <c r="AB971" s="111"/>
      <c r="AC971" s="367"/>
      <c r="AD971" s="226">
        <f t="shared" si="273"/>
        <v>8911</v>
      </c>
      <c r="AE971" s="239"/>
    </row>
    <row r="972" spans="1:31" s="303" customFormat="1" ht="204.75" outlineLevel="3" thickBot="1" x14ac:dyDescent="0.25">
      <c r="A972" s="199" t="s">
        <v>1886</v>
      </c>
      <c r="B972" s="608"/>
      <c r="C972" s="484"/>
      <c r="D972" s="610"/>
      <c r="E972" s="417" t="s">
        <v>590</v>
      </c>
      <c r="F972" s="417" t="s">
        <v>1887</v>
      </c>
      <c r="G972" s="417" t="s">
        <v>1795</v>
      </c>
      <c r="H972" s="127" t="s">
        <v>238</v>
      </c>
      <c r="I972" s="128">
        <v>2</v>
      </c>
      <c r="J972" s="163" t="s">
        <v>580</v>
      </c>
      <c r="K972" s="130" t="s">
        <v>1790</v>
      </c>
      <c r="L972" s="131">
        <v>1</v>
      </c>
      <c r="M972" s="132">
        <f t="shared" si="275"/>
        <v>2</v>
      </c>
      <c r="N972" s="133" t="s">
        <v>291</v>
      </c>
      <c r="O972" s="69" t="s">
        <v>242</v>
      </c>
      <c r="P972" s="131">
        <v>5</v>
      </c>
      <c r="Q972" s="134">
        <f t="shared" si="274"/>
        <v>10</v>
      </c>
      <c r="R972" s="428"/>
      <c r="S972" s="428"/>
      <c r="T972" s="133"/>
      <c r="U972" s="405"/>
      <c r="V972" s="135"/>
      <c r="W972" s="133"/>
      <c r="X972" s="405"/>
      <c r="Y972" s="405"/>
      <c r="Z972" s="135"/>
      <c r="AA972" s="136"/>
      <c r="AB972" s="111"/>
      <c r="AC972" s="367"/>
      <c r="AD972" s="226">
        <f t="shared" si="273"/>
        <v>8912</v>
      </c>
      <c r="AE972" s="239"/>
    </row>
    <row r="973" spans="1:31" ht="204.75" outlineLevel="3" thickBot="1" x14ac:dyDescent="0.25">
      <c r="A973" s="199" t="s">
        <v>1888</v>
      </c>
      <c r="B973" s="609"/>
      <c r="C973" s="480"/>
      <c r="D973" s="611"/>
      <c r="E973" s="405" t="s">
        <v>593</v>
      </c>
      <c r="F973" s="405" t="s">
        <v>594</v>
      </c>
      <c r="G973" s="417" t="s">
        <v>1795</v>
      </c>
      <c r="H973" s="127" t="s">
        <v>238</v>
      </c>
      <c r="I973" s="128">
        <v>2</v>
      </c>
      <c r="J973" s="163" t="s">
        <v>580</v>
      </c>
      <c r="K973" s="130" t="s">
        <v>1790</v>
      </c>
      <c r="L973" s="131">
        <v>1</v>
      </c>
      <c r="M973" s="132">
        <f t="shared" si="275"/>
        <v>2</v>
      </c>
      <c r="N973" s="133" t="s">
        <v>291</v>
      </c>
      <c r="O973" s="69" t="s">
        <v>242</v>
      </c>
      <c r="P973" s="131">
        <v>5</v>
      </c>
      <c r="Q973" s="134">
        <f t="shared" si="274"/>
        <v>10</v>
      </c>
      <c r="R973" s="428"/>
      <c r="S973" s="428"/>
      <c r="T973" s="133"/>
      <c r="U973" s="405"/>
      <c r="V973" s="135"/>
      <c r="W973" s="133"/>
      <c r="X973" s="405"/>
      <c r="Y973" s="405"/>
      <c r="Z973" s="135"/>
      <c r="AA973" s="136"/>
      <c r="AB973" s="111"/>
      <c r="AC973" s="363"/>
      <c r="AD973" s="226">
        <f t="shared" si="273"/>
        <v>8913</v>
      </c>
    </row>
    <row r="974" spans="1:31" ht="153.75" outlineLevel="3" thickBot="1" x14ac:dyDescent="0.25">
      <c r="A974" s="199" t="s">
        <v>1889</v>
      </c>
      <c r="B974" s="477" t="s">
        <v>596</v>
      </c>
      <c r="C974" s="479" t="s">
        <v>597</v>
      </c>
      <c r="D974" s="477" t="s">
        <v>598</v>
      </c>
      <c r="E974" s="405" t="s">
        <v>275</v>
      </c>
      <c r="F974" s="405" t="s">
        <v>1111</v>
      </c>
      <c r="G974" s="405" t="s">
        <v>1795</v>
      </c>
      <c r="H974" s="420" t="s">
        <v>238</v>
      </c>
      <c r="I974" s="164">
        <v>2</v>
      </c>
      <c r="J974" s="163" t="s">
        <v>277</v>
      </c>
      <c r="K974" s="165" t="s">
        <v>1790</v>
      </c>
      <c r="L974" s="138">
        <v>1</v>
      </c>
      <c r="M974" s="132">
        <f t="shared" si="275"/>
        <v>2</v>
      </c>
      <c r="N974" s="133" t="s">
        <v>291</v>
      </c>
      <c r="O974" s="69" t="s">
        <v>242</v>
      </c>
      <c r="P974" s="131">
        <v>5</v>
      </c>
      <c r="Q974" s="134">
        <f t="shared" si="274"/>
        <v>10</v>
      </c>
      <c r="R974" s="428"/>
      <c r="S974" s="428"/>
      <c r="T974" s="133"/>
      <c r="U974" s="405"/>
      <c r="V974" s="135"/>
      <c r="W974" s="133"/>
      <c r="X974" s="405"/>
      <c r="Y974" s="405"/>
      <c r="Z974" s="135"/>
      <c r="AA974" s="136"/>
      <c r="AB974" s="111"/>
      <c r="AD974" s="226">
        <f t="shared" si="273"/>
        <v>5657</v>
      </c>
    </row>
    <row r="975" spans="1:31" s="303" customFormat="1" ht="153.75" outlineLevel="3" thickBot="1" x14ac:dyDescent="0.25">
      <c r="A975" s="199" t="s">
        <v>1890</v>
      </c>
      <c r="B975" s="482"/>
      <c r="C975" s="480"/>
      <c r="D975" s="581"/>
      <c r="E975" s="417" t="s">
        <v>279</v>
      </c>
      <c r="F975" s="417" t="s">
        <v>1108</v>
      </c>
      <c r="G975" s="417" t="s">
        <v>1795</v>
      </c>
      <c r="H975" s="127" t="s">
        <v>238</v>
      </c>
      <c r="I975" s="128">
        <v>2</v>
      </c>
      <c r="J975" s="163" t="s">
        <v>412</v>
      </c>
      <c r="K975" s="130" t="s">
        <v>1790</v>
      </c>
      <c r="L975" s="131">
        <v>1</v>
      </c>
      <c r="M975" s="132">
        <f t="shared" si="275"/>
        <v>2</v>
      </c>
      <c r="N975" s="133" t="s">
        <v>291</v>
      </c>
      <c r="O975" s="69" t="s">
        <v>242</v>
      </c>
      <c r="P975" s="131">
        <v>5</v>
      </c>
      <c r="Q975" s="134">
        <f t="shared" si="274"/>
        <v>10</v>
      </c>
      <c r="R975" s="428"/>
      <c r="S975" s="428"/>
      <c r="T975" s="133"/>
      <c r="U975" s="405"/>
      <c r="V975" s="135"/>
      <c r="W975" s="133"/>
      <c r="X975" s="405"/>
      <c r="Y975" s="405"/>
      <c r="Z975" s="135"/>
      <c r="AA975" s="136">
        <f t="shared" ref="AA975" si="276">X975*Y975*Z975</f>
        <v>0</v>
      </c>
      <c r="AB975" s="111"/>
      <c r="AC975" s="367"/>
      <c r="AD975" s="226">
        <f t="shared" si="273"/>
        <v>5658</v>
      </c>
      <c r="AE975" s="239"/>
    </row>
    <row r="976" spans="1:31" s="303" customFormat="1" ht="153.75" outlineLevel="3" thickBot="1" x14ac:dyDescent="0.25">
      <c r="A976" s="199" t="s">
        <v>1891</v>
      </c>
      <c r="B976" s="477" t="s">
        <v>602</v>
      </c>
      <c r="C976" s="479" t="s">
        <v>603</v>
      </c>
      <c r="D976" s="477" t="s">
        <v>604</v>
      </c>
      <c r="E976" s="417" t="s">
        <v>300</v>
      </c>
      <c r="F976" s="417" t="s">
        <v>605</v>
      </c>
      <c r="G976" s="405" t="s">
        <v>1789</v>
      </c>
      <c r="H976" s="127" t="s">
        <v>238</v>
      </c>
      <c r="I976" s="128">
        <v>1</v>
      </c>
      <c r="J976" s="163" t="s">
        <v>302</v>
      </c>
      <c r="K976" s="130" t="s">
        <v>1790</v>
      </c>
      <c r="L976" s="131">
        <v>1</v>
      </c>
      <c r="M976" s="132">
        <f t="shared" si="275"/>
        <v>1</v>
      </c>
      <c r="N976" s="133" t="s">
        <v>291</v>
      </c>
      <c r="O976" s="69" t="s">
        <v>242</v>
      </c>
      <c r="P976" s="131">
        <v>5</v>
      </c>
      <c r="Q976" s="134">
        <f t="shared" si="274"/>
        <v>5</v>
      </c>
      <c r="R976" s="428"/>
      <c r="S976" s="428"/>
      <c r="T976" s="133"/>
      <c r="U976" s="405"/>
      <c r="V976" s="135"/>
      <c r="W976" s="133"/>
      <c r="X976" s="405"/>
      <c r="Y976" s="405"/>
      <c r="Z976" s="135"/>
      <c r="AA976" s="136"/>
      <c r="AB976" s="111"/>
      <c r="AC976" s="367"/>
      <c r="AD976" s="226">
        <f t="shared" si="273"/>
        <v>5659</v>
      </c>
      <c r="AE976" s="239"/>
    </row>
    <row r="977" spans="1:31" s="303" customFormat="1" ht="192" outlineLevel="3" thickBot="1" x14ac:dyDescent="0.25">
      <c r="A977" s="199" t="s">
        <v>1892</v>
      </c>
      <c r="B977" s="478"/>
      <c r="C977" s="480"/>
      <c r="D977" s="478"/>
      <c r="E977" s="417" t="s">
        <v>393</v>
      </c>
      <c r="F977" s="417" t="s">
        <v>607</v>
      </c>
      <c r="G977" s="405" t="s">
        <v>1789</v>
      </c>
      <c r="H977" s="127" t="s">
        <v>238</v>
      </c>
      <c r="I977" s="128">
        <v>1</v>
      </c>
      <c r="J977" s="163" t="s">
        <v>307</v>
      </c>
      <c r="K977" s="130" t="s">
        <v>1790</v>
      </c>
      <c r="L977" s="131">
        <v>1</v>
      </c>
      <c r="M977" s="132">
        <f t="shared" si="275"/>
        <v>1</v>
      </c>
      <c r="N977" s="133" t="s">
        <v>291</v>
      </c>
      <c r="O977" s="69" t="s">
        <v>242</v>
      </c>
      <c r="P977" s="131">
        <v>5</v>
      </c>
      <c r="Q977" s="134">
        <f t="shared" si="274"/>
        <v>5</v>
      </c>
      <c r="R977" s="428"/>
      <c r="S977" s="428"/>
      <c r="T977" s="133"/>
      <c r="U977" s="405"/>
      <c r="V977" s="135"/>
      <c r="W977" s="133"/>
      <c r="X977" s="405"/>
      <c r="Y977" s="405"/>
      <c r="Z977" s="135"/>
      <c r="AA977" s="136"/>
      <c r="AB977" s="111"/>
      <c r="AC977" s="367"/>
      <c r="AD977" s="226">
        <f t="shared" si="273"/>
        <v>5660</v>
      </c>
      <c r="AE977" s="239"/>
    </row>
    <row r="978" spans="1:31" ht="153.75" outlineLevel="3" thickBot="1" x14ac:dyDescent="0.25">
      <c r="A978" s="199" t="s">
        <v>1893</v>
      </c>
      <c r="B978" s="569" t="s">
        <v>609</v>
      </c>
      <c r="C978" s="499" t="s">
        <v>610</v>
      </c>
      <c r="D978" s="477" t="s">
        <v>611</v>
      </c>
      <c r="E978" s="417" t="s">
        <v>288</v>
      </c>
      <c r="F978" s="417" t="s">
        <v>612</v>
      </c>
      <c r="G978" s="405" t="s">
        <v>1789</v>
      </c>
      <c r="H978" s="127" t="s">
        <v>238</v>
      </c>
      <c r="I978" s="128">
        <v>1</v>
      </c>
      <c r="J978" s="163" t="s">
        <v>438</v>
      </c>
      <c r="K978" s="130" t="s">
        <v>1790</v>
      </c>
      <c r="L978" s="131">
        <v>1</v>
      </c>
      <c r="M978" s="132">
        <f t="shared" si="275"/>
        <v>1</v>
      </c>
      <c r="N978" s="133" t="s">
        <v>291</v>
      </c>
      <c r="O978" s="69" t="s">
        <v>242</v>
      </c>
      <c r="P978" s="131">
        <v>5</v>
      </c>
      <c r="Q978" s="134">
        <f t="shared" si="274"/>
        <v>5</v>
      </c>
      <c r="R978" s="428"/>
      <c r="S978" s="428"/>
      <c r="T978" s="133"/>
      <c r="U978" s="405"/>
      <c r="V978" s="135"/>
      <c r="W978" s="133"/>
      <c r="X978" s="405"/>
      <c r="Y978" s="405"/>
      <c r="Z978" s="135"/>
      <c r="AA978" s="136"/>
      <c r="AB978" s="111"/>
      <c r="AD978" s="226">
        <f t="shared" si="273"/>
        <v>5661</v>
      </c>
    </row>
    <row r="979" spans="1:31" ht="166.5" outlineLevel="3" thickBot="1" x14ac:dyDescent="0.25">
      <c r="A979" s="199" t="s">
        <v>1894</v>
      </c>
      <c r="B979" s="570"/>
      <c r="C979" s="500"/>
      <c r="D979" s="478"/>
      <c r="E979" s="417" t="s">
        <v>614</v>
      </c>
      <c r="F979" s="417" t="s">
        <v>615</v>
      </c>
      <c r="G979" s="405" t="s">
        <v>1789</v>
      </c>
      <c r="H979" s="127" t="s">
        <v>238</v>
      </c>
      <c r="I979" s="128">
        <v>1</v>
      </c>
      <c r="J979" s="163" t="s">
        <v>402</v>
      </c>
      <c r="K979" s="130" t="s">
        <v>1790</v>
      </c>
      <c r="L979" s="131">
        <v>1</v>
      </c>
      <c r="M979" s="132">
        <f t="shared" si="275"/>
        <v>1</v>
      </c>
      <c r="N979" s="133" t="s">
        <v>291</v>
      </c>
      <c r="O979" s="69" t="s">
        <v>242</v>
      </c>
      <c r="P979" s="131">
        <v>5</v>
      </c>
      <c r="Q979" s="134">
        <f t="shared" si="274"/>
        <v>5</v>
      </c>
      <c r="R979" s="428"/>
      <c r="S979" s="428"/>
      <c r="T979" s="133"/>
      <c r="U979" s="405"/>
      <c r="V979" s="135"/>
      <c r="W979" s="133"/>
      <c r="X979" s="405"/>
      <c r="Y979" s="405"/>
      <c r="Z979" s="135"/>
      <c r="AA979" s="136"/>
      <c r="AB979" s="111"/>
      <c r="AD979" s="226">
        <f t="shared" si="273"/>
        <v>5662</v>
      </c>
    </row>
    <row r="980" spans="1:31" ht="153.75" outlineLevel="3" thickBot="1" x14ac:dyDescent="0.25">
      <c r="A980" s="245" t="s">
        <v>1895</v>
      </c>
      <c r="B980" s="492" t="s">
        <v>617</v>
      </c>
      <c r="C980" s="494" t="s">
        <v>618</v>
      </c>
      <c r="D980" s="492" t="s">
        <v>1288</v>
      </c>
      <c r="E980" s="409" t="s">
        <v>300</v>
      </c>
      <c r="F980" s="329" t="s">
        <v>620</v>
      </c>
      <c r="G980" s="409" t="s">
        <v>1789</v>
      </c>
      <c r="H980" s="295" t="s">
        <v>238</v>
      </c>
      <c r="I980" s="296">
        <v>1</v>
      </c>
      <c r="J980" s="297" t="s">
        <v>302</v>
      </c>
      <c r="K980" s="130" t="s">
        <v>1790</v>
      </c>
      <c r="L980" s="234">
        <v>1</v>
      </c>
      <c r="M980" s="231">
        <f t="shared" si="275"/>
        <v>1</v>
      </c>
      <c r="N980" s="232" t="s">
        <v>291</v>
      </c>
      <c r="O980" s="233" t="s">
        <v>242</v>
      </c>
      <c r="P980" s="234">
        <v>5</v>
      </c>
      <c r="Q980" s="235">
        <f t="shared" si="274"/>
        <v>5</v>
      </c>
      <c r="R980" s="428"/>
      <c r="S980" s="428"/>
      <c r="T980" s="133"/>
      <c r="U980" s="405"/>
      <c r="V980" s="135"/>
      <c r="W980" s="133"/>
      <c r="X980" s="405"/>
      <c r="Y980" s="405"/>
      <c r="Z980" s="135"/>
      <c r="AA980" s="136"/>
      <c r="AB980" s="111"/>
      <c r="AD980" s="226">
        <f t="shared" si="273"/>
        <v>11128</v>
      </c>
    </row>
    <row r="981" spans="1:31" ht="153.75" outlineLevel="3" thickBot="1" x14ac:dyDescent="0.25">
      <c r="A981" s="245" t="s">
        <v>1896</v>
      </c>
      <c r="B981" s="493"/>
      <c r="C981" s="495"/>
      <c r="D981" s="493"/>
      <c r="E981" s="409" t="s">
        <v>393</v>
      </c>
      <c r="F981" s="329" t="s">
        <v>622</v>
      </c>
      <c r="G981" s="409" t="s">
        <v>1789</v>
      </c>
      <c r="H981" s="295" t="s">
        <v>238</v>
      </c>
      <c r="I981" s="296">
        <v>1</v>
      </c>
      <c r="J981" s="297" t="s">
        <v>307</v>
      </c>
      <c r="K981" s="130" t="s">
        <v>1790</v>
      </c>
      <c r="L981" s="234">
        <v>1</v>
      </c>
      <c r="M981" s="231">
        <f t="shared" si="275"/>
        <v>1</v>
      </c>
      <c r="N981" s="232" t="s">
        <v>291</v>
      </c>
      <c r="O981" s="233" t="s">
        <v>242</v>
      </c>
      <c r="P981" s="234">
        <v>5</v>
      </c>
      <c r="Q981" s="235">
        <f t="shared" si="274"/>
        <v>5</v>
      </c>
      <c r="R981" s="428"/>
      <c r="S981" s="428"/>
      <c r="T981" s="133"/>
      <c r="U981" s="405"/>
      <c r="V981" s="135"/>
      <c r="W981" s="133"/>
      <c r="X981" s="405"/>
      <c r="Y981" s="405"/>
      <c r="Z981" s="135"/>
      <c r="AA981" s="136"/>
      <c r="AB981" s="111"/>
      <c r="AD981" s="226">
        <f t="shared" si="273"/>
        <v>11129</v>
      </c>
    </row>
    <row r="982" spans="1:31" ht="153.75" outlineLevel="3" thickBot="1" x14ac:dyDescent="0.25">
      <c r="A982" s="304" t="s">
        <v>1897</v>
      </c>
      <c r="B982" s="518" t="s">
        <v>349</v>
      </c>
      <c r="C982" s="507" t="s">
        <v>624</v>
      </c>
      <c r="D982" s="518" t="s">
        <v>915</v>
      </c>
      <c r="E982" s="410" t="s">
        <v>352</v>
      </c>
      <c r="F982" s="329" t="s">
        <v>626</v>
      </c>
      <c r="G982" s="409" t="s">
        <v>1795</v>
      </c>
      <c r="H982" s="295" t="s">
        <v>238</v>
      </c>
      <c r="I982" s="296">
        <v>2</v>
      </c>
      <c r="J982" s="410" t="s">
        <v>302</v>
      </c>
      <c r="K982" s="130" t="s">
        <v>1790</v>
      </c>
      <c r="L982" s="410">
        <v>1</v>
      </c>
      <c r="M982" s="231">
        <f t="shared" si="275"/>
        <v>2</v>
      </c>
      <c r="N982" s="232" t="s">
        <v>303</v>
      </c>
      <c r="O982" s="233" t="s">
        <v>242</v>
      </c>
      <c r="P982" s="234">
        <v>5</v>
      </c>
      <c r="Q982" s="235">
        <f>P982*L982*I982</f>
        <v>10</v>
      </c>
      <c r="R982" s="428"/>
      <c r="S982" s="428"/>
      <c r="T982" s="133"/>
      <c r="U982" s="405"/>
      <c r="V982" s="135"/>
      <c r="W982" s="133"/>
      <c r="X982" s="405"/>
      <c r="Y982" s="405"/>
      <c r="Z982" s="135"/>
      <c r="AA982" s="136"/>
      <c r="AB982" s="111"/>
      <c r="AD982" s="226">
        <f t="shared" si="273"/>
        <v>11130</v>
      </c>
    </row>
    <row r="983" spans="1:31" ht="153.75" outlineLevel="3" thickBot="1" x14ac:dyDescent="0.25">
      <c r="A983" s="306" t="s">
        <v>1898</v>
      </c>
      <c r="B983" s="518"/>
      <c r="C983" s="507"/>
      <c r="D983" s="518"/>
      <c r="E983" s="410" t="s">
        <v>355</v>
      </c>
      <c r="F983" s="410" t="s">
        <v>628</v>
      </c>
      <c r="G983" s="409" t="s">
        <v>1795</v>
      </c>
      <c r="H983" s="295" t="s">
        <v>238</v>
      </c>
      <c r="I983" s="296">
        <v>2</v>
      </c>
      <c r="J983" s="410" t="s">
        <v>307</v>
      </c>
      <c r="K983" s="130" t="s">
        <v>1790</v>
      </c>
      <c r="L983" s="410">
        <v>1</v>
      </c>
      <c r="M983" s="231">
        <f t="shared" si="275"/>
        <v>2</v>
      </c>
      <c r="N983" s="232" t="s">
        <v>303</v>
      </c>
      <c r="O983" s="233" t="s">
        <v>242</v>
      </c>
      <c r="P983" s="234">
        <v>5</v>
      </c>
      <c r="Q983" s="235">
        <f>P983*L983*I983</f>
        <v>10</v>
      </c>
      <c r="R983" s="428"/>
      <c r="S983" s="428"/>
      <c r="T983" s="133"/>
      <c r="U983" s="405"/>
      <c r="V983" s="135"/>
      <c r="W983" s="133"/>
      <c r="X983" s="405"/>
      <c r="Y983" s="405"/>
      <c r="Z983" s="135"/>
      <c r="AA983" s="136"/>
      <c r="AB983" s="111"/>
      <c r="AD983" s="226">
        <f t="shared" si="273"/>
        <v>11131</v>
      </c>
    </row>
    <row r="984" spans="1:31" ht="166.5" customHeight="1" outlineLevel="3" thickBot="1" x14ac:dyDescent="0.25">
      <c r="A984" s="199" t="s">
        <v>1899</v>
      </c>
      <c r="B984" s="477" t="s">
        <v>630</v>
      </c>
      <c r="C984" s="479" t="s">
        <v>631</v>
      </c>
      <c r="D984" s="477" t="s">
        <v>632</v>
      </c>
      <c r="E984" s="405" t="s">
        <v>633</v>
      </c>
      <c r="F984" s="405" t="s">
        <v>634</v>
      </c>
      <c r="G984" s="405" t="s">
        <v>1789</v>
      </c>
      <c r="H984" s="420" t="s">
        <v>238</v>
      </c>
      <c r="I984" s="164">
        <v>1</v>
      </c>
      <c r="J984" s="163" t="s">
        <v>277</v>
      </c>
      <c r="K984" s="165" t="s">
        <v>1790</v>
      </c>
      <c r="L984" s="138">
        <v>1</v>
      </c>
      <c r="M984" s="231">
        <f t="shared" si="275"/>
        <v>1</v>
      </c>
      <c r="N984" s="232" t="s">
        <v>291</v>
      </c>
      <c r="O984" s="233" t="s">
        <v>242</v>
      </c>
      <c r="P984" s="234">
        <v>5</v>
      </c>
      <c r="Q984" s="235">
        <f t="shared" ref="Q984:Q986" si="277">I984*L984*P984</f>
        <v>5</v>
      </c>
      <c r="R984" s="428"/>
      <c r="S984" s="428"/>
      <c r="T984" s="133"/>
      <c r="U984" s="405"/>
      <c r="V984" s="135"/>
      <c r="W984" s="133"/>
      <c r="X984" s="405"/>
      <c r="Y984" s="405"/>
      <c r="Z984" s="135"/>
      <c r="AA984" s="136"/>
      <c r="AB984" s="111"/>
      <c r="AD984" s="226">
        <f t="shared" si="273"/>
        <v>11132</v>
      </c>
    </row>
    <row r="985" spans="1:31" ht="153.75" customHeight="1" outlineLevel="3" thickBot="1" x14ac:dyDescent="0.25">
      <c r="A985" s="245" t="s">
        <v>1900</v>
      </c>
      <c r="B985" s="481"/>
      <c r="C985" s="502"/>
      <c r="D985" s="481"/>
      <c r="E985" s="409" t="s">
        <v>636</v>
      </c>
      <c r="F985" s="409" t="s">
        <v>637</v>
      </c>
      <c r="G985" s="409" t="s">
        <v>1795</v>
      </c>
      <c r="H985" s="295" t="s">
        <v>238</v>
      </c>
      <c r="I985" s="296">
        <v>2</v>
      </c>
      <c r="J985" s="297" t="s">
        <v>277</v>
      </c>
      <c r="K985" s="130" t="s">
        <v>1790</v>
      </c>
      <c r="L985" s="234">
        <v>1</v>
      </c>
      <c r="M985" s="231">
        <f t="shared" si="275"/>
        <v>2</v>
      </c>
      <c r="N985" s="232" t="s">
        <v>291</v>
      </c>
      <c r="O985" s="233" t="s">
        <v>242</v>
      </c>
      <c r="P985" s="234">
        <v>5</v>
      </c>
      <c r="Q985" s="235">
        <f t="shared" si="277"/>
        <v>10</v>
      </c>
      <c r="R985" s="428"/>
      <c r="S985" s="428"/>
      <c r="T985" s="133"/>
      <c r="U985" s="405"/>
      <c r="V985" s="135"/>
      <c r="W985" s="133"/>
      <c r="X985" s="405"/>
      <c r="Y985" s="405"/>
      <c r="Z985" s="135"/>
      <c r="AA985" s="136"/>
      <c r="AB985" s="111"/>
      <c r="AD985" s="226">
        <f t="shared" si="273"/>
        <v>11133</v>
      </c>
    </row>
    <row r="986" spans="1:31" ht="153.75" outlineLevel="3" thickBot="1" x14ac:dyDescent="0.25">
      <c r="A986" s="245" t="s">
        <v>1901</v>
      </c>
      <c r="B986" s="482"/>
      <c r="C986" s="495"/>
      <c r="D986" s="482"/>
      <c r="E986" s="409" t="s">
        <v>279</v>
      </c>
      <c r="F986" s="409" t="s">
        <v>639</v>
      </c>
      <c r="G986" s="409" t="s">
        <v>1795</v>
      </c>
      <c r="H986" s="295" t="s">
        <v>238</v>
      </c>
      <c r="I986" s="296">
        <v>2</v>
      </c>
      <c r="J986" s="297" t="s">
        <v>412</v>
      </c>
      <c r="K986" s="130" t="s">
        <v>1790</v>
      </c>
      <c r="L986" s="234">
        <v>1</v>
      </c>
      <c r="M986" s="231">
        <f t="shared" si="275"/>
        <v>2</v>
      </c>
      <c r="N986" s="232" t="s">
        <v>291</v>
      </c>
      <c r="O986" s="233" t="s">
        <v>242</v>
      </c>
      <c r="P986" s="234">
        <v>5</v>
      </c>
      <c r="Q986" s="235">
        <f t="shared" si="277"/>
        <v>10</v>
      </c>
      <c r="R986" s="428"/>
      <c r="S986" s="428"/>
      <c r="T986" s="133"/>
      <c r="U986" s="405"/>
      <c r="V986" s="135"/>
      <c r="W986" s="133"/>
      <c r="X986" s="405"/>
      <c r="Y986" s="405"/>
      <c r="Z986" s="135"/>
      <c r="AA986" s="136"/>
      <c r="AB986" s="111"/>
      <c r="AD986" s="226">
        <f t="shared" si="273"/>
        <v>11134</v>
      </c>
    </row>
    <row r="987" spans="1:31" ht="153.75" outlineLevel="3" thickBot="1" x14ac:dyDescent="0.25">
      <c r="A987" s="199" t="s">
        <v>1902</v>
      </c>
      <c r="B987" s="477" t="s">
        <v>641</v>
      </c>
      <c r="C987" s="479" t="s">
        <v>642</v>
      </c>
      <c r="D987" s="477" t="s">
        <v>643</v>
      </c>
      <c r="E987" s="417" t="s">
        <v>326</v>
      </c>
      <c r="F987" s="417" t="s">
        <v>644</v>
      </c>
      <c r="G987" s="405" t="s">
        <v>1789</v>
      </c>
      <c r="H987" s="127" t="s">
        <v>238</v>
      </c>
      <c r="I987" s="128">
        <v>1</v>
      </c>
      <c r="J987" s="163" t="s">
        <v>328</v>
      </c>
      <c r="K987" s="130" t="s">
        <v>1790</v>
      </c>
      <c r="L987" s="131">
        <v>1</v>
      </c>
      <c r="M987" s="132">
        <f t="shared" si="275"/>
        <v>1</v>
      </c>
      <c r="N987" s="133" t="s">
        <v>291</v>
      </c>
      <c r="O987" s="69" t="s">
        <v>242</v>
      </c>
      <c r="P987" s="131">
        <v>5</v>
      </c>
      <c r="Q987" s="134">
        <f t="shared" si="274"/>
        <v>5</v>
      </c>
      <c r="R987" s="428"/>
      <c r="S987" s="428"/>
      <c r="T987" s="133"/>
      <c r="U987" s="405"/>
      <c r="V987" s="135"/>
      <c r="W987" s="133"/>
      <c r="X987" s="405"/>
      <c r="Y987" s="405"/>
      <c r="Z987" s="135"/>
      <c r="AA987" s="136"/>
      <c r="AB987" s="111"/>
      <c r="AD987" s="226">
        <f t="shared" si="273"/>
        <v>5663</v>
      </c>
    </row>
    <row r="988" spans="1:31" ht="204.75" outlineLevel="3" thickBot="1" x14ac:dyDescent="0.25">
      <c r="A988" s="199" t="s">
        <v>1903</v>
      </c>
      <c r="B988" s="478"/>
      <c r="C988" s="480"/>
      <c r="D988" s="478"/>
      <c r="E988" s="417" t="s">
        <v>330</v>
      </c>
      <c r="F988" s="417" t="s">
        <v>1298</v>
      </c>
      <c r="G988" s="417" t="s">
        <v>1795</v>
      </c>
      <c r="H988" s="127" t="s">
        <v>238</v>
      </c>
      <c r="I988" s="128">
        <v>2</v>
      </c>
      <c r="J988" s="163" t="s">
        <v>332</v>
      </c>
      <c r="K988" s="130" t="s">
        <v>1790</v>
      </c>
      <c r="L988" s="131">
        <v>1</v>
      </c>
      <c r="M988" s="132">
        <f t="shared" si="275"/>
        <v>2</v>
      </c>
      <c r="N988" s="133" t="s">
        <v>291</v>
      </c>
      <c r="O988" s="69" t="s">
        <v>242</v>
      </c>
      <c r="P988" s="131">
        <v>5</v>
      </c>
      <c r="Q988" s="134">
        <f t="shared" si="274"/>
        <v>10</v>
      </c>
      <c r="R988" s="428"/>
      <c r="S988" s="428"/>
      <c r="T988" s="133"/>
      <c r="U988" s="405"/>
      <c r="V988" s="135"/>
      <c r="W988" s="133"/>
      <c r="X988" s="405"/>
      <c r="Y988" s="405"/>
      <c r="Z988" s="135"/>
      <c r="AA988" s="136"/>
      <c r="AB988" s="111"/>
      <c r="AC988" s="227"/>
      <c r="AD988" s="226">
        <f t="shared" si="273"/>
        <v>5664</v>
      </c>
    </row>
    <row r="989" spans="1:31" ht="153.75" outlineLevel="3" thickBot="1" x14ac:dyDescent="0.25">
      <c r="A989" s="245" t="s">
        <v>1904</v>
      </c>
      <c r="B989" s="492" t="s">
        <v>924</v>
      </c>
      <c r="C989" s="494" t="s">
        <v>649</v>
      </c>
      <c r="D989" s="586" t="s">
        <v>650</v>
      </c>
      <c r="E989" s="409" t="s">
        <v>651</v>
      </c>
      <c r="F989" s="329" t="s">
        <v>1703</v>
      </c>
      <c r="G989" s="409" t="s">
        <v>1789</v>
      </c>
      <c r="H989" s="295" t="s">
        <v>238</v>
      </c>
      <c r="I989" s="296">
        <v>1</v>
      </c>
      <c r="J989" s="297" t="s">
        <v>302</v>
      </c>
      <c r="K989" s="130" t="s">
        <v>1790</v>
      </c>
      <c r="L989" s="234">
        <v>1</v>
      </c>
      <c r="M989" s="231">
        <f t="shared" si="275"/>
        <v>1</v>
      </c>
      <c r="N989" s="232" t="s">
        <v>291</v>
      </c>
      <c r="O989" s="233" t="s">
        <v>242</v>
      </c>
      <c r="P989" s="234">
        <v>5</v>
      </c>
      <c r="Q989" s="235">
        <f t="shared" si="274"/>
        <v>5</v>
      </c>
      <c r="R989" s="428"/>
      <c r="S989" s="428"/>
      <c r="T989" s="133"/>
      <c r="U989" s="405"/>
      <c r="V989" s="135"/>
      <c r="W989" s="133"/>
      <c r="X989" s="405"/>
      <c r="Y989" s="405"/>
      <c r="Z989" s="135"/>
      <c r="AA989" s="136">
        <f>X989*Y989*Z989</f>
        <v>0</v>
      </c>
      <c r="AB989" s="111"/>
      <c r="AC989" s="226"/>
      <c r="AD989" s="226">
        <f t="shared" si="273"/>
        <v>11135</v>
      </c>
    </row>
    <row r="990" spans="1:31" ht="153.75" outlineLevel="3" thickBot="1" x14ac:dyDescent="0.25">
      <c r="A990" s="245" t="s">
        <v>1905</v>
      </c>
      <c r="B990" s="577"/>
      <c r="C990" s="502"/>
      <c r="D990" s="587"/>
      <c r="E990" s="409" t="s">
        <v>927</v>
      </c>
      <c r="F990" s="329" t="s">
        <v>655</v>
      </c>
      <c r="G990" s="409" t="s">
        <v>1795</v>
      </c>
      <c r="H990" s="295" t="s">
        <v>238</v>
      </c>
      <c r="I990" s="296">
        <v>2</v>
      </c>
      <c r="J990" s="297" t="s">
        <v>302</v>
      </c>
      <c r="K990" s="130" t="s">
        <v>1790</v>
      </c>
      <c r="L990" s="234">
        <v>1</v>
      </c>
      <c r="M990" s="231">
        <f t="shared" si="275"/>
        <v>2</v>
      </c>
      <c r="N990" s="232" t="s">
        <v>291</v>
      </c>
      <c r="O990" s="233" t="s">
        <v>242</v>
      </c>
      <c r="P990" s="234">
        <v>5</v>
      </c>
      <c r="Q990" s="235">
        <f t="shared" si="274"/>
        <v>10</v>
      </c>
      <c r="R990" s="428"/>
      <c r="S990" s="428"/>
      <c r="T990" s="133"/>
      <c r="U990" s="405"/>
      <c r="V990" s="135"/>
      <c r="W990" s="133"/>
      <c r="X990" s="405"/>
      <c r="Y990" s="405"/>
      <c r="Z990" s="135"/>
      <c r="AA990" s="136"/>
      <c r="AB990" s="111"/>
      <c r="AD990" s="226">
        <f t="shared" si="273"/>
        <v>11136</v>
      </c>
    </row>
    <row r="991" spans="1:31" ht="153.75" outlineLevel="3" thickBot="1" x14ac:dyDescent="0.25">
      <c r="A991" s="245" t="s">
        <v>1906</v>
      </c>
      <c r="B991" s="493"/>
      <c r="C991" s="495"/>
      <c r="D991" s="588"/>
      <c r="E991" s="409" t="s">
        <v>393</v>
      </c>
      <c r="F991" s="329" t="s">
        <v>657</v>
      </c>
      <c r="G991" s="409" t="s">
        <v>1789</v>
      </c>
      <c r="H991" s="295" t="s">
        <v>238</v>
      </c>
      <c r="I991" s="296">
        <v>1</v>
      </c>
      <c r="J991" s="297" t="s">
        <v>307</v>
      </c>
      <c r="K991" s="130" t="s">
        <v>1790</v>
      </c>
      <c r="L991" s="234">
        <v>1</v>
      </c>
      <c r="M991" s="231">
        <f t="shared" si="275"/>
        <v>1</v>
      </c>
      <c r="N991" s="232" t="s">
        <v>291</v>
      </c>
      <c r="O991" s="233" t="s">
        <v>242</v>
      </c>
      <c r="P991" s="234">
        <v>5</v>
      </c>
      <c r="Q991" s="235">
        <f t="shared" si="274"/>
        <v>5</v>
      </c>
      <c r="R991" s="428"/>
      <c r="S991" s="428"/>
      <c r="T991" s="133"/>
      <c r="U991" s="405"/>
      <c r="V991" s="135"/>
      <c r="W991" s="133"/>
      <c r="X991" s="405"/>
      <c r="Y991" s="405"/>
      <c r="Z991" s="135"/>
      <c r="AA991" s="136"/>
      <c r="AB991" s="111"/>
      <c r="AD991" s="226">
        <f t="shared" si="273"/>
        <v>11137</v>
      </c>
    </row>
    <row r="992" spans="1:31" ht="153.75" outlineLevel="3" thickBot="1" x14ac:dyDescent="0.25">
      <c r="A992" s="199" t="s">
        <v>1907</v>
      </c>
      <c r="B992" s="477" t="s">
        <v>659</v>
      </c>
      <c r="C992" s="486" t="s">
        <v>660</v>
      </c>
      <c r="D992" s="477" t="s">
        <v>661</v>
      </c>
      <c r="E992" s="417" t="s">
        <v>662</v>
      </c>
      <c r="F992" s="417" t="s">
        <v>1131</v>
      </c>
      <c r="G992" s="417" t="s">
        <v>1795</v>
      </c>
      <c r="H992" s="127" t="s">
        <v>238</v>
      </c>
      <c r="I992" s="128">
        <v>2</v>
      </c>
      <c r="J992" s="163" t="s">
        <v>931</v>
      </c>
      <c r="K992" s="130" t="s">
        <v>1790</v>
      </c>
      <c r="L992" s="131">
        <v>1</v>
      </c>
      <c r="M992" s="132">
        <f t="shared" si="275"/>
        <v>2</v>
      </c>
      <c r="N992" s="133" t="s">
        <v>291</v>
      </c>
      <c r="O992" s="69" t="s">
        <v>242</v>
      </c>
      <c r="P992" s="131">
        <v>5</v>
      </c>
      <c r="Q992" s="134">
        <f t="shared" si="274"/>
        <v>10</v>
      </c>
      <c r="R992" s="428"/>
      <c r="S992" s="428"/>
      <c r="T992" s="133"/>
      <c r="U992" s="405"/>
      <c r="V992" s="135"/>
      <c r="W992" s="133"/>
      <c r="X992" s="405"/>
      <c r="Y992" s="405"/>
      <c r="Z992" s="135"/>
      <c r="AA992" s="136"/>
      <c r="AB992" s="111"/>
      <c r="AD992" s="226">
        <f t="shared" si="273"/>
        <v>5665</v>
      </c>
    </row>
    <row r="993" spans="1:32" ht="153.75" outlineLevel="3" thickBot="1" x14ac:dyDescent="0.25">
      <c r="A993" s="199" t="s">
        <v>1908</v>
      </c>
      <c r="B993" s="483"/>
      <c r="C993" s="501"/>
      <c r="D993" s="483"/>
      <c r="E993" s="417" t="s">
        <v>666</v>
      </c>
      <c r="F993" s="417" t="s">
        <v>1909</v>
      </c>
      <c r="G993" s="417" t="s">
        <v>1795</v>
      </c>
      <c r="H993" s="127" t="s">
        <v>238</v>
      </c>
      <c r="I993" s="128">
        <v>2</v>
      </c>
      <c r="J993" s="163" t="s">
        <v>931</v>
      </c>
      <c r="K993" s="130" t="s">
        <v>1790</v>
      </c>
      <c r="L993" s="131">
        <v>1</v>
      </c>
      <c r="M993" s="132">
        <f t="shared" si="275"/>
        <v>2</v>
      </c>
      <c r="N993" s="133" t="s">
        <v>291</v>
      </c>
      <c r="O993" s="69" t="s">
        <v>242</v>
      </c>
      <c r="P993" s="131">
        <v>5</v>
      </c>
      <c r="Q993" s="134">
        <f t="shared" si="274"/>
        <v>10</v>
      </c>
      <c r="R993" s="428"/>
      <c r="S993" s="428"/>
      <c r="T993" s="133"/>
      <c r="U993" s="405"/>
      <c r="V993" s="135"/>
      <c r="W993" s="133"/>
      <c r="X993" s="405"/>
      <c r="Y993" s="405"/>
      <c r="Z993" s="135"/>
      <c r="AA993" s="136"/>
      <c r="AB993" s="111"/>
      <c r="AD993" s="226">
        <f t="shared" si="273"/>
        <v>5666</v>
      </c>
    </row>
    <row r="994" spans="1:32" ht="153.75" outlineLevel="3" thickBot="1" x14ac:dyDescent="0.25">
      <c r="A994" s="199" t="s">
        <v>1910</v>
      </c>
      <c r="B994" s="483"/>
      <c r="C994" s="501"/>
      <c r="D994" s="483"/>
      <c r="E994" s="417" t="s">
        <v>669</v>
      </c>
      <c r="F994" s="417" t="s">
        <v>670</v>
      </c>
      <c r="G994" s="405" t="s">
        <v>1789</v>
      </c>
      <c r="H994" s="127" t="s">
        <v>238</v>
      </c>
      <c r="I994" s="128">
        <v>1</v>
      </c>
      <c r="J994" s="163" t="s">
        <v>671</v>
      </c>
      <c r="K994" s="130" t="s">
        <v>1790</v>
      </c>
      <c r="L994" s="131">
        <v>1</v>
      </c>
      <c r="M994" s="132">
        <f t="shared" si="275"/>
        <v>1</v>
      </c>
      <c r="N994" s="133" t="s">
        <v>291</v>
      </c>
      <c r="O994" s="69" t="s">
        <v>242</v>
      </c>
      <c r="P994" s="131">
        <v>5</v>
      </c>
      <c r="Q994" s="134">
        <f t="shared" si="274"/>
        <v>5</v>
      </c>
      <c r="R994" s="428"/>
      <c r="S994" s="428"/>
      <c r="T994" s="133"/>
      <c r="U994" s="405"/>
      <c r="V994" s="135"/>
      <c r="W994" s="133"/>
      <c r="X994" s="405"/>
      <c r="Y994" s="405"/>
      <c r="Z994" s="135"/>
      <c r="AA994" s="136"/>
      <c r="AB994" s="111"/>
      <c r="AC994" s="226"/>
      <c r="AD994" s="226">
        <f t="shared" si="273"/>
        <v>5667</v>
      </c>
    </row>
    <row r="995" spans="1:32" ht="153.75" outlineLevel="3" thickBot="1" x14ac:dyDescent="0.25">
      <c r="A995" s="199" t="s">
        <v>1911</v>
      </c>
      <c r="B995" s="483"/>
      <c r="C995" s="501"/>
      <c r="D995" s="483"/>
      <c r="E995" s="417" t="s">
        <v>673</v>
      </c>
      <c r="F995" s="417" t="s">
        <v>674</v>
      </c>
      <c r="G995" s="405" t="s">
        <v>1789</v>
      </c>
      <c r="H995" s="127" t="s">
        <v>238</v>
      </c>
      <c r="I995" s="128">
        <v>1</v>
      </c>
      <c r="J995" s="163" t="s">
        <v>675</v>
      </c>
      <c r="K995" s="130" t="s">
        <v>1790</v>
      </c>
      <c r="L995" s="131">
        <v>1</v>
      </c>
      <c r="M995" s="132">
        <f t="shared" si="275"/>
        <v>1</v>
      </c>
      <c r="N995" s="133" t="s">
        <v>291</v>
      </c>
      <c r="O995" s="69" t="s">
        <v>242</v>
      </c>
      <c r="P995" s="131">
        <v>5</v>
      </c>
      <c r="Q995" s="134">
        <f t="shared" si="274"/>
        <v>5</v>
      </c>
      <c r="R995" s="428"/>
      <c r="S995" s="428"/>
      <c r="T995" s="133"/>
      <c r="U995" s="405"/>
      <c r="V995" s="135"/>
      <c r="W995" s="133"/>
      <c r="X995" s="405"/>
      <c r="Y995" s="405"/>
      <c r="Z995" s="135"/>
      <c r="AA995" s="136"/>
      <c r="AB995" s="111"/>
      <c r="AC995" s="226"/>
      <c r="AD995" s="226">
        <f t="shared" si="273"/>
        <v>5668</v>
      </c>
    </row>
    <row r="996" spans="1:32" ht="153.75" outlineLevel="3" thickBot="1" x14ac:dyDescent="0.25">
      <c r="A996" s="199" t="s">
        <v>1912</v>
      </c>
      <c r="B996" s="483"/>
      <c r="C996" s="501"/>
      <c r="D996" s="483"/>
      <c r="E996" s="405" t="s">
        <v>677</v>
      </c>
      <c r="F996" s="405" t="s">
        <v>1913</v>
      </c>
      <c r="G996" s="405" t="s">
        <v>1142</v>
      </c>
      <c r="H996" s="420" t="s">
        <v>680</v>
      </c>
      <c r="I996" s="164">
        <v>5</v>
      </c>
      <c r="J996" s="163" t="s">
        <v>681</v>
      </c>
      <c r="K996" s="130" t="s">
        <v>1790</v>
      </c>
      <c r="L996" s="138">
        <v>1</v>
      </c>
      <c r="M996" s="166">
        <f t="shared" si="275"/>
        <v>5</v>
      </c>
      <c r="N996" s="133" t="s">
        <v>291</v>
      </c>
      <c r="O996" s="69" t="s">
        <v>242</v>
      </c>
      <c r="P996" s="131">
        <v>5</v>
      </c>
      <c r="Q996" s="134">
        <f>P996*L996*I996</f>
        <v>25</v>
      </c>
      <c r="R996" s="428"/>
      <c r="S996" s="428"/>
      <c r="T996" s="133"/>
      <c r="U996" s="405"/>
      <c r="V996" s="135"/>
      <c r="W996" s="133"/>
      <c r="X996" s="405"/>
      <c r="Y996" s="405"/>
      <c r="Z996" s="135"/>
      <c r="AA996" s="136"/>
      <c r="AB996" s="111"/>
      <c r="AC996" s="226"/>
      <c r="AD996" s="226">
        <f t="shared" si="273"/>
        <v>7007</v>
      </c>
    </row>
    <row r="997" spans="1:32" ht="153.75" outlineLevel="3" thickBot="1" x14ac:dyDescent="0.25">
      <c r="A997" s="199" t="s">
        <v>1914</v>
      </c>
      <c r="B997" s="483"/>
      <c r="C997" s="501"/>
      <c r="D997" s="483"/>
      <c r="E997" s="405" t="s">
        <v>684</v>
      </c>
      <c r="F997" s="405" t="s">
        <v>1915</v>
      </c>
      <c r="G997" s="405" t="s">
        <v>1795</v>
      </c>
      <c r="H997" s="420" t="s">
        <v>238</v>
      </c>
      <c r="I997" s="164">
        <v>1</v>
      </c>
      <c r="J997" s="163" t="s">
        <v>675</v>
      </c>
      <c r="K997" s="130" t="s">
        <v>1790</v>
      </c>
      <c r="L997" s="138">
        <v>1</v>
      </c>
      <c r="M997" s="166">
        <f t="shared" si="275"/>
        <v>1</v>
      </c>
      <c r="N997" s="133" t="s">
        <v>291</v>
      </c>
      <c r="O997" s="69" t="s">
        <v>242</v>
      </c>
      <c r="P997" s="131">
        <v>5</v>
      </c>
      <c r="Q997" s="134">
        <f t="shared" ref="Q997:Q999" si="278">I997*L997*P997</f>
        <v>5</v>
      </c>
      <c r="R997" s="428"/>
      <c r="S997" s="428"/>
      <c r="T997" s="133"/>
      <c r="U997" s="405"/>
      <c r="V997" s="135"/>
      <c r="W997" s="133"/>
      <c r="X997" s="405"/>
      <c r="Y997" s="405"/>
      <c r="Z997" s="135"/>
      <c r="AA997" s="136">
        <f>X997*Y997*Z997</f>
        <v>0</v>
      </c>
      <c r="AB997" s="111"/>
      <c r="AC997" s="226"/>
      <c r="AD997" s="226">
        <f t="shared" si="273"/>
        <v>7008</v>
      </c>
    </row>
    <row r="998" spans="1:32" ht="166.5" outlineLevel="3" thickBot="1" x14ac:dyDescent="0.25">
      <c r="A998" s="199" t="s">
        <v>1916</v>
      </c>
      <c r="B998" s="483"/>
      <c r="C998" s="501"/>
      <c r="D998" s="483"/>
      <c r="E998" s="405" t="s">
        <v>687</v>
      </c>
      <c r="F998" s="417" t="s">
        <v>1917</v>
      </c>
      <c r="G998" s="405" t="s">
        <v>1795</v>
      </c>
      <c r="H998" s="127" t="s">
        <v>238</v>
      </c>
      <c r="I998" s="164">
        <v>2</v>
      </c>
      <c r="J998" s="163" t="s">
        <v>689</v>
      </c>
      <c r="K998" s="130" t="s">
        <v>1790</v>
      </c>
      <c r="L998" s="138">
        <v>1</v>
      </c>
      <c r="M998" s="166">
        <f t="shared" si="275"/>
        <v>2</v>
      </c>
      <c r="N998" s="133" t="s">
        <v>291</v>
      </c>
      <c r="O998" s="69" t="s">
        <v>242</v>
      </c>
      <c r="P998" s="131">
        <v>5</v>
      </c>
      <c r="Q998" s="134">
        <f t="shared" si="278"/>
        <v>10</v>
      </c>
      <c r="R998" s="428"/>
      <c r="S998" s="428"/>
      <c r="T998" s="133"/>
      <c r="U998" s="405"/>
      <c r="V998" s="135"/>
      <c r="W998" s="133"/>
      <c r="X998" s="405"/>
      <c r="Y998" s="405"/>
      <c r="Z998" s="135"/>
      <c r="AA998" s="136">
        <f t="shared" ref="AA998" si="279">X998*Y998*Z998</f>
        <v>0</v>
      </c>
      <c r="AB998" s="111"/>
      <c r="AC998" s="226"/>
      <c r="AD998" s="226">
        <f t="shared" si="273"/>
        <v>7009</v>
      </c>
    </row>
    <row r="999" spans="1:32" ht="153.75" outlineLevel="3" thickBot="1" x14ac:dyDescent="0.25">
      <c r="A999" s="199" t="s">
        <v>1918</v>
      </c>
      <c r="B999" s="478"/>
      <c r="C999" s="487"/>
      <c r="D999" s="478"/>
      <c r="E999" s="405" t="s">
        <v>691</v>
      </c>
      <c r="F999" s="417" t="s">
        <v>1919</v>
      </c>
      <c r="G999" s="405" t="s">
        <v>1789</v>
      </c>
      <c r="H999" s="127" t="s">
        <v>238</v>
      </c>
      <c r="I999" s="164">
        <v>2</v>
      </c>
      <c r="J999" s="129" t="s">
        <v>1144</v>
      </c>
      <c r="K999" s="130" t="s">
        <v>1790</v>
      </c>
      <c r="L999" s="138">
        <v>1</v>
      </c>
      <c r="M999" s="166">
        <f t="shared" si="275"/>
        <v>2</v>
      </c>
      <c r="N999" s="133" t="s">
        <v>291</v>
      </c>
      <c r="O999" s="69" t="s">
        <v>242</v>
      </c>
      <c r="P999" s="131">
        <v>5</v>
      </c>
      <c r="Q999" s="134">
        <f t="shared" si="278"/>
        <v>10</v>
      </c>
      <c r="R999" s="428"/>
      <c r="S999" s="428"/>
      <c r="T999" s="133"/>
      <c r="U999" s="405"/>
      <c r="V999" s="135"/>
      <c r="W999" s="133"/>
      <c r="X999" s="405"/>
      <c r="Y999" s="405"/>
      <c r="Z999" s="135"/>
      <c r="AA999" s="136"/>
      <c r="AB999" s="111"/>
      <c r="AC999" s="226"/>
      <c r="AD999" s="226">
        <f t="shared" si="273"/>
        <v>7010</v>
      </c>
    </row>
    <row r="1000" spans="1:32" ht="153.75" outlineLevel="3" thickBot="1" x14ac:dyDescent="0.25">
      <c r="A1000" s="199" t="s">
        <v>1920</v>
      </c>
      <c r="B1000" s="477" t="s">
        <v>695</v>
      </c>
      <c r="C1000" s="479" t="s">
        <v>696</v>
      </c>
      <c r="D1000" s="477" t="s">
        <v>697</v>
      </c>
      <c r="E1000" s="417" t="s">
        <v>698</v>
      </c>
      <c r="F1000" s="417" t="s">
        <v>1151</v>
      </c>
      <c r="G1000" s="417" t="s">
        <v>1795</v>
      </c>
      <c r="H1000" s="127" t="s">
        <v>238</v>
      </c>
      <c r="I1000" s="128">
        <v>2</v>
      </c>
      <c r="J1000" s="163" t="s">
        <v>438</v>
      </c>
      <c r="K1000" s="130" t="s">
        <v>1790</v>
      </c>
      <c r="L1000" s="131">
        <v>1</v>
      </c>
      <c r="M1000" s="132">
        <f t="shared" si="275"/>
        <v>2</v>
      </c>
      <c r="N1000" s="133" t="s">
        <v>291</v>
      </c>
      <c r="O1000" s="69" t="s">
        <v>242</v>
      </c>
      <c r="P1000" s="131">
        <v>5</v>
      </c>
      <c r="Q1000" s="134">
        <f t="shared" si="274"/>
        <v>10</v>
      </c>
      <c r="R1000" s="428"/>
      <c r="S1000" s="428"/>
      <c r="T1000" s="133"/>
      <c r="U1000" s="405"/>
      <c r="V1000" s="135"/>
      <c r="W1000" s="133"/>
      <c r="X1000" s="405"/>
      <c r="Y1000" s="405"/>
      <c r="Z1000" s="135"/>
      <c r="AA1000" s="136"/>
      <c r="AB1000" s="111"/>
      <c r="AD1000" s="226">
        <f t="shared" si="273"/>
        <v>5669</v>
      </c>
    </row>
    <row r="1001" spans="1:32" s="242" customFormat="1" ht="166.5" outlineLevel="3" thickBot="1" x14ac:dyDescent="0.25">
      <c r="A1001" s="199" t="s">
        <v>1921</v>
      </c>
      <c r="B1001" s="478"/>
      <c r="C1001" s="480"/>
      <c r="D1001" s="478"/>
      <c r="E1001" s="417" t="s">
        <v>701</v>
      </c>
      <c r="F1001" s="417" t="s">
        <v>1148</v>
      </c>
      <c r="G1001" s="417" t="s">
        <v>1795</v>
      </c>
      <c r="H1001" s="127" t="s">
        <v>238</v>
      </c>
      <c r="I1001" s="128">
        <v>2</v>
      </c>
      <c r="J1001" s="163" t="s">
        <v>402</v>
      </c>
      <c r="K1001" s="130" t="s">
        <v>1790</v>
      </c>
      <c r="L1001" s="131">
        <v>1</v>
      </c>
      <c r="M1001" s="132">
        <f t="shared" si="275"/>
        <v>2</v>
      </c>
      <c r="N1001" s="133" t="s">
        <v>291</v>
      </c>
      <c r="O1001" s="69" t="s">
        <v>242</v>
      </c>
      <c r="P1001" s="131">
        <v>5</v>
      </c>
      <c r="Q1001" s="134">
        <f t="shared" si="274"/>
        <v>10</v>
      </c>
      <c r="R1001" s="428"/>
      <c r="S1001" s="428"/>
      <c r="T1001" s="133"/>
      <c r="U1001" s="405"/>
      <c r="V1001" s="135"/>
      <c r="W1001" s="133"/>
      <c r="X1001" s="405"/>
      <c r="Y1001" s="405"/>
      <c r="Z1001" s="135"/>
      <c r="AA1001" s="136"/>
      <c r="AB1001" s="111"/>
      <c r="AC1001" s="239"/>
      <c r="AD1001" s="226">
        <f t="shared" si="273"/>
        <v>5670</v>
      </c>
      <c r="AE1001" s="239"/>
      <c r="AF1001" s="346"/>
    </row>
    <row r="1002" spans="1:32" s="239" customFormat="1" ht="153.75" outlineLevel="3" thickBot="1" x14ac:dyDescent="0.25">
      <c r="A1002" s="199" t="s">
        <v>703</v>
      </c>
      <c r="B1002" s="477" t="s">
        <v>704</v>
      </c>
      <c r="C1002" s="479" t="s">
        <v>705</v>
      </c>
      <c r="D1002" s="477" t="s">
        <v>706</v>
      </c>
      <c r="E1002" s="405" t="s">
        <v>275</v>
      </c>
      <c r="F1002" s="405" t="s">
        <v>707</v>
      </c>
      <c r="G1002" s="405" t="s">
        <v>1789</v>
      </c>
      <c r="H1002" s="420" t="s">
        <v>238</v>
      </c>
      <c r="I1002" s="164">
        <v>1</v>
      </c>
      <c r="J1002" s="163" t="s">
        <v>277</v>
      </c>
      <c r="K1002" s="130" t="s">
        <v>1790</v>
      </c>
      <c r="L1002" s="138">
        <v>1</v>
      </c>
      <c r="M1002" s="166">
        <f t="shared" si="275"/>
        <v>1</v>
      </c>
      <c r="N1002" s="133" t="s">
        <v>291</v>
      </c>
      <c r="O1002" s="420" t="s">
        <v>242</v>
      </c>
      <c r="P1002" s="138">
        <v>5</v>
      </c>
      <c r="Q1002" s="338">
        <f t="shared" si="274"/>
        <v>5</v>
      </c>
      <c r="R1002" s="428"/>
      <c r="S1002" s="428"/>
      <c r="T1002" s="133"/>
      <c r="U1002" s="405"/>
      <c r="V1002" s="135"/>
      <c r="W1002" s="133"/>
      <c r="X1002" s="405"/>
      <c r="Y1002" s="405"/>
      <c r="Z1002" s="135"/>
      <c r="AA1002" s="136"/>
      <c r="AB1002" s="111"/>
      <c r="AD1002" s="226">
        <f t="shared" si="273"/>
        <v>5229</v>
      </c>
    </row>
    <row r="1003" spans="1:32" s="242" customFormat="1" ht="153.75" outlineLevel="3" thickBot="1" x14ac:dyDescent="0.25">
      <c r="A1003" s="199" t="s">
        <v>708</v>
      </c>
      <c r="B1003" s="478"/>
      <c r="C1003" s="480"/>
      <c r="D1003" s="478"/>
      <c r="E1003" s="405" t="s">
        <v>279</v>
      </c>
      <c r="F1003" s="405" t="s">
        <v>1149</v>
      </c>
      <c r="G1003" s="405" t="s">
        <v>1795</v>
      </c>
      <c r="H1003" s="420" t="s">
        <v>238</v>
      </c>
      <c r="I1003" s="164">
        <v>2</v>
      </c>
      <c r="J1003" s="163" t="s">
        <v>412</v>
      </c>
      <c r="K1003" s="130" t="s">
        <v>1790</v>
      </c>
      <c r="L1003" s="138">
        <v>1</v>
      </c>
      <c r="M1003" s="166">
        <f t="shared" si="275"/>
        <v>2</v>
      </c>
      <c r="N1003" s="133" t="s">
        <v>291</v>
      </c>
      <c r="O1003" s="420" t="s">
        <v>242</v>
      </c>
      <c r="P1003" s="138">
        <v>5</v>
      </c>
      <c r="Q1003" s="225">
        <f t="shared" si="274"/>
        <v>10</v>
      </c>
      <c r="R1003" s="428"/>
      <c r="S1003" s="428"/>
      <c r="T1003" s="133"/>
      <c r="U1003" s="405"/>
      <c r="V1003" s="135"/>
      <c r="W1003" s="133"/>
      <c r="X1003" s="405"/>
      <c r="Y1003" s="405"/>
      <c r="Z1003" s="135"/>
      <c r="AA1003" s="136"/>
      <c r="AB1003" s="111"/>
      <c r="AC1003" s="239"/>
      <c r="AD1003" s="226">
        <f t="shared" si="273"/>
        <v>5230</v>
      </c>
      <c r="AE1003" s="239"/>
      <c r="AF1003" s="346"/>
    </row>
    <row r="1004" spans="1:32" s="239" customFormat="1" ht="153.75" outlineLevel="3" thickBot="1" x14ac:dyDescent="0.25">
      <c r="A1004" s="199" t="s">
        <v>1922</v>
      </c>
      <c r="B1004" s="477" t="s">
        <v>711</v>
      </c>
      <c r="C1004" s="479" t="s">
        <v>712</v>
      </c>
      <c r="D1004" s="477" t="s">
        <v>713</v>
      </c>
      <c r="E1004" s="417" t="s">
        <v>698</v>
      </c>
      <c r="F1004" s="417" t="s">
        <v>1151</v>
      </c>
      <c r="G1004" s="417" t="s">
        <v>1795</v>
      </c>
      <c r="H1004" s="127" t="s">
        <v>238</v>
      </c>
      <c r="I1004" s="128">
        <v>2</v>
      </c>
      <c r="J1004" s="163" t="s">
        <v>438</v>
      </c>
      <c r="K1004" s="130" t="s">
        <v>1790</v>
      </c>
      <c r="L1004" s="131">
        <v>1</v>
      </c>
      <c r="M1004" s="132">
        <f t="shared" si="275"/>
        <v>2</v>
      </c>
      <c r="N1004" s="133" t="s">
        <v>291</v>
      </c>
      <c r="O1004" s="69" t="s">
        <v>242</v>
      </c>
      <c r="P1004" s="131">
        <v>5</v>
      </c>
      <c r="Q1004" s="134">
        <f t="shared" si="274"/>
        <v>10</v>
      </c>
      <c r="R1004" s="428"/>
      <c r="S1004" s="428"/>
      <c r="T1004" s="133"/>
      <c r="U1004" s="405"/>
      <c r="V1004" s="135"/>
      <c r="W1004" s="133"/>
      <c r="X1004" s="405"/>
      <c r="Y1004" s="405"/>
      <c r="Z1004" s="135"/>
      <c r="AA1004" s="136"/>
      <c r="AB1004" s="111"/>
      <c r="AD1004" s="226">
        <f t="shared" si="273"/>
        <v>5671</v>
      </c>
    </row>
    <row r="1005" spans="1:32" s="242" customFormat="1" ht="166.5" outlineLevel="3" thickBot="1" x14ac:dyDescent="0.25">
      <c r="A1005" s="199" t="s">
        <v>1923</v>
      </c>
      <c r="B1005" s="478"/>
      <c r="C1005" s="480"/>
      <c r="D1005" s="478"/>
      <c r="E1005" s="417" t="s">
        <v>701</v>
      </c>
      <c r="F1005" s="417" t="s">
        <v>1317</v>
      </c>
      <c r="G1005" s="417" t="s">
        <v>1795</v>
      </c>
      <c r="H1005" s="127" t="s">
        <v>238</v>
      </c>
      <c r="I1005" s="128">
        <v>2</v>
      </c>
      <c r="J1005" s="163" t="s">
        <v>402</v>
      </c>
      <c r="K1005" s="130" t="s">
        <v>1790</v>
      </c>
      <c r="L1005" s="131">
        <v>1</v>
      </c>
      <c r="M1005" s="132">
        <f t="shared" si="275"/>
        <v>2</v>
      </c>
      <c r="N1005" s="133" t="s">
        <v>291</v>
      </c>
      <c r="O1005" s="69" t="s">
        <v>242</v>
      </c>
      <c r="P1005" s="131">
        <v>5</v>
      </c>
      <c r="Q1005" s="134">
        <f t="shared" si="274"/>
        <v>10</v>
      </c>
      <c r="R1005" s="428"/>
      <c r="S1005" s="428"/>
      <c r="T1005" s="133"/>
      <c r="U1005" s="405"/>
      <c r="V1005" s="135"/>
      <c r="W1005" s="133"/>
      <c r="X1005" s="405"/>
      <c r="Y1005" s="405"/>
      <c r="Z1005" s="135"/>
      <c r="AA1005" s="136"/>
      <c r="AB1005" s="111"/>
      <c r="AC1005" s="239"/>
      <c r="AD1005" s="226">
        <f t="shared" si="273"/>
        <v>5672</v>
      </c>
      <c r="AE1005" s="239"/>
      <c r="AF1005" s="346"/>
    </row>
    <row r="1006" spans="1:32" s="239" customFormat="1" ht="153.75" outlineLevel="3" thickBot="1" x14ac:dyDescent="0.25">
      <c r="A1006" s="199" t="s">
        <v>1924</v>
      </c>
      <c r="B1006" s="477" t="s">
        <v>704</v>
      </c>
      <c r="C1006" s="479" t="s">
        <v>716</v>
      </c>
      <c r="D1006" s="477" t="s">
        <v>706</v>
      </c>
      <c r="E1006" s="417" t="s">
        <v>275</v>
      </c>
      <c r="F1006" s="417" t="s">
        <v>707</v>
      </c>
      <c r="G1006" s="405" t="s">
        <v>1789</v>
      </c>
      <c r="H1006" s="127" t="s">
        <v>238</v>
      </c>
      <c r="I1006" s="128">
        <v>1</v>
      </c>
      <c r="J1006" s="163" t="s">
        <v>277</v>
      </c>
      <c r="K1006" s="130" t="s">
        <v>1790</v>
      </c>
      <c r="L1006" s="131">
        <v>1</v>
      </c>
      <c r="M1006" s="132">
        <f t="shared" si="275"/>
        <v>1</v>
      </c>
      <c r="N1006" s="133" t="s">
        <v>291</v>
      </c>
      <c r="O1006" s="69" t="s">
        <v>242</v>
      </c>
      <c r="P1006" s="131">
        <v>5</v>
      </c>
      <c r="Q1006" s="134">
        <f t="shared" si="274"/>
        <v>5</v>
      </c>
      <c r="R1006" s="428"/>
      <c r="S1006" s="428"/>
      <c r="T1006" s="133"/>
      <c r="U1006" s="405"/>
      <c r="V1006" s="135"/>
      <c r="W1006" s="133"/>
      <c r="X1006" s="405"/>
      <c r="Y1006" s="405"/>
      <c r="Z1006" s="135"/>
      <c r="AA1006" s="136"/>
      <c r="AB1006" s="111"/>
      <c r="AD1006" s="226">
        <f t="shared" si="273"/>
        <v>5673</v>
      </c>
    </row>
    <row r="1007" spans="1:32" s="242" customFormat="1" ht="153.75" outlineLevel="3" thickBot="1" x14ac:dyDescent="0.25">
      <c r="A1007" s="199" t="s">
        <v>1925</v>
      </c>
      <c r="B1007" s="478"/>
      <c r="C1007" s="480"/>
      <c r="D1007" s="478"/>
      <c r="E1007" s="417" t="s">
        <v>279</v>
      </c>
      <c r="F1007" s="417" t="s">
        <v>1149</v>
      </c>
      <c r="G1007" s="417" t="s">
        <v>1795</v>
      </c>
      <c r="H1007" s="127" t="s">
        <v>238</v>
      </c>
      <c r="I1007" s="128">
        <v>2</v>
      </c>
      <c r="J1007" s="163" t="s">
        <v>412</v>
      </c>
      <c r="K1007" s="130" t="s">
        <v>1790</v>
      </c>
      <c r="L1007" s="131">
        <v>1</v>
      </c>
      <c r="M1007" s="132">
        <f t="shared" si="275"/>
        <v>2</v>
      </c>
      <c r="N1007" s="133" t="s">
        <v>291</v>
      </c>
      <c r="O1007" s="69" t="s">
        <v>242</v>
      </c>
      <c r="P1007" s="131">
        <v>5</v>
      </c>
      <c r="Q1007" s="134">
        <f t="shared" si="274"/>
        <v>10</v>
      </c>
      <c r="R1007" s="428"/>
      <c r="S1007" s="428"/>
      <c r="T1007" s="133"/>
      <c r="U1007" s="405"/>
      <c r="V1007" s="135"/>
      <c r="W1007" s="133"/>
      <c r="X1007" s="405"/>
      <c r="Y1007" s="405"/>
      <c r="Z1007" s="135"/>
      <c r="AA1007" s="136"/>
      <c r="AB1007" s="111"/>
      <c r="AC1007" s="239"/>
      <c r="AD1007" s="226">
        <f t="shared" si="273"/>
        <v>5674</v>
      </c>
      <c r="AE1007" s="239"/>
      <c r="AF1007" s="346"/>
    </row>
    <row r="1008" spans="1:32" s="239" customFormat="1" ht="153.75" outlineLevel="3" thickBot="1" x14ac:dyDescent="0.25">
      <c r="A1008" s="201" t="s">
        <v>1926</v>
      </c>
      <c r="B1008" s="506" t="s">
        <v>718</v>
      </c>
      <c r="C1008" s="507" t="s">
        <v>719</v>
      </c>
      <c r="D1008" s="506" t="s">
        <v>720</v>
      </c>
      <c r="E1008" s="411" t="s">
        <v>352</v>
      </c>
      <c r="F1008" s="405" t="s">
        <v>721</v>
      </c>
      <c r="G1008" s="405" t="s">
        <v>1789</v>
      </c>
      <c r="H1008" s="420" t="s">
        <v>238</v>
      </c>
      <c r="I1008" s="164">
        <v>1</v>
      </c>
      <c r="J1008" s="411" t="s">
        <v>302</v>
      </c>
      <c r="K1008" s="130" t="s">
        <v>1790</v>
      </c>
      <c r="L1008" s="411">
        <v>1</v>
      </c>
      <c r="M1008" s="166">
        <f t="shared" si="275"/>
        <v>1</v>
      </c>
      <c r="N1008" s="133" t="s">
        <v>303</v>
      </c>
      <c r="O1008" s="420" t="s">
        <v>242</v>
      </c>
      <c r="P1008" s="138">
        <v>5</v>
      </c>
      <c r="Q1008" s="225">
        <f t="shared" ref="Q1008:Q1013" si="280">P1008*L1008*I1008</f>
        <v>5</v>
      </c>
      <c r="R1008" s="428"/>
      <c r="S1008" s="428"/>
      <c r="T1008" s="133"/>
      <c r="U1008" s="405"/>
      <c r="V1008" s="135"/>
      <c r="W1008" s="133"/>
      <c r="X1008" s="405"/>
      <c r="Y1008" s="405"/>
      <c r="Z1008" s="135"/>
      <c r="AA1008" s="136"/>
      <c r="AB1008" s="111"/>
      <c r="AD1008" s="226">
        <f t="shared" si="273"/>
        <v>11138</v>
      </c>
    </row>
    <row r="1009" spans="1:30" ht="153.75" outlineLevel="3" thickBot="1" x14ac:dyDescent="0.25">
      <c r="A1009" s="198" t="s">
        <v>1927</v>
      </c>
      <c r="B1009" s="506"/>
      <c r="C1009" s="507"/>
      <c r="D1009" s="506"/>
      <c r="E1009" s="411" t="s">
        <v>355</v>
      </c>
      <c r="F1009" s="405" t="s">
        <v>721</v>
      </c>
      <c r="G1009" s="405" t="s">
        <v>1789</v>
      </c>
      <c r="H1009" s="420" t="s">
        <v>238</v>
      </c>
      <c r="I1009" s="164">
        <v>1</v>
      </c>
      <c r="J1009" s="411" t="s">
        <v>307</v>
      </c>
      <c r="K1009" s="130" t="s">
        <v>1790</v>
      </c>
      <c r="L1009" s="411">
        <v>1</v>
      </c>
      <c r="M1009" s="166">
        <f t="shared" si="275"/>
        <v>1</v>
      </c>
      <c r="N1009" s="133" t="s">
        <v>303</v>
      </c>
      <c r="O1009" s="420" t="s">
        <v>242</v>
      </c>
      <c r="P1009" s="138">
        <v>5</v>
      </c>
      <c r="Q1009" s="225">
        <f t="shared" si="280"/>
        <v>5</v>
      </c>
      <c r="R1009" s="428"/>
      <c r="S1009" s="428"/>
      <c r="T1009" s="133"/>
      <c r="U1009" s="405"/>
      <c r="V1009" s="135"/>
      <c r="W1009" s="133"/>
      <c r="X1009" s="405"/>
      <c r="Y1009" s="405"/>
      <c r="Z1009" s="135"/>
      <c r="AA1009" s="136"/>
      <c r="AB1009" s="111"/>
      <c r="AD1009" s="226">
        <f t="shared" si="273"/>
        <v>11139</v>
      </c>
    </row>
    <row r="1010" spans="1:30" ht="153.75" outlineLevel="3" thickBot="1" x14ac:dyDescent="0.25">
      <c r="A1010" s="201" t="s">
        <v>1928</v>
      </c>
      <c r="B1010" s="506" t="s">
        <v>724</v>
      </c>
      <c r="C1010" s="507" t="s">
        <v>725</v>
      </c>
      <c r="D1010" s="506" t="s">
        <v>726</v>
      </c>
      <c r="E1010" s="411" t="s">
        <v>437</v>
      </c>
      <c r="F1010" s="405" t="s">
        <v>721</v>
      </c>
      <c r="G1010" s="405" t="s">
        <v>1789</v>
      </c>
      <c r="H1010" s="420" t="s">
        <v>238</v>
      </c>
      <c r="I1010" s="164">
        <v>1</v>
      </c>
      <c r="J1010" s="411" t="s">
        <v>302</v>
      </c>
      <c r="K1010" s="130" t="s">
        <v>1790</v>
      </c>
      <c r="L1010" s="411">
        <v>1</v>
      </c>
      <c r="M1010" s="166">
        <f t="shared" si="275"/>
        <v>1</v>
      </c>
      <c r="N1010" s="133" t="s">
        <v>303</v>
      </c>
      <c r="O1010" s="420" t="s">
        <v>242</v>
      </c>
      <c r="P1010" s="138">
        <v>5</v>
      </c>
      <c r="Q1010" s="225">
        <f t="shared" si="280"/>
        <v>5</v>
      </c>
      <c r="R1010" s="428"/>
      <c r="S1010" s="428"/>
      <c r="T1010" s="133"/>
      <c r="U1010" s="405"/>
      <c r="V1010" s="135"/>
      <c r="W1010" s="133"/>
      <c r="X1010" s="405"/>
      <c r="Y1010" s="405"/>
      <c r="Z1010" s="135"/>
      <c r="AA1010" s="136"/>
      <c r="AB1010" s="111"/>
      <c r="AD1010" s="226">
        <f t="shared" si="273"/>
        <v>11140</v>
      </c>
    </row>
    <row r="1011" spans="1:30" ht="153.75" outlineLevel="3" thickBot="1" x14ac:dyDescent="0.25">
      <c r="A1011" s="198" t="s">
        <v>1929</v>
      </c>
      <c r="B1011" s="506"/>
      <c r="C1011" s="507"/>
      <c r="D1011" s="506"/>
      <c r="E1011" s="411" t="s">
        <v>701</v>
      </c>
      <c r="F1011" s="405" t="s">
        <v>721</v>
      </c>
      <c r="G1011" s="405" t="s">
        <v>1789</v>
      </c>
      <c r="H1011" s="420" t="s">
        <v>238</v>
      </c>
      <c r="I1011" s="164">
        <v>1</v>
      </c>
      <c r="J1011" s="411" t="s">
        <v>307</v>
      </c>
      <c r="K1011" s="130" t="s">
        <v>1790</v>
      </c>
      <c r="L1011" s="411">
        <v>1</v>
      </c>
      <c r="M1011" s="166">
        <f t="shared" si="275"/>
        <v>1</v>
      </c>
      <c r="N1011" s="133" t="s">
        <v>303</v>
      </c>
      <c r="O1011" s="420" t="s">
        <v>242</v>
      </c>
      <c r="P1011" s="138">
        <v>5</v>
      </c>
      <c r="Q1011" s="225">
        <f t="shared" si="280"/>
        <v>5</v>
      </c>
      <c r="R1011" s="428"/>
      <c r="S1011" s="428"/>
      <c r="T1011" s="133"/>
      <c r="U1011" s="405"/>
      <c r="V1011" s="135"/>
      <c r="W1011" s="133"/>
      <c r="X1011" s="405"/>
      <c r="Y1011" s="405"/>
      <c r="Z1011" s="135"/>
      <c r="AA1011" s="136"/>
      <c r="AB1011" s="111"/>
      <c r="AC1011" s="227"/>
      <c r="AD1011" s="226">
        <f t="shared" si="273"/>
        <v>11141</v>
      </c>
    </row>
    <row r="1012" spans="1:30" ht="153.75" outlineLevel="3" thickBot="1" x14ac:dyDescent="0.25">
      <c r="A1012" s="201" t="s">
        <v>1930</v>
      </c>
      <c r="B1012" s="506" t="s">
        <v>729</v>
      </c>
      <c r="C1012" s="507" t="s">
        <v>730</v>
      </c>
      <c r="D1012" s="506" t="s">
        <v>731</v>
      </c>
      <c r="E1012" s="411" t="s">
        <v>352</v>
      </c>
      <c r="F1012" s="411" t="s">
        <v>441</v>
      </c>
      <c r="G1012" s="405" t="s">
        <v>1789</v>
      </c>
      <c r="H1012" s="420" t="s">
        <v>238</v>
      </c>
      <c r="I1012" s="164">
        <v>1</v>
      </c>
      <c r="J1012" s="411" t="s">
        <v>302</v>
      </c>
      <c r="K1012" s="130" t="s">
        <v>1790</v>
      </c>
      <c r="L1012" s="411">
        <v>1</v>
      </c>
      <c r="M1012" s="166">
        <f t="shared" si="275"/>
        <v>1</v>
      </c>
      <c r="N1012" s="133" t="s">
        <v>303</v>
      </c>
      <c r="O1012" s="420" t="s">
        <v>242</v>
      </c>
      <c r="P1012" s="138">
        <v>5</v>
      </c>
      <c r="Q1012" s="225">
        <f t="shared" si="280"/>
        <v>5</v>
      </c>
      <c r="R1012" s="428"/>
      <c r="S1012" s="428"/>
      <c r="T1012" s="133"/>
      <c r="U1012" s="405"/>
      <c r="V1012" s="135"/>
      <c r="W1012" s="133"/>
      <c r="X1012" s="405"/>
      <c r="Y1012" s="405"/>
      <c r="Z1012" s="135"/>
      <c r="AA1012" s="136"/>
      <c r="AB1012" s="111"/>
      <c r="AD1012" s="226">
        <f t="shared" si="273"/>
        <v>11142</v>
      </c>
    </row>
    <row r="1013" spans="1:30" ht="153.75" outlineLevel="3" thickBot="1" x14ac:dyDescent="0.25">
      <c r="A1013" s="198" t="s">
        <v>1931</v>
      </c>
      <c r="B1013" s="506"/>
      <c r="C1013" s="507"/>
      <c r="D1013" s="506"/>
      <c r="E1013" s="411" t="s">
        <v>355</v>
      </c>
      <c r="F1013" s="411" t="s">
        <v>966</v>
      </c>
      <c r="G1013" s="405" t="s">
        <v>1795</v>
      </c>
      <c r="H1013" s="420" t="s">
        <v>238</v>
      </c>
      <c r="I1013" s="164">
        <v>2</v>
      </c>
      <c r="J1013" s="411" t="s">
        <v>307</v>
      </c>
      <c r="K1013" s="130" t="s">
        <v>1790</v>
      </c>
      <c r="L1013" s="411">
        <v>1</v>
      </c>
      <c r="M1013" s="166">
        <f t="shared" si="275"/>
        <v>2</v>
      </c>
      <c r="N1013" s="133" t="s">
        <v>303</v>
      </c>
      <c r="O1013" s="420" t="s">
        <v>242</v>
      </c>
      <c r="P1013" s="138">
        <v>5</v>
      </c>
      <c r="Q1013" s="225">
        <f t="shared" si="280"/>
        <v>10</v>
      </c>
      <c r="R1013" s="428"/>
      <c r="S1013" s="428"/>
      <c r="T1013" s="133"/>
      <c r="U1013" s="405"/>
      <c r="V1013" s="135"/>
      <c r="W1013" s="133"/>
      <c r="X1013" s="405"/>
      <c r="Y1013" s="405"/>
      <c r="Z1013" s="135"/>
      <c r="AA1013" s="136"/>
      <c r="AB1013" s="111"/>
      <c r="AD1013" s="226">
        <f t="shared" si="273"/>
        <v>11143</v>
      </c>
    </row>
    <row r="1014" spans="1:30" ht="153.75" outlineLevel="3" thickBot="1" x14ac:dyDescent="0.25">
      <c r="A1014" s="199" t="s">
        <v>1932</v>
      </c>
      <c r="B1014" s="411" t="s">
        <v>765</v>
      </c>
      <c r="C1014" s="412" t="s">
        <v>766</v>
      </c>
      <c r="D1014" s="411" t="s">
        <v>767</v>
      </c>
      <c r="E1014" s="137" t="s">
        <v>768</v>
      </c>
      <c r="F1014" s="417" t="s">
        <v>1335</v>
      </c>
      <c r="G1014" s="417" t="s">
        <v>1795</v>
      </c>
      <c r="H1014" s="127" t="s">
        <v>238</v>
      </c>
      <c r="I1014" s="128">
        <v>2</v>
      </c>
      <c r="J1014" s="163" t="s">
        <v>770</v>
      </c>
      <c r="K1014" s="130" t="s">
        <v>1790</v>
      </c>
      <c r="L1014" s="131">
        <v>1</v>
      </c>
      <c r="M1014" s="132">
        <f t="shared" si="275"/>
        <v>2</v>
      </c>
      <c r="N1014" s="133" t="s">
        <v>291</v>
      </c>
      <c r="O1014" s="69" t="s">
        <v>242</v>
      </c>
      <c r="P1014" s="131">
        <v>5</v>
      </c>
      <c r="Q1014" s="134">
        <f t="shared" si="274"/>
        <v>10</v>
      </c>
      <c r="R1014" s="428"/>
      <c r="S1014" s="428"/>
      <c r="T1014" s="133"/>
      <c r="U1014" s="405"/>
      <c r="V1014" s="135"/>
      <c r="W1014" s="133"/>
      <c r="X1014" s="405"/>
      <c r="Y1014" s="405"/>
      <c r="Z1014" s="135"/>
      <c r="AA1014" s="136"/>
      <c r="AB1014" s="111"/>
      <c r="AD1014" s="226">
        <f t="shared" si="273"/>
        <v>5675</v>
      </c>
    </row>
    <row r="1015" spans="1:30" ht="141" outlineLevel="3" thickBot="1" x14ac:dyDescent="0.25">
      <c r="A1015" s="240" t="s">
        <v>1933</v>
      </c>
      <c r="B1015" s="518" t="s">
        <v>735</v>
      </c>
      <c r="C1015" s="519" t="s">
        <v>736</v>
      </c>
      <c r="D1015" s="518" t="s">
        <v>737</v>
      </c>
      <c r="E1015" s="409" t="s">
        <v>235</v>
      </c>
      <c r="F1015" s="409" t="s">
        <v>738</v>
      </c>
      <c r="G1015" s="417" t="s">
        <v>1795</v>
      </c>
      <c r="H1015" s="295" t="s">
        <v>238</v>
      </c>
      <c r="I1015" s="409">
        <v>2</v>
      </c>
      <c r="J1015" s="409" t="s">
        <v>239</v>
      </c>
      <c r="K1015" s="165" t="s">
        <v>338</v>
      </c>
      <c r="L1015" s="409">
        <v>1</v>
      </c>
      <c r="M1015" s="231">
        <f t="shared" si="275"/>
        <v>2</v>
      </c>
      <c r="N1015" s="232" t="s">
        <v>241</v>
      </c>
      <c r="O1015" s="420" t="s">
        <v>242</v>
      </c>
      <c r="P1015" s="138">
        <v>5</v>
      </c>
      <c r="Q1015" s="235">
        <f t="shared" si="274"/>
        <v>10</v>
      </c>
      <c r="R1015" s="428"/>
      <c r="S1015" s="428"/>
      <c r="T1015" s="133"/>
      <c r="U1015" s="405"/>
      <c r="V1015" s="135"/>
      <c r="W1015" s="133"/>
      <c r="X1015" s="405"/>
      <c r="Y1015" s="405"/>
      <c r="Z1015" s="135"/>
      <c r="AA1015" s="136"/>
      <c r="AB1015" s="111"/>
      <c r="AD1015" s="226">
        <f t="shared" si="273"/>
        <v>11451</v>
      </c>
    </row>
    <row r="1016" spans="1:30" ht="141" outlineLevel="3" thickBot="1" x14ac:dyDescent="0.25">
      <c r="A1016" s="230" t="s">
        <v>1934</v>
      </c>
      <c r="B1016" s="518"/>
      <c r="C1016" s="519"/>
      <c r="D1016" s="518"/>
      <c r="E1016" s="410" t="s">
        <v>740</v>
      </c>
      <c r="F1016" s="410" t="s">
        <v>741</v>
      </c>
      <c r="G1016" s="417" t="s">
        <v>1795</v>
      </c>
      <c r="H1016" s="295" t="s">
        <v>238</v>
      </c>
      <c r="I1016" s="410">
        <v>2</v>
      </c>
      <c r="J1016" s="410" t="s">
        <v>742</v>
      </c>
      <c r="K1016" s="165" t="s">
        <v>338</v>
      </c>
      <c r="L1016" s="410">
        <v>1</v>
      </c>
      <c r="M1016" s="231">
        <f t="shared" si="275"/>
        <v>2</v>
      </c>
      <c r="N1016" s="232" t="s">
        <v>241</v>
      </c>
      <c r="O1016" s="420" t="s">
        <v>242</v>
      </c>
      <c r="P1016" s="138">
        <v>5</v>
      </c>
      <c r="Q1016" s="235">
        <f t="shared" si="274"/>
        <v>10</v>
      </c>
      <c r="R1016" s="428"/>
      <c r="S1016" s="428"/>
      <c r="T1016" s="133"/>
      <c r="U1016" s="405"/>
      <c r="V1016" s="135"/>
      <c r="W1016" s="133"/>
      <c r="X1016" s="405"/>
      <c r="Y1016" s="405"/>
      <c r="Z1016" s="135"/>
      <c r="AA1016" s="136"/>
      <c r="AB1016" s="111"/>
      <c r="AD1016" s="226">
        <f t="shared" si="273"/>
        <v>11452</v>
      </c>
    </row>
    <row r="1017" spans="1:30" ht="141" outlineLevel="3" thickBot="1" x14ac:dyDescent="0.25">
      <c r="A1017" s="240" t="s">
        <v>1935</v>
      </c>
      <c r="B1017" s="493" t="s">
        <v>744</v>
      </c>
      <c r="C1017" s="495" t="s">
        <v>745</v>
      </c>
      <c r="D1017" s="493" t="s">
        <v>746</v>
      </c>
      <c r="E1017" s="409" t="s">
        <v>235</v>
      </c>
      <c r="F1017" s="409" t="s">
        <v>747</v>
      </c>
      <c r="G1017" s="417" t="s">
        <v>1795</v>
      </c>
      <c r="H1017" s="295" t="s">
        <v>238</v>
      </c>
      <c r="I1017" s="409">
        <v>2</v>
      </c>
      <c r="J1017" s="409" t="s">
        <v>239</v>
      </c>
      <c r="K1017" s="165" t="s">
        <v>338</v>
      </c>
      <c r="L1017" s="409">
        <v>1</v>
      </c>
      <c r="M1017" s="231">
        <f t="shared" si="275"/>
        <v>2</v>
      </c>
      <c r="N1017" s="232" t="s">
        <v>241</v>
      </c>
      <c r="O1017" s="420" t="s">
        <v>242</v>
      </c>
      <c r="P1017" s="138">
        <v>5</v>
      </c>
      <c r="Q1017" s="235">
        <f t="shared" si="274"/>
        <v>10</v>
      </c>
      <c r="R1017" s="428"/>
      <c r="S1017" s="428"/>
      <c r="T1017" s="133"/>
      <c r="U1017" s="405"/>
      <c r="V1017" s="135"/>
      <c r="W1017" s="133"/>
      <c r="X1017" s="405"/>
      <c r="Y1017" s="405"/>
      <c r="Z1017" s="135"/>
      <c r="AA1017" s="136"/>
      <c r="AB1017" s="111"/>
      <c r="AD1017" s="226">
        <f t="shared" si="273"/>
        <v>11453</v>
      </c>
    </row>
    <row r="1018" spans="1:30" ht="141" outlineLevel="3" thickBot="1" x14ac:dyDescent="0.25">
      <c r="A1018" s="230" t="s">
        <v>1936</v>
      </c>
      <c r="B1018" s="518"/>
      <c r="C1018" s="519"/>
      <c r="D1018" s="518"/>
      <c r="E1018" s="410" t="s">
        <v>740</v>
      </c>
      <c r="F1018" s="410" t="s">
        <v>749</v>
      </c>
      <c r="G1018" s="417" t="s">
        <v>1795</v>
      </c>
      <c r="H1018" s="295" t="s">
        <v>238</v>
      </c>
      <c r="I1018" s="410">
        <v>2</v>
      </c>
      <c r="J1018" s="410" t="s">
        <v>742</v>
      </c>
      <c r="K1018" s="165" t="s">
        <v>338</v>
      </c>
      <c r="L1018" s="410">
        <v>1</v>
      </c>
      <c r="M1018" s="231">
        <f t="shared" si="275"/>
        <v>2</v>
      </c>
      <c r="N1018" s="232" t="s">
        <v>241</v>
      </c>
      <c r="O1018" s="420" t="s">
        <v>242</v>
      </c>
      <c r="P1018" s="138">
        <v>5</v>
      </c>
      <c r="Q1018" s="235">
        <f t="shared" si="274"/>
        <v>10</v>
      </c>
      <c r="R1018" s="428"/>
      <c r="S1018" s="428"/>
      <c r="T1018" s="133"/>
      <c r="U1018" s="405"/>
      <c r="V1018" s="135"/>
      <c r="W1018" s="133"/>
      <c r="X1018" s="405"/>
      <c r="Y1018" s="405"/>
      <c r="Z1018" s="135"/>
      <c r="AA1018" s="136"/>
      <c r="AB1018" s="111"/>
      <c r="AD1018" s="226">
        <f t="shared" si="273"/>
        <v>11454</v>
      </c>
    </row>
    <row r="1019" spans="1:30" ht="153.75" outlineLevel="3" thickBot="1" x14ac:dyDescent="0.25">
      <c r="A1019" s="240" t="s">
        <v>1937</v>
      </c>
      <c r="B1019" s="493" t="s">
        <v>751</v>
      </c>
      <c r="C1019" s="495" t="s">
        <v>752</v>
      </c>
      <c r="D1019" s="493" t="s">
        <v>753</v>
      </c>
      <c r="E1019" s="409" t="s">
        <v>235</v>
      </c>
      <c r="F1019" s="409" t="s">
        <v>754</v>
      </c>
      <c r="G1019" s="417" t="s">
        <v>1795</v>
      </c>
      <c r="H1019" s="295" t="s">
        <v>238</v>
      </c>
      <c r="I1019" s="409">
        <v>2</v>
      </c>
      <c r="J1019" s="409" t="s">
        <v>239</v>
      </c>
      <c r="K1019" s="165" t="s">
        <v>338</v>
      </c>
      <c r="L1019" s="409">
        <v>1</v>
      </c>
      <c r="M1019" s="231">
        <f t="shared" si="275"/>
        <v>2</v>
      </c>
      <c r="N1019" s="232" t="s">
        <v>241</v>
      </c>
      <c r="O1019" s="420" t="s">
        <v>242</v>
      </c>
      <c r="P1019" s="138">
        <v>5</v>
      </c>
      <c r="Q1019" s="235">
        <f t="shared" si="274"/>
        <v>10</v>
      </c>
      <c r="R1019" s="428"/>
      <c r="S1019" s="428"/>
      <c r="T1019" s="133"/>
      <c r="U1019" s="405"/>
      <c r="V1019" s="135"/>
      <c r="W1019" s="133"/>
      <c r="X1019" s="405"/>
      <c r="Y1019" s="405"/>
      <c r="Z1019" s="135"/>
      <c r="AA1019" s="136"/>
      <c r="AB1019" s="111"/>
      <c r="AD1019" s="226">
        <f t="shared" si="273"/>
        <v>11455</v>
      </c>
    </row>
    <row r="1020" spans="1:30" ht="204.75" outlineLevel="3" thickBot="1" x14ac:dyDescent="0.25">
      <c r="A1020" s="230" t="s">
        <v>1938</v>
      </c>
      <c r="B1020" s="518"/>
      <c r="C1020" s="519"/>
      <c r="D1020" s="518"/>
      <c r="E1020" s="410" t="s">
        <v>740</v>
      </c>
      <c r="F1020" s="410" t="s">
        <v>756</v>
      </c>
      <c r="G1020" s="417" t="s">
        <v>1795</v>
      </c>
      <c r="H1020" s="295" t="s">
        <v>238</v>
      </c>
      <c r="I1020" s="410">
        <v>2</v>
      </c>
      <c r="J1020" s="410" t="s">
        <v>742</v>
      </c>
      <c r="K1020" s="165" t="s">
        <v>338</v>
      </c>
      <c r="L1020" s="410">
        <v>1</v>
      </c>
      <c r="M1020" s="231">
        <f t="shared" si="275"/>
        <v>2</v>
      </c>
      <c r="N1020" s="232" t="s">
        <v>241</v>
      </c>
      <c r="O1020" s="420" t="s">
        <v>242</v>
      </c>
      <c r="P1020" s="138">
        <v>5</v>
      </c>
      <c r="Q1020" s="235">
        <f t="shared" si="274"/>
        <v>10</v>
      </c>
      <c r="R1020" s="428"/>
      <c r="S1020" s="428"/>
      <c r="T1020" s="133"/>
      <c r="U1020" s="405"/>
      <c r="V1020" s="135"/>
      <c r="W1020" s="133"/>
      <c r="X1020" s="405"/>
      <c r="Y1020" s="405"/>
      <c r="Z1020" s="135"/>
      <c r="AA1020" s="136"/>
      <c r="AB1020" s="111"/>
      <c r="AD1020" s="226">
        <f t="shared" si="273"/>
        <v>11456</v>
      </c>
    </row>
    <row r="1021" spans="1:30" ht="141" outlineLevel="3" thickBot="1" x14ac:dyDescent="0.25">
      <c r="A1021" s="240" t="s">
        <v>1939</v>
      </c>
      <c r="B1021" s="493" t="s">
        <v>758</v>
      </c>
      <c r="C1021" s="495" t="s">
        <v>759</v>
      </c>
      <c r="D1021" s="493" t="s">
        <v>760</v>
      </c>
      <c r="E1021" s="409" t="s">
        <v>235</v>
      </c>
      <c r="F1021" s="409" t="s">
        <v>761</v>
      </c>
      <c r="G1021" s="417" t="s">
        <v>1795</v>
      </c>
      <c r="H1021" s="295" t="s">
        <v>238</v>
      </c>
      <c r="I1021" s="409">
        <v>2</v>
      </c>
      <c r="J1021" s="409" t="s">
        <v>239</v>
      </c>
      <c r="K1021" s="165" t="s">
        <v>338</v>
      </c>
      <c r="L1021" s="409">
        <v>1</v>
      </c>
      <c r="M1021" s="231">
        <f t="shared" si="275"/>
        <v>2</v>
      </c>
      <c r="N1021" s="232" t="s">
        <v>241</v>
      </c>
      <c r="O1021" s="420" t="s">
        <v>242</v>
      </c>
      <c r="P1021" s="138">
        <v>5</v>
      </c>
      <c r="Q1021" s="235">
        <f t="shared" si="274"/>
        <v>10</v>
      </c>
      <c r="R1021" s="428"/>
      <c r="S1021" s="428"/>
      <c r="T1021" s="133"/>
      <c r="U1021" s="405"/>
      <c r="V1021" s="135"/>
      <c r="W1021" s="133"/>
      <c r="X1021" s="405"/>
      <c r="Y1021" s="405"/>
      <c r="Z1021" s="135"/>
      <c r="AA1021" s="136"/>
      <c r="AB1021" s="111"/>
      <c r="AD1021" s="226">
        <f t="shared" si="273"/>
        <v>11457</v>
      </c>
    </row>
    <row r="1022" spans="1:30" ht="141" outlineLevel="3" thickBot="1" x14ac:dyDescent="0.25">
      <c r="A1022" s="230" t="s">
        <v>1940</v>
      </c>
      <c r="B1022" s="518"/>
      <c r="C1022" s="519"/>
      <c r="D1022" s="518"/>
      <c r="E1022" s="410" t="s">
        <v>740</v>
      </c>
      <c r="F1022" s="410" t="s">
        <v>763</v>
      </c>
      <c r="G1022" s="417" t="s">
        <v>1795</v>
      </c>
      <c r="H1022" s="295" t="s">
        <v>238</v>
      </c>
      <c r="I1022" s="410">
        <v>2</v>
      </c>
      <c r="J1022" s="410" t="s">
        <v>742</v>
      </c>
      <c r="K1022" s="165" t="s">
        <v>338</v>
      </c>
      <c r="L1022" s="410">
        <v>1</v>
      </c>
      <c r="M1022" s="231">
        <f t="shared" si="275"/>
        <v>2</v>
      </c>
      <c r="N1022" s="232" t="s">
        <v>241</v>
      </c>
      <c r="O1022" s="420" t="s">
        <v>242</v>
      </c>
      <c r="P1022" s="138">
        <v>5</v>
      </c>
      <c r="Q1022" s="235">
        <f t="shared" si="274"/>
        <v>10</v>
      </c>
      <c r="R1022" s="428"/>
      <c r="S1022" s="428"/>
      <c r="T1022" s="133"/>
      <c r="U1022" s="405"/>
      <c r="V1022" s="135"/>
      <c r="W1022" s="133"/>
      <c r="X1022" s="405"/>
      <c r="Y1022" s="405"/>
      <c r="Z1022" s="135"/>
      <c r="AA1022" s="136"/>
      <c r="AB1022" s="111"/>
      <c r="AD1022" s="226">
        <f t="shared" si="273"/>
        <v>11458</v>
      </c>
    </row>
    <row r="1023" spans="1:30" ht="153.75" outlineLevel="3" thickBot="1" x14ac:dyDescent="0.25">
      <c r="A1023" s="199" t="s">
        <v>1941</v>
      </c>
      <c r="B1023" s="477" t="s">
        <v>978</v>
      </c>
      <c r="C1023" s="479" t="s">
        <v>233</v>
      </c>
      <c r="D1023" s="589" t="s">
        <v>979</v>
      </c>
      <c r="E1023" s="405" t="s">
        <v>980</v>
      </c>
      <c r="F1023" s="405" t="s">
        <v>1942</v>
      </c>
      <c r="G1023" s="417" t="s">
        <v>1795</v>
      </c>
      <c r="H1023" s="420" t="s">
        <v>238</v>
      </c>
      <c r="I1023" s="164">
        <v>1</v>
      </c>
      <c r="J1023" s="163" t="s">
        <v>770</v>
      </c>
      <c r="K1023" s="130" t="s">
        <v>1790</v>
      </c>
      <c r="L1023" s="138">
        <v>1</v>
      </c>
      <c r="M1023" s="166">
        <f t="shared" si="275"/>
        <v>1</v>
      </c>
      <c r="N1023" s="133" t="s">
        <v>291</v>
      </c>
      <c r="O1023" s="69" t="s">
        <v>242</v>
      </c>
      <c r="P1023" s="131">
        <v>5</v>
      </c>
      <c r="Q1023" s="134">
        <f t="shared" si="274"/>
        <v>5</v>
      </c>
      <c r="R1023" s="428"/>
      <c r="S1023" s="428"/>
      <c r="T1023" s="133"/>
      <c r="U1023" s="405"/>
      <c r="V1023" s="135"/>
      <c r="W1023" s="133"/>
      <c r="X1023" s="405"/>
      <c r="Y1023" s="405"/>
      <c r="Z1023" s="135"/>
      <c r="AA1023" s="136"/>
      <c r="AB1023" s="111"/>
      <c r="AD1023" s="226">
        <f t="shared" si="273"/>
        <v>7011</v>
      </c>
    </row>
    <row r="1024" spans="1:30" ht="179.25" outlineLevel="3" thickBot="1" x14ac:dyDescent="0.25">
      <c r="A1024" s="199" t="s">
        <v>1943</v>
      </c>
      <c r="B1024" s="478"/>
      <c r="C1024" s="480"/>
      <c r="D1024" s="590"/>
      <c r="E1024" s="405" t="s">
        <v>985</v>
      </c>
      <c r="F1024" s="405" t="s">
        <v>986</v>
      </c>
      <c r="G1024" s="405" t="s">
        <v>1142</v>
      </c>
      <c r="H1024" s="420" t="s">
        <v>680</v>
      </c>
      <c r="I1024" s="164">
        <v>4</v>
      </c>
      <c r="J1024" s="163" t="s">
        <v>988</v>
      </c>
      <c r="K1024" s="165" t="s">
        <v>989</v>
      </c>
      <c r="L1024" s="138">
        <v>1</v>
      </c>
      <c r="M1024" s="166">
        <f t="shared" si="275"/>
        <v>4</v>
      </c>
      <c r="N1024" s="133" t="s">
        <v>291</v>
      </c>
      <c r="O1024" s="69" t="s">
        <v>242</v>
      </c>
      <c r="P1024" s="131">
        <v>5</v>
      </c>
      <c r="Q1024" s="134">
        <f t="shared" si="274"/>
        <v>20</v>
      </c>
      <c r="R1024" s="428"/>
      <c r="S1024" s="428"/>
      <c r="T1024" s="133"/>
      <c r="U1024" s="405"/>
      <c r="V1024" s="135"/>
      <c r="W1024" s="133"/>
      <c r="X1024" s="405"/>
      <c r="Y1024" s="405"/>
      <c r="Z1024" s="135"/>
      <c r="AA1024" s="136"/>
      <c r="AB1024" s="111"/>
      <c r="AD1024" s="226">
        <f t="shared" si="273"/>
        <v>7012</v>
      </c>
    </row>
    <row r="1025" spans="28:30" x14ac:dyDescent="0.2">
      <c r="AB1025" s="398"/>
      <c r="AD1025" s="226">
        <f t="shared" si="273"/>
        <v>0</v>
      </c>
    </row>
  </sheetData>
  <autoFilter ref="A2:HH1024" xr:uid="{A737FECB-867F-46F9-AB6F-9C1FEDAFC9BB}"/>
  <dataConsolidate/>
  <mergeCells count="1115">
    <mergeCell ref="B442:B444"/>
    <mergeCell ref="C442:C444"/>
    <mergeCell ref="D442:D444"/>
    <mergeCell ref="B159:B161"/>
    <mergeCell ref="C159:C161"/>
    <mergeCell ref="D159:D161"/>
    <mergeCell ref="D166:D167"/>
    <mergeCell ref="B308:B309"/>
    <mergeCell ref="C308:C309"/>
    <mergeCell ref="D308:D309"/>
    <mergeCell ref="B449:B450"/>
    <mergeCell ref="C449:C450"/>
    <mergeCell ref="D449:D450"/>
    <mergeCell ref="B903:B904"/>
    <mergeCell ref="C903:C904"/>
    <mergeCell ref="D903:D904"/>
    <mergeCell ref="B222:B223"/>
    <mergeCell ref="C222:C223"/>
    <mergeCell ref="D222:D223"/>
    <mergeCell ref="B364:B365"/>
    <mergeCell ref="C364:C365"/>
    <mergeCell ref="D364:D365"/>
    <mergeCell ref="B505:B506"/>
    <mergeCell ref="C505:C506"/>
    <mergeCell ref="D505:D506"/>
    <mergeCell ref="B679:B681"/>
    <mergeCell ref="C679:C681"/>
    <mergeCell ref="D679:D681"/>
    <mergeCell ref="B772:B774"/>
    <mergeCell ref="C772:C774"/>
    <mergeCell ref="D772:D774"/>
    <mergeCell ref="B871:B874"/>
    <mergeCell ref="C875:C878"/>
    <mergeCell ref="D875:D878"/>
    <mergeCell ref="B875:B878"/>
    <mergeCell ref="B282:B283"/>
    <mergeCell ref="C282:C283"/>
    <mergeCell ref="D282:D283"/>
    <mergeCell ref="B1015:B1016"/>
    <mergeCell ref="C1015:C1016"/>
    <mergeCell ref="D1015:D1016"/>
    <mergeCell ref="B1017:B1018"/>
    <mergeCell ref="C1017:C1018"/>
    <mergeCell ref="D1017:D1018"/>
    <mergeCell ref="B1019:B1020"/>
    <mergeCell ref="C1019:C1020"/>
    <mergeCell ref="D1019:D1020"/>
    <mergeCell ref="B1021:B1022"/>
    <mergeCell ref="C1021:C1022"/>
    <mergeCell ref="D1021:D1022"/>
    <mergeCell ref="B863:B866"/>
    <mergeCell ref="C863:C866"/>
    <mergeCell ref="D863:D866"/>
    <mergeCell ref="D867:D870"/>
    <mergeCell ref="C867:C870"/>
    <mergeCell ref="B867:B870"/>
    <mergeCell ref="D871:D874"/>
    <mergeCell ref="C871:C874"/>
    <mergeCell ref="B945:B946"/>
    <mergeCell ref="B1008:B1009"/>
    <mergeCell ref="C1008:C1009"/>
    <mergeCell ref="D1008:D1009"/>
    <mergeCell ref="D945:D946"/>
    <mergeCell ref="B947:B948"/>
    <mergeCell ref="D947:D948"/>
    <mergeCell ref="C938:C940"/>
    <mergeCell ref="C941:C942"/>
    <mergeCell ref="C943:C944"/>
    <mergeCell ref="C945:C946"/>
    <mergeCell ref="C947:C948"/>
    <mergeCell ref="B284:B285"/>
    <mergeCell ref="C284:C285"/>
    <mergeCell ref="D284:D285"/>
    <mergeCell ref="B420:B421"/>
    <mergeCell ref="C420:C421"/>
    <mergeCell ref="D420:D421"/>
    <mergeCell ref="B422:B423"/>
    <mergeCell ref="C422:C423"/>
    <mergeCell ref="D422:D423"/>
    <mergeCell ref="B424:B425"/>
    <mergeCell ref="C424:C425"/>
    <mergeCell ref="D424:D425"/>
    <mergeCell ref="B426:B427"/>
    <mergeCell ref="C426:C427"/>
    <mergeCell ref="D426:D427"/>
    <mergeCell ref="C417:C418"/>
    <mergeCell ref="D417:D418"/>
    <mergeCell ref="D407:D408"/>
    <mergeCell ref="B370:B371"/>
    <mergeCell ref="D370:D371"/>
    <mergeCell ref="B373:B375"/>
    <mergeCell ref="D373:D375"/>
    <mergeCell ref="B379:B380"/>
    <mergeCell ref="D379:D380"/>
    <mergeCell ref="B381:B382"/>
    <mergeCell ref="D381:D382"/>
    <mergeCell ref="B278:B279"/>
    <mergeCell ref="C278:C279"/>
    <mergeCell ref="D278:D279"/>
    <mergeCell ref="B280:B281"/>
    <mergeCell ref="C280:C281"/>
    <mergeCell ref="D280:D281"/>
    <mergeCell ref="B220:B221"/>
    <mergeCell ref="D220:D221"/>
    <mergeCell ref="B228:B229"/>
    <mergeCell ref="D228:D229"/>
    <mergeCell ref="C216:C217"/>
    <mergeCell ref="C218:C219"/>
    <mergeCell ref="C220:C221"/>
    <mergeCell ref="C228:C229"/>
    <mergeCell ref="B237:B238"/>
    <mergeCell ref="D237:D238"/>
    <mergeCell ref="B234:B236"/>
    <mergeCell ref="C234:C236"/>
    <mergeCell ref="D234:D236"/>
    <mergeCell ref="B231:B233"/>
    <mergeCell ref="C231:C233"/>
    <mergeCell ref="B216:B217"/>
    <mergeCell ref="D216:D217"/>
    <mergeCell ref="B218:B219"/>
    <mergeCell ref="D218:D219"/>
    <mergeCell ref="C237:C238"/>
    <mergeCell ref="D243:D244"/>
    <mergeCell ref="B245:B246"/>
    <mergeCell ref="C245:C246"/>
    <mergeCell ref="D245:D246"/>
    <mergeCell ref="B275:B276"/>
    <mergeCell ref="C275:C276"/>
    <mergeCell ref="B1010:B1011"/>
    <mergeCell ref="C1010:C1011"/>
    <mergeCell ref="D1010:D1011"/>
    <mergeCell ref="B1012:B1013"/>
    <mergeCell ref="C1012:C1013"/>
    <mergeCell ref="D1012:D1013"/>
    <mergeCell ref="D955:D956"/>
    <mergeCell ref="B957:B958"/>
    <mergeCell ref="D957:D958"/>
    <mergeCell ref="C949:C950"/>
    <mergeCell ref="C951:C952"/>
    <mergeCell ref="C953:C954"/>
    <mergeCell ref="C955:C956"/>
    <mergeCell ref="C957:C958"/>
    <mergeCell ref="B938:B940"/>
    <mergeCell ref="D938:D940"/>
    <mergeCell ref="B941:B942"/>
    <mergeCell ref="D941:D942"/>
    <mergeCell ref="B943:B944"/>
    <mergeCell ref="D943:D944"/>
    <mergeCell ref="B955:B956"/>
    <mergeCell ref="C1006:C1007"/>
    <mergeCell ref="B971:B973"/>
    <mergeCell ref="C971:C973"/>
    <mergeCell ref="D971:D973"/>
    <mergeCell ref="B980:B981"/>
    <mergeCell ref="C980:C981"/>
    <mergeCell ref="D980:D981"/>
    <mergeCell ref="D963:D964"/>
    <mergeCell ref="B1002:B1003"/>
    <mergeCell ref="C1002:C1003"/>
    <mergeCell ref="D1002:D1003"/>
    <mergeCell ref="D524:D525"/>
    <mergeCell ref="B533:B534"/>
    <mergeCell ref="D533:D534"/>
    <mergeCell ref="B538:B545"/>
    <mergeCell ref="D538:D545"/>
    <mergeCell ref="B546:B547"/>
    <mergeCell ref="D546:D547"/>
    <mergeCell ref="C522:C523"/>
    <mergeCell ref="C524:C525"/>
    <mergeCell ref="C533:C534"/>
    <mergeCell ref="C538:C545"/>
    <mergeCell ref="D855:D856"/>
    <mergeCell ref="D857:D860"/>
    <mergeCell ref="C857:C860"/>
    <mergeCell ref="B857:B860"/>
    <mergeCell ref="C667:C669"/>
    <mergeCell ref="C676:C678"/>
    <mergeCell ref="C689:C691"/>
    <mergeCell ref="C672:C675"/>
    <mergeCell ref="D674:D675"/>
    <mergeCell ref="B672:B675"/>
    <mergeCell ref="C685:C688"/>
    <mergeCell ref="D685:D688"/>
    <mergeCell ref="B685:B688"/>
    <mergeCell ref="D705:D706"/>
    <mergeCell ref="B522:B523"/>
    <mergeCell ref="D522:D523"/>
    <mergeCell ref="B524:B525"/>
    <mergeCell ref="D736:D738"/>
    <mergeCell ref="B693:B696"/>
    <mergeCell ref="D697:D700"/>
    <mergeCell ref="C697:C700"/>
    <mergeCell ref="D275:D276"/>
    <mergeCell ref="B413:B414"/>
    <mergeCell ref="C413:C414"/>
    <mergeCell ref="D413:D414"/>
    <mergeCell ref="B415:B416"/>
    <mergeCell ref="C415:C416"/>
    <mergeCell ref="D415:D416"/>
    <mergeCell ref="D740:D744"/>
    <mergeCell ref="C736:C738"/>
    <mergeCell ref="D745:D748"/>
    <mergeCell ref="B745:B748"/>
    <mergeCell ref="C740:C744"/>
    <mergeCell ref="C745:C748"/>
    <mergeCell ref="B417:B418"/>
    <mergeCell ref="D821:D823"/>
    <mergeCell ref="C556:C557"/>
    <mergeCell ref="D556:D557"/>
    <mergeCell ref="C721:C724"/>
    <mergeCell ref="B721:B724"/>
    <mergeCell ref="D714:D717"/>
    <mergeCell ref="C714:C717"/>
    <mergeCell ref="D710:D713"/>
    <mergeCell ref="C710:C713"/>
    <mergeCell ref="B710:B713"/>
    <mergeCell ref="B667:B669"/>
    <mergeCell ref="D667:D669"/>
    <mergeCell ref="B676:B678"/>
    <mergeCell ref="D676:D678"/>
    <mergeCell ref="B689:B691"/>
    <mergeCell ref="D689:D691"/>
    <mergeCell ref="C707:C709"/>
    <mergeCell ref="B707:B709"/>
    <mergeCell ref="B697:B700"/>
    <mergeCell ref="D693:D696"/>
    <mergeCell ref="C693:C696"/>
    <mergeCell ref="D701:D704"/>
    <mergeCell ref="C701:C704"/>
    <mergeCell ref="B701:B704"/>
    <mergeCell ref="D725:D728"/>
    <mergeCell ref="C725:C728"/>
    <mergeCell ref="B725:B728"/>
    <mergeCell ref="D721:D724"/>
    <mergeCell ref="D768:D769"/>
    <mergeCell ref="B787:B792"/>
    <mergeCell ref="B714:B717"/>
    <mergeCell ref="D718:D720"/>
    <mergeCell ref="C718:C720"/>
    <mergeCell ref="B757:B760"/>
    <mergeCell ref="C757:C760"/>
    <mergeCell ref="D729:D731"/>
    <mergeCell ref="C729:C731"/>
    <mergeCell ref="B729:B731"/>
    <mergeCell ref="D753:D756"/>
    <mergeCell ref="B753:B756"/>
    <mergeCell ref="D757:D760"/>
    <mergeCell ref="B770:B771"/>
    <mergeCell ref="D770:D771"/>
    <mergeCell ref="D763:D765"/>
    <mergeCell ref="C763:C765"/>
    <mergeCell ref="B763:B765"/>
    <mergeCell ref="B768:B769"/>
    <mergeCell ref="B740:B744"/>
    <mergeCell ref="C749:C752"/>
    <mergeCell ref="C753:C756"/>
    <mergeCell ref="B718:B720"/>
    <mergeCell ref="D800:D802"/>
    <mergeCell ref="C799:C802"/>
    <mergeCell ref="D787:D792"/>
    <mergeCell ref="C787:C792"/>
    <mergeCell ref="B807:B808"/>
    <mergeCell ref="B843:B844"/>
    <mergeCell ref="C843:C844"/>
    <mergeCell ref="D843:D844"/>
    <mergeCell ref="D782:D785"/>
    <mergeCell ref="C782:C785"/>
    <mergeCell ref="B782:B785"/>
    <mergeCell ref="C766:C767"/>
    <mergeCell ref="C768:C769"/>
    <mergeCell ref="C770:C771"/>
    <mergeCell ref="B799:B802"/>
    <mergeCell ref="D818:D820"/>
    <mergeCell ref="C818:C820"/>
    <mergeCell ref="B818:B820"/>
    <mergeCell ref="D793:D798"/>
    <mergeCell ref="C793:C798"/>
    <mergeCell ref="B793:B798"/>
    <mergeCell ref="C809:C812"/>
    <mergeCell ref="B809:B812"/>
    <mergeCell ref="D809:D812"/>
    <mergeCell ref="C807:C808"/>
    <mergeCell ref="D749:D752"/>
    <mergeCell ref="B749:B752"/>
    <mergeCell ref="D732:D735"/>
    <mergeCell ref="C732:C735"/>
    <mergeCell ref="B732:B735"/>
    <mergeCell ref="B736:B738"/>
    <mergeCell ref="B1023:B1024"/>
    <mergeCell ref="D1023:D1024"/>
    <mergeCell ref="B974:B975"/>
    <mergeCell ref="D974:D975"/>
    <mergeCell ref="B976:B977"/>
    <mergeCell ref="D976:D977"/>
    <mergeCell ref="B978:B979"/>
    <mergeCell ref="D978:D979"/>
    <mergeCell ref="B987:B988"/>
    <mergeCell ref="D987:D988"/>
    <mergeCell ref="B992:B999"/>
    <mergeCell ref="D992:D999"/>
    <mergeCell ref="C1023:C1024"/>
    <mergeCell ref="B965:B966"/>
    <mergeCell ref="D965:D966"/>
    <mergeCell ref="B968:B970"/>
    <mergeCell ref="D968:D970"/>
    <mergeCell ref="B1000:B1001"/>
    <mergeCell ref="D1000:D1001"/>
    <mergeCell ref="B1004:B1005"/>
    <mergeCell ref="D1004:D1005"/>
    <mergeCell ref="B1006:B1007"/>
    <mergeCell ref="D1006:D1007"/>
    <mergeCell ref="C965:C966"/>
    <mergeCell ref="C968:C970"/>
    <mergeCell ref="C974:C975"/>
    <mergeCell ref="C976:C977"/>
    <mergeCell ref="C978:C979"/>
    <mergeCell ref="C987:C988"/>
    <mergeCell ref="C992:C999"/>
    <mergeCell ref="C1000:C1001"/>
    <mergeCell ref="C1004:C1005"/>
    <mergeCell ref="B989:B991"/>
    <mergeCell ref="C989:C991"/>
    <mergeCell ref="D989:D991"/>
    <mergeCell ref="B949:B950"/>
    <mergeCell ref="D949:D950"/>
    <mergeCell ref="B951:B952"/>
    <mergeCell ref="D951:D952"/>
    <mergeCell ref="B953:B954"/>
    <mergeCell ref="D953:D954"/>
    <mergeCell ref="B984:B986"/>
    <mergeCell ref="C984:C986"/>
    <mergeCell ref="D984:D986"/>
    <mergeCell ref="B961:B962"/>
    <mergeCell ref="C961:C962"/>
    <mergeCell ref="D961:D962"/>
    <mergeCell ref="B963:B964"/>
    <mergeCell ref="C963:C964"/>
    <mergeCell ref="B959:B960"/>
    <mergeCell ref="C959:C960"/>
    <mergeCell ref="D959:D960"/>
    <mergeCell ref="B982:B983"/>
    <mergeCell ref="C982:C983"/>
    <mergeCell ref="D982:D983"/>
    <mergeCell ref="B927:B928"/>
    <mergeCell ref="D927:D928"/>
    <mergeCell ref="B929:B930"/>
    <mergeCell ref="D929:D930"/>
    <mergeCell ref="B931:B932"/>
    <mergeCell ref="D931:D932"/>
    <mergeCell ref="B933:B934"/>
    <mergeCell ref="D933:D934"/>
    <mergeCell ref="B935:B936"/>
    <mergeCell ref="D935:D936"/>
    <mergeCell ref="C927:C928"/>
    <mergeCell ref="C929:C930"/>
    <mergeCell ref="C931:C932"/>
    <mergeCell ref="C933:C934"/>
    <mergeCell ref="C935:C936"/>
    <mergeCell ref="B917:B918"/>
    <mergeCell ref="D917:D918"/>
    <mergeCell ref="B919:B920"/>
    <mergeCell ref="D919:D920"/>
    <mergeCell ref="B921:B922"/>
    <mergeCell ref="D921:D922"/>
    <mergeCell ref="B923:B924"/>
    <mergeCell ref="D923:D924"/>
    <mergeCell ref="B925:B926"/>
    <mergeCell ref="D925:D926"/>
    <mergeCell ref="C917:C918"/>
    <mergeCell ref="C919:C920"/>
    <mergeCell ref="C921:C922"/>
    <mergeCell ref="C923:C924"/>
    <mergeCell ref="C925:C926"/>
    <mergeCell ref="B907:B908"/>
    <mergeCell ref="D907:D908"/>
    <mergeCell ref="B909:B910"/>
    <mergeCell ref="D909:D910"/>
    <mergeCell ref="B911:B912"/>
    <mergeCell ref="D911:D912"/>
    <mergeCell ref="B913:B914"/>
    <mergeCell ref="D913:D914"/>
    <mergeCell ref="B915:B916"/>
    <mergeCell ref="D915:D916"/>
    <mergeCell ref="C907:C908"/>
    <mergeCell ref="C909:C910"/>
    <mergeCell ref="C911:C912"/>
    <mergeCell ref="C913:C914"/>
    <mergeCell ref="C915:C916"/>
    <mergeCell ref="B890:B891"/>
    <mergeCell ref="D890:D891"/>
    <mergeCell ref="B892:B893"/>
    <mergeCell ref="D892:D893"/>
    <mergeCell ref="B896:B897"/>
    <mergeCell ref="D896:D897"/>
    <mergeCell ref="B899:B900"/>
    <mergeCell ref="D899:D900"/>
    <mergeCell ref="B901:B902"/>
    <mergeCell ref="D901:D902"/>
    <mergeCell ref="C890:C891"/>
    <mergeCell ref="C892:C893"/>
    <mergeCell ref="C896:C897"/>
    <mergeCell ref="C899:C900"/>
    <mergeCell ref="C901:C902"/>
    <mergeCell ref="B894:B895"/>
    <mergeCell ref="C894:C895"/>
    <mergeCell ref="D894:D895"/>
    <mergeCell ref="B885:B888"/>
    <mergeCell ref="D885:D888"/>
    <mergeCell ref="C885:C888"/>
    <mergeCell ref="B803:B804"/>
    <mergeCell ref="D803:D804"/>
    <mergeCell ref="B805:B806"/>
    <mergeCell ref="D805:D806"/>
    <mergeCell ref="C803:C804"/>
    <mergeCell ref="C805:C806"/>
    <mergeCell ref="D861:D862"/>
    <mergeCell ref="C861:C862"/>
    <mergeCell ref="B861:B862"/>
    <mergeCell ref="D879:D882"/>
    <mergeCell ref="C879:C882"/>
    <mergeCell ref="B879:B882"/>
    <mergeCell ref="D846:D849"/>
    <mergeCell ref="C846:C849"/>
    <mergeCell ref="B846:B849"/>
    <mergeCell ref="D850:D852"/>
    <mergeCell ref="C850:C852"/>
    <mergeCell ref="B850:B852"/>
    <mergeCell ref="D825:D838"/>
    <mergeCell ref="C825:C838"/>
    <mergeCell ref="B825:B838"/>
    <mergeCell ref="D839:D842"/>
    <mergeCell ref="C839:C842"/>
    <mergeCell ref="B839:B842"/>
    <mergeCell ref="B853:B854"/>
    <mergeCell ref="C853:C854"/>
    <mergeCell ref="D853:D854"/>
    <mergeCell ref="B855:B856"/>
    <mergeCell ref="C705:C706"/>
    <mergeCell ref="B705:B706"/>
    <mergeCell ref="D707:D709"/>
    <mergeCell ref="B658:B660"/>
    <mergeCell ref="D658:D660"/>
    <mergeCell ref="B661:B663"/>
    <mergeCell ref="D661:D663"/>
    <mergeCell ref="C550:C551"/>
    <mergeCell ref="C552:C553"/>
    <mergeCell ref="C658:C660"/>
    <mergeCell ref="C661:C663"/>
    <mergeCell ref="B651:B655"/>
    <mergeCell ref="C651:C655"/>
    <mergeCell ref="D651:D655"/>
    <mergeCell ref="B656:B657"/>
    <mergeCell ref="C656:C657"/>
    <mergeCell ref="D656:D657"/>
    <mergeCell ref="B558:B559"/>
    <mergeCell ref="C558:C559"/>
    <mergeCell ref="D558:D559"/>
    <mergeCell ref="B560:B561"/>
    <mergeCell ref="C560:C561"/>
    <mergeCell ref="D560:D561"/>
    <mergeCell ref="B562:B563"/>
    <mergeCell ref="C562:C563"/>
    <mergeCell ref="D562:D563"/>
    <mergeCell ref="B564:B565"/>
    <mergeCell ref="C564:C565"/>
    <mergeCell ref="D564:D565"/>
    <mergeCell ref="B566:B567"/>
    <mergeCell ref="C566:C567"/>
    <mergeCell ref="D566:D567"/>
    <mergeCell ref="B550:B551"/>
    <mergeCell ref="D550:D551"/>
    <mergeCell ref="B552:B553"/>
    <mergeCell ref="D552:D553"/>
    <mergeCell ref="C554:C555"/>
    <mergeCell ref="D554:D555"/>
    <mergeCell ref="B556:B557"/>
    <mergeCell ref="C546:C547"/>
    <mergeCell ref="B526:B527"/>
    <mergeCell ref="C526:C527"/>
    <mergeCell ref="D526:D527"/>
    <mergeCell ref="B528:B529"/>
    <mergeCell ref="C528:C529"/>
    <mergeCell ref="D528:D529"/>
    <mergeCell ref="B530:B532"/>
    <mergeCell ref="C530:C532"/>
    <mergeCell ref="D530:D532"/>
    <mergeCell ref="B554:B555"/>
    <mergeCell ref="B501:B502"/>
    <mergeCell ref="D501:D502"/>
    <mergeCell ref="B503:B504"/>
    <mergeCell ref="D503:D504"/>
    <mergeCell ref="B511:B512"/>
    <mergeCell ref="D511:D512"/>
    <mergeCell ref="B514:B516"/>
    <mergeCell ref="D514:D516"/>
    <mergeCell ref="B520:B521"/>
    <mergeCell ref="D520:D521"/>
    <mergeCell ref="C501:C502"/>
    <mergeCell ref="C503:C504"/>
    <mergeCell ref="C511:C512"/>
    <mergeCell ref="C514:C516"/>
    <mergeCell ref="C520:C521"/>
    <mergeCell ref="B517:B519"/>
    <mergeCell ref="C517:C519"/>
    <mergeCell ref="D517:D519"/>
    <mergeCell ref="B507:B508"/>
    <mergeCell ref="C507:C508"/>
    <mergeCell ref="D507:D508"/>
    <mergeCell ref="B509:B510"/>
    <mergeCell ref="C509:C510"/>
    <mergeCell ref="D509:D510"/>
    <mergeCell ref="B491:B492"/>
    <mergeCell ref="D491:D492"/>
    <mergeCell ref="B493:B494"/>
    <mergeCell ref="D493:D494"/>
    <mergeCell ref="B495:B496"/>
    <mergeCell ref="D495:D496"/>
    <mergeCell ref="B497:B498"/>
    <mergeCell ref="D497:D498"/>
    <mergeCell ref="B499:B500"/>
    <mergeCell ref="D499:D500"/>
    <mergeCell ref="C491:C492"/>
    <mergeCell ref="C493:C494"/>
    <mergeCell ref="C495:C496"/>
    <mergeCell ref="C497:C498"/>
    <mergeCell ref="C499:C500"/>
    <mergeCell ref="B479:B480"/>
    <mergeCell ref="D479:D480"/>
    <mergeCell ref="B481:B482"/>
    <mergeCell ref="D481:D482"/>
    <mergeCell ref="B484:B486"/>
    <mergeCell ref="D484:D486"/>
    <mergeCell ref="B487:B488"/>
    <mergeCell ref="D487:D488"/>
    <mergeCell ref="B489:B490"/>
    <mergeCell ref="D489:D490"/>
    <mergeCell ref="C479:C480"/>
    <mergeCell ref="C481:C482"/>
    <mergeCell ref="C484:C486"/>
    <mergeCell ref="C487:C488"/>
    <mergeCell ref="C489:C490"/>
    <mergeCell ref="B469:B470"/>
    <mergeCell ref="D469:D470"/>
    <mergeCell ref="B471:B472"/>
    <mergeCell ref="D471:D472"/>
    <mergeCell ref="B473:B474"/>
    <mergeCell ref="D473:D474"/>
    <mergeCell ref="B475:B476"/>
    <mergeCell ref="D475:D476"/>
    <mergeCell ref="B477:B478"/>
    <mergeCell ref="D477:D478"/>
    <mergeCell ref="C469:C470"/>
    <mergeCell ref="C471:C472"/>
    <mergeCell ref="C473:C474"/>
    <mergeCell ref="C475:C476"/>
    <mergeCell ref="C477:C478"/>
    <mergeCell ref="C463:C464"/>
    <mergeCell ref="C465:C466"/>
    <mergeCell ref="C467:C468"/>
    <mergeCell ref="B467:B468"/>
    <mergeCell ref="D467:D468"/>
    <mergeCell ref="B445:B446"/>
    <mergeCell ref="D445:D446"/>
    <mergeCell ref="B447:B448"/>
    <mergeCell ref="D447:D448"/>
    <mergeCell ref="B453:B454"/>
    <mergeCell ref="D453:D454"/>
    <mergeCell ref="B455:B456"/>
    <mergeCell ref="D455:D456"/>
    <mergeCell ref="B457:B458"/>
    <mergeCell ref="D457:D458"/>
    <mergeCell ref="C445:C446"/>
    <mergeCell ref="C447:C448"/>
    <mergeCell ref="C453:C454"/>
    <mergeCell ref="C455:C456"/>
    <mergeCell ref="C457:C458"/>
    <mergeCell ref="B451:B452"/>
    <mergeCell ref="C451:C452"/>
    <mergeCell ref="B431:B434"/>
    <mergeCell ref="D431:D434"/>
    <mergeCell ref="B436:B437"/>
    <mergeCell ref="D436:D437"/>
    <mergeCell ref="B438:B439"/>
    <mergeCell ref="D438:D439"/>
    <mergeCell ref="C431:C434"/>
    <mergeCell ref="C436:C437"/>
    <mergeCell ref="C438:C439"/>
    <mergeCell ref="B392:B393"/>
    <mergeCell ref="D392:D393"/>
    <mergeCell ref="B397:B404"/>
    <mergeCell ref="D397:D404"/>
    <mergeCell ref="B405:B406"/>
    <mergeCell ref="D405:D406"/>
    <mergeCell ref="B409:B410"/>
    <mergeCell ref="D409:D410"/>
    <mergeCell ref="B411:B412"/>
    <mergeCell ref="D411:D412"/>
    <mergeCell ref="C392:C393"/>
    <mergeCell ref="C397:C404"/>
    <mergeCell ref="C405:C406"/>
    <mergeCell ref="C409:C410"/>
    <mergeCell ref="C411:C412"/>
    <mergeCell ref="B394:B396"/>
    <mergeCell ref="C394:C396"/>
    <mergeCell ref="D394:D396"/>
    <mergeCell ref="B407:B408"/>
    <mergeCell ref="C407:C408"/>
    <mergeCell ref="C383:C384"/>
    <mergeCell ref="B376:B378"/>
    <mergeCell ref="C376:C378"/>
    <mergeCell ref="D376:D378"/>
    <mergeCell ref="B387:B388"/>
    <mergeCell ref="C387:C388"/>
    <mergeCell ref="D387:D388"/>
    <mergeCell ref="B389:B391"/>
    <mergeCell ref="C389:C391"/>
    <mergeCell ref="D389:D391"/>
    <mergeCell ref="B354:B355"/>
    <mergeCell ref="D354:D355"/>
    <mergeCell ref="B356:B357"/>
    <mergeCell ref="D356:D357"/>
    <mergeCell ref="B358:B359"/>
    <mergeCell ref="D358:D359"/>
    <mergeCell ref="B360:B361"/>
    <mergeCell ref="D360:D361"/>
    <mergeCell ref="B362:B363"/>
    <mergeCell ref="D362:D363"/>
    <mergeCell ref="C354:C355"/>
    <mergeCell ref="C356:C357"/>
    <mergeCell ref="C358:C359"/>
    <mergeCell ref="C360:C361"/>
    <mergeCell ref="C362:C363"/>
    <mergeCell ref="B366:B367"/>
    <mergeCell ref="B383:B384"/>
    <mergeCell ref="D383:D384"/>
    <mergeCell ref="C370:C371"/>
    <mergeCell ref="C373:C375"/>
    <mergeCell ref="C379:C380"/>
    <mergeCell ref="C381:C382"/>
    <mergeCell ref="B343:B345"/>
    <mergeCell ref="D343:D345"/>
    <mergeCell ref="B346:B347"/>
    <mergeCell ref="D346:D347"/>
    <mergeCell ref="B348:B349"/>
    <mergeCell ref="D348:D349"/>
    <mergeCell ref="B350:B351"/>
    <mergeCell ref="D350:D351"/>
    <mergeCell ref="B352:B353"/>
    <mergeCell ref="D352:D353"/>
    <mergeCell ref="C343:C345"/>
    <mergeCell ref="C346:C347"/>
    <mergeCell ref="C348:C349"/>
    <mergeCell ref="C350:C351"/>
    <mergeCell ref="C352:C353"/>
    <mergeCell ref="B332:B333"/>
    <mergeCell ref="D332:D333"/>
    <mergeCell ref="B334:B335"/>
    <mergeCell ref="D334:D335"/>
    <mergeCell ref="B336:B337"/>
    <mergeCell ref="D336:D337"/>
    <mergeCell ref="B338:B339"/>
    <mergeCell ref="D338:D339"/>
    <mergeCell ref="B340:B341"/>
    <mergeCell ref="D340:D341"/>
    <mergeCell ref="C332:C333"/>
    <mergeCell ref="C334:C335"/>
    <mergeCell ref="C336:C337"/>
    <mergeCell ref="C338:C339"/>
    <mergeCell ref="C340:C341"/>
    <mergeCell ref="B324:B325"/>
    <mergeCell ref="D324:D325"/>
    <mergeCell ref="B326:B327"/>
    <mergeCell ref="D326:D327"/>
    <mergeCell ref="B328:B329"/>
    <mergeCell ref="D328:D329"/>
    <mergeCell ref="B330:B331"/>
    <mergeCell ref="D330:D331"/>
    <mergeCell ref="C322:C323"/>
    <mergeCell ref="C324:C325"/>
    <mergeCell ref="C326:C327"/>
    <mergeCell ref="C328:C329"/>
    <mergeCell ref="C330:C331"/>
    <mergeCell ref="B314:B315"/>
    <mergeCell ref="D314:D315"/>
    <mergeCell ref="B316:B317"/>
    <mergeCell ref="D316:D317"/>
    <mergeCell ref="B318:B319"/>
    <mergeCell ref="D318:D319"/>
    <mergeCell ref="B320:B321"/>
    <mergeCell ref="D320:D321"/>
    <mergeCell ref="C316:C317"/>
    <mergeCell ref="C318:C319"/>
    <mergeCell ref="C320:C321"/>
    <mergeCell ref="C314:C315"/>
    <mergeCell ref="B295:B296"/>
    <mergeCell ref="D295:D296"/>
    <mergeCell ref="B297:B298"/>
    <mergeCell ref="D297:D298"/>
    <mergeCell ref="B301:B302"/>
    <mergeCell ref="D301:D302"/>
    <mergeCell ref="B304:B305"/>
    <mergeCell ref="D304:D305"/>
    <mergeCell ref="B306:B307"/>
    <mergeCell ref="D306:D307"/>
    <mergeCell ref="C295:C296"/>
    <mergeCell ref="C297:C298"/>
    <mergeCell ref="C301:C302"/>
    <mergeCell ref="C304:C305"/>
    <mergeCell ref="C306:C307"/>
    <mergeCell ref="B299:B300"/>
    <mergeCell ref="C299:C300"/>
    <mergeCell ref="D299:D300"/>
    <mergeCell ref="B208:B209"/>
    <mergeCell ref="D208:D209"/>
    <mergeCell ref="B210:B211"/>
    <mergeCell ref="D210:D211"/>
    <mergeCell ref="B212:B213"/>
    <mergeCell ref="D212:D213"/>
    <mergeCell ref="B214:B215"/>
    <mergeCell ref="D214:D215"/>
    <mergeCell ref="C206:C207"/>
    <mergeCell ref="C208:C209"/>
    <mergeCell ref="C210:C211"/>
    <mergeCell ref="C212:C213"/>
    <mergeCell ref="C214:C215"/>
    <mergeCell ref="B194:B195"/>
    <mergeCell ref="D194:D195"/>
    <mergeCell ref="B196:B197"/>
    <mergeCell ref="D196:D197"/>
    <mergeCell ref="B198:B199"/>
    <mergeCell ref="D198:D199"/>
    <mergeCell ref="B201:B203"/>
    <mergeCell ref="D201:D203"/>
    <mergeCell ref="B204:B205"/>
    <mergeCell ref="D204:D205"/>
    <mergeCell ref="C194:C195"/>
    <mergeCell ref="C196:C197"/>
    <mergeCell ref="C198:C199"/>
    <mergeCell ref="C201:C203"/>
    <mergeCell ref="C204:C205"/>
    <mergeCell ref="C186:C187"/>
    <mergeCell ref="C188:C189"/>
    <mergeCell ref="C190:C191"/>
    <mergeCell ref="C192:C193"/>
    <mergeCell ref="D184:D185"/>
    <mergeCell ref="B186:B187"/>
    <mergeCell ref="D186:D187"/>
    <mergeCell ref="B188:B189"/>
    <mergeCell ref="D188:D189"/>
    <mergeCell ref="B190:B191"/>
    <mergeCell ref="D190:D191"/>
    <mergeCell ref="B192:B193"/>
    <mergeCell ref="C182:C183"/>
    <mergeCell ref="C176:C177"/>
    <mergeCell ref="C178:C179"/>
    <mergeCell ref="C180:C181"/>
    <mergeCell ref="B206:B207"/>
    <mergeCell ref="D206:D207"/>
    <mergeCell ref="B125:B126"/>
    <mergeCell ref="C125:C126"/>
    <mergeCell ref="D125:D126"/>
    <mergeCell ref="B131:B132"/>
    <mergeCell ref="C131:C132"/>
    <mergeCell ref="D131:D132"/>
    <mergeCell ref="B133:B134"/>
    <mergeCell ref="C133:C134"/>
    <mergeCell ref="D133:D134"/>
    <mergeCell ref="B127:B128"/>
    <mergeCell ref="B162:B163"/>
    <mergeCell ref="D162:D163"/>
    <mergeCell ref="B164:B165"/>
    <mergeCell ref="D164:D165"/>
    <mergeCell ref="B170:B171"/>
    <mergeCell ref="D170:D171"/>
    <mergeCell ref="C162:C163"/>
    <mergeCell ref="C164:C165"/>
    <mergeCell ref="C139:C140"/>
    <mergeCell ref="D139:D140"/>
    <mergeCell ref="B141:B142"/>
    <mergeCell ref="C141:C142"/>
    <mergeCell ref="D141:D142"/>
    <mergeCell ref="B143:B144"/>
    <mergeCell ref="C143:C144"/>
    <mergeCell ref="D148:D151"/>
    <mergeCell ref="B153:B154"/>
    <mergeCell ref="D153:D154"/>
    <mergeCell ref="B155:B156"/>
    <mergeCell ref="D155:D156"/>
    <mergeCell ref="C127:C128"/>
    <mergeCell ref="C129:C130"/>
    <mergeCell ref="B99:B100"/>
    <mergeCell ref="D99:D100"/>
    <mergeCell ref="B101:B102"/>
    <mergeCell ref="D101:D102"/>
    <mergeCell ref="B110:B111"/>
    <mergeCell ref="D110:D111"/>
    <mergeCell ref="B115:B122"/>
    <mergeCell ref="D115:D122"/>
    <mergeCell ref="B123:B124"/>
    <mergeCell ref="D123:D124"/>
    <mergeCell ref="C99:C100"/>
    <mergeCell ref="C101:C102"/>
    <mergeCell ref="C110:C111"/>
    <mergeCell ref="C115:C122"/>
    <mergeCell ref="C123:C124"/>
    <mergeCell ref="D103:D104"/>
    <mergeCell ref="C103:C104"/>
    <mergeCell ref="B103:B104"/>
    <mergeCell ref="B112:B114"/>
    <mergeCell ref="C112:C114"/>
    <mergeCell ref="D112:D114"/>
    <mergeCell ref="C66:C67"/>
    <mergeCell ref="B78:B79"/>
    <mergeCell ref="D78:D79"/>
    <mergeCell ref="B80:B81"/>
    <mergeCell ref="D80:D81"/>
    <mergeCell ref="B88:B89"/>
    <mergeCell ref="D88:D89"/>
    <mergeCell ref="B91:B93"/>
    <mergeCell ref="D91:D93"/>
    <mergeCell ref="B97:B98"/>
    <mergeCell ref="C78:C79"/>
    <mergeCell ref="C80:C81"/>
    <mergeCell ref="C88:C89"/>
    <mergeCell ref="C91:C93"/>
    <mergeCell ref="C97:C98"/>
    <mergeCell ref="B94:B96"/>
    <mergeCell ref="C94:C96"/>
    <mergeCell ref="D94:D96"/>
    <mergeCell ref="D84:D85"/>
    <mergeCell ref="D86:D87"/>
    <mergeCell ref="C86:C87"/>
    <mergeCell ref="C84:C85"/>
    <mergeCell ref="B84:B85"/>
    <mergeCell ref="B86:B87"/>
    <mergeCell ref="I1:I2"/>
    <mergeCell ref="D1:D2"/>
    <mergeCell ref="E1:E2"/>
    <mergeCell ref="B8:B11"/>
    <mergeCell ref="D8:D11"/>
    <mergeCell ref="B13:B14"/>
    <mergeCell ref="D13:D14"/>
    <mergeCell ref="B15:B16"/>
    <mergeCell ref="D15:D16"/>
    <mergeCell ref="B19:B20"/>
    <mergeCell ref="D19:D20"/>
    <mergeCell ref="B22:B23"/>
    <mergeCell ref="D76:D77"/>
    <mergeCell ref="C68:C69"/>
    <mergeCell ref="C70:C71"/>
    <mergeCell ref="C72:C73"/>
    <mergeCell ref="C74:C75"/>
    <mergeCell ref="C76:C77"/>
    <mergeCell ref="B56:B57"/>
    <mergeCell ref="D56:D57"/>
    <mergeCell ref="B58:B59"/>
    <mergeCell ref="D58:D59"/>
    <mergeCell ref="B61:B63"/>
    <mergeCell ref="D61:D63"/>
    <mergeCell ref="B64:B65"/>
    <mergeCell ref="D64:D65"/>
    <mergeCell ref="B66:B67"/>
    <mergeCell ref="D66:D67"/>
    <mergeCell ref="C56:C57"/>
    <mergeCell ref="C58:C59"/>
    <mergeCell ref="C61:C63"/>
    <mergeCell ref="C64:C65"/>
    <mergeCell ref="F1:H1"/>
    <mergeCell ref="D34:D35"/>
    <mergeCell ref="D36:D37"/>
    <mergeCell ref="B17:B18"/>
    <mergeCell ref="C17:C18"/>
    <mergeCell ref="D17:D18"/>
    <mergeCell ref="B6:B7"/>
    <mergeCell ref="D6:D7"/>
    <mergeCell ref="C6:C7"/>
    <mergeCell ref="C13:C14"/>
    <mergeCell ref="C15:C16"/>
    <mergeCell ref="B28:B29"/>
    <mergeCell ref="C28:C29"/>
    <mergeCell ref="D28:D29"/>
    <mergeCell ref="D32:D33"/>
    <mergeCell ref="B1:B2"/>
    <mergeCell ref="AB1:AB2"/>
    <mergeCell ref="K1:K2"/>
    <mergeCell ref="L1:L2"/>
    <mergeCell ref="M1:M2"/>
    <mergeCell ref="N1:P1"/>
    <mergeCell ref="Q1:Q2"/>
    <mergeCell ref="T1:T2"/>
    <mergeCell ref="U1:U2"/>
    <mergeCell ref="V1:V2"/>
    <mergeCell ref="W1:AA1"/>
    <mergeCell ref="R1:R2"/>
    <mergeCell ref="S1:S2"/>
    <mergeCell ref="J1:J2"/>
    <mergeCell ref="B24:B25"/>
    <mergeCell ref="D24:D25"/>
    <mergeCell ref="B30:B31"/>
    <mergeCell ref="B54:B55"/>
    <mergeCell ref="D54:D55"/>
    <mergeCell ref="C46:C47"/>
    <mergeCell ref="C48:C49"/>
    <mergeCell ref="C50:C51"/>
    <mergeCell ref="C52:C53"/>
    <mergeCell ref="C54:C55"/>
    <mergeCell ref="D22:D23"/>
    <mergeCell ref="C1:C2"/>
    <mergeCell ref="C8:C11"/>
    <mergeCell ref="C19:C20"/>
    <mergeCell ref="B40:B41"/>
    <mergeCell ref="D40:D41"/>
    <mergeCell ref="B42:B43"/>
    <mergeCell ref="D42:D43"/>
    <mergeCell ref="B44:B45"/>
    <mergeCell ref="D44:D45"/>
    <mergeCell ref="B34:B35"/>
    <mergeCell ref="B36:B37"/>
    <mergeCell ref="B38:B39"/>
    <mergeCell ref="D38:D39"/>
    <mergeCell ref="C38:C39"/>
    <mergeCell ref="C40:C41"/>
    <mergeCell ref="C42:C43"/>
    <mergeCell ref="C44:C45"/>
    <mergeCell ref="C32:C33"/>
    <mergeCell ref="B32:B33"/>
    <mergeCell ref="D30:D31"/>
    <mergeCell ref="C22:C23"/>
    <mergeCell ref="C24:C25"/>
    <mergeCell ref="C30:C31"/>
    <mergeCell ref="B440:B441"/>
    <mergeCell ref="C440:C441"/>
    <mergeCell ref="D440:D441"/>
    <mergeCell ref="B385:B386"/>
    <mergeCell ref="C385:C386"/>
    <mergeCell ref="D385:D386"/>
    <mergeCell ref="B46:B47"/>
    <mergeCell ref="B107:B109"/>
    <mergeCell ref="C107:C109"/>
    <mergeCell ref="D107:D109"/>
    <mergeCell ref="B105:B106"/>
    <mergeCell ref="C105:C106"/>
    <mergeCell ref="D105:D106"/>
    <mergeCell ref="C34:C35"/>
    <mergeCell ref="C36:C37"/>
    <mergeCell ref="B68:B69"/>
    <mergeCell ref="D68:D69"/>
    <mergeCell ref="B70:B71"/>
    <mergeCell ref="D70:D71"/>
    <mergeCell ref="B72:B73"/>
    <mergeCell ref="D72:D73"/>
    <mergeCell ref="B74:B75"/>
    <mergeCell ref="D74:D75"/>
    <mergeCell ref="B76:B77"/>
    <mergeCell ref="D46:D47"/>
    <mergeCell ref="B48:B49"/>
    <mergeCell ref="D48:D49"/>
    <mergeCell ref="B50:B51"/>
    <mergeCell ref="D50:D51"/>
    <mergeCell ref="B52:B53"/>
    <mergeCell ref="D52:D53"/>
    <mergeCell ref="B184:B185"/>
    <mergeCell ref="C148:C151"/>
    <mergeCell ref="C153:C154"/>
    <mergeCell ref="C155:C156"/>
    <mergeCell ref="B135:B136"/>
    <mergeCell ref="C135:C136"/>
    <mergeCell ref="D135:D136"/>
    <mergeCell ref="B172:B173"/>
    <mergeCell ref="D172:D173"/>
    <mergeCell ref="C172:C173"/>
    <mergeCell ref="B174:B175"/>
    <mergeCell ref="D174:D175"/>
    <mergeCell ref="D127:D128"/>
    <mergeCell ref="B129:B130"/>
    <mergeCell ref="D129:D130"/>
    <mergeCell ref="B157:B158"/>
    <mergeCell ref="C157:C158"/>
    <mergeCell ref="D157:D158"/>
    <mergeCell ref="B148:B151"/>
    <mergeCell ref="B137:B138"/>
    <mergeCell ref="C137:C138"/>
    <mergeCell ref="D137:D138"/>
    <mergeCell ref="B139:B140"/>
    <mergeCell ref="D143:D144"/>
    <mergeCell ref="B166:B167"/>
    <mergeCell ref="C166:C167"/>
    <mergeCell ref="D310:D311"/>
    <mergeCell ref="D263:D264"/>
    <mergeCell ref="B267:B268"/>
    <mergeCell ref="D267:D268"/>
    <mergeCell ref="B269:B270"/>
    <mergeCell ref="D269:D270"/>
    <mergeCell ref="C273:C274"/>
    <mergeCell ref="D273:D274"/>
    <mergeCell ref="C174:C175"/>
    <mergeCell ref="B224:B225"/>
    <mergeCell ref="C224:C225"/>
    <mergeCell ref="D224:D225"/>
    <mergeCell ref="B226:B227"/>
    <mergeCell ref="C226:C227"/>
    <mergeCell ref="D226:D227"/>
    <mergeCell ref="B239:B240"/>
    <mergeCell ref="D239:D240"/>
    <mergeCell ref="B241:B242"/>
    <mergeCell ref="D241:D242"/>
    <mergeCell ref="D176:D177"/>
    <mergeCell ref="B178:B179"/>
    <mergeCell ref="D178:D179"/>
    <mergeCell ref="B180:B181"/>
    <mergeCell ref="D180:D181"/>
    <mergeCell ref="B182:B183"/>
    <mergeCell ref="D182:D183"/>
    <mergeCell ref="D255:D262"/>
    <mergeCell ref="C239:C240"/>
    <mergeCell ref="D271:D272"/>
    <mergeCell ref="B273:B274"/>
    <mergeCell ref="D192:D193"/>
    <mergeCell ref="C184:C185"/>
    <mergeCell ref="B905:B906"/>
    <mergeCell ref="C905:C906"/>
    <mergeCell ref="D905:D906"/>
    <mergeCell ref="B682:B684"/>
    <mergeCell ref="C682:C684"/>
    <mergeCell ref="D682:D684"/>
    <mergeCell ref="B664:B666"/>
    <mergeCell ref="C664:C666"/>
    <mergeCell ref="D664:D666"/>
    <mergeCell ref="D807:D808"/>
    <mergeCell ref="C855:C856"/>
    <mergeCell ref="B761:B762"/>
    <mergeCell ref="D761:D762"/>
    <mergeCell ref="C761:C762"/>
    <mergeCell ref="B766:B767"/>
    <mergeCell ref="D766:D767"/>
    <mergeCell ref="D451:D452"/>
    <mergeCell ref="B548:B549"/>
    <mergeCell ref="C548:C549"/>
    <mergeCell ref="D548:D549"/>
    <mergeCell ref="B459:B460"/>
    <mergeCell ref="D459:D460"/>
    <mergeCell ref="B461:B462"/>
    <mergeCell ref="D461:D462"/>
    <mergeCell ref="B463:B464"/>
    <mergeCell ref="D463:D464"/>
    <mergeCell ref="B465:B466"/>
    <mergeCell ref="D465:D466"/>
    <mergeCell ref="C776:C777"/>
    <mergeCell ref="D778:D781"/>
    <mergeCell ref="C778:C781"/>
    <mergeCell ref="B778:B781"/>
    <mergeCell ref="A1:A2"/>
    <mergeCell ref="C241:C242"/>
    <mergeCell ref="C250:C251"/>
    <mergeCell ref="C255:C262"/>
    <mergeCell ref="B247:B249"/>
    <mergeCell ref="C247:C249"/>
    <mergeCell ref="D247:D249"/>
    <mergeCell ref="B252:B254"/>
    <mergeCell ref="C252:C254"/>
    <mergeCell ref="D252:D254"/>
    <mergeCell ref="B263:B264"/>
    <mergeCell ref="B821:B824"/>
    <mergeCell ref="C821:C824"/>
    <mergeCell ref="C813:C817"/>
    <mergeCell ref="B290:B293"/>
    <mergeCell ref="D290:D293"/>
    <mergeCell ref="C263:C264"/>
    <mergeCell ref="C267:C268"/>
    <mergeCell ref="C269:C270"/>
    <mergeCell ref="C290:C293"/>
    <mergeCell ref="B265:B266"/>
    <mergeCell ref="C265:C266"/>
    <mergeCell ref="D265:D266"/>
    <mergeCell ref="B271:B272"/>
    <mergeCell ref="C271:C272"/>
    <mergeCell ref="B250:B251"/>
    <mergeCell ref="D250:D251"/>
    <mergeCell ref="B255:B262"/>
    <mergeCell ref="C459:C460"/>
    <mergeCell ref="C461:C462"/>
    <mergeCell ref="B310:B311"/>
    <mergeCell ref="C310:C311"/>
    <mergeCell ref="B312:B313"/>
    <mergeCell ref="D312:D313"/>
    <mergeCell ref="C312:C313"/>
    <mergeCell ref="B813:B815"/>
    <mergeCell ref="B816:B817"/>
    <mergeCell ref="D813:D815"/>
    <mergeCell ref="D816:D817"/>
    <mergeCell ref="B26:B27"/>
    <mergeCell ref="C26:C27"/>
    <mergeCell ref="D26:D27"/>
    <mergeCell ref="B82:B83"/>
    <mergeCell ref="C82:C83"/>
    <mergeCell ref="D82:D83"/>
    <mergeCell ref="B535:B537"/>
    <mergeCell ref="C535:C537"/>
    <mergeCell ref="D535:D537"/>
    <mergeCell ref="B322:B323"/>
    <mergeCell ref="D322:D323"/>
    <mergeCell ref="C366:C367"/>
    <mergeCell ref="D366:D367"/>
    <mergeCell ref="B368:B369"/>
    <mergeCell ref="C368:C369"/>
    <mergeCell ref="D368:D369"/>
    <mergeCell ref="B176:B177"/>
    <mergeCell ref="C170:C171"/>
    <mergeCell ref="B168:B169"/>
    <mergeCell ref="C168:C169"/>
    <mergeCell ref="D168:D169"/>
    <mergeCell ref="B243:B244"/>
    <mergeCell ref="C243:C244"/>
    <mergeCell ref="B775:B777"/>
    <mergeCell ref="D775:D777"/>
  </mergeCells>
  <conditionalFormatting sqref="A8">
    <cfRule type="duplicateValues" dxfId="2931" priority="2156"/>
  </conditionalFormatting>
  <conditionalFormatting sqref="A21">
    <cfRule type="duplicateValues" dxfId="2930" priority="1"/>
  </conditionalFormatting>
  <conditionalFormatting sqref="A26:A27">
    <cfRule type="duplicateValues" dxfId="2929" priority="272"/>
  </conditionalFormatting>
  <conditionalFormatting sqref="A28">
    <cfRule type="duplicateValues" dxfId="2928" priority="1660"/>
  </conditionalFormatting>
  <conditionalFormatting sqref="A82:A83">
    <cfRule type="duplicateValues" dxfId="2927" priority="256"/>
    <cfRule type="duplicateValues" dxfId="2926" priority="257"/>
  </conditionalFormatting>
  <conditionalFormatting sqref="A105">
    <cfRule type="duplicateValues" dxfId="2925" priority="1600"/>
  </conditionalFormatting>
  <conditionalFormatting sqref="A107:A109">
    <cfRule type="duplicateValues" dxfId="2924" priority="1618"/>
  </conditionalFormatting>
  <conditionalFormatting sqref="A112:A114">
    <cfRule type="duplicateValues" dxfId="2923" priority="1592"/>
  </conditionalFormatting>
  <conditionalFormatting sqref="A125:A126">
    <cfRule type="duplicateValues" dxfId="2922" priority="1562"/>
  </conditionalFormatting>
  <conditionalFormatting sqref="A131">
    <cfRule type="duplicateValues" dxfId="2921" priority="1544"/>
  </conditionalFormatting>
  <conditionalFormatting sqref="A133">
    <cfRule type="duplicateValues" dxfId="2920" priority="1533"/>
  </conditionalFormatting>
  <conditionalFormatting sqref="A135">
    <cfRule type="duplicateValues" dxfId="2919" priority="1522"/>
  </conditionalFormatting>
  <conditionalFormatting sqref="A137">
    <cfRule type="duplicateValues" dxfId="2918" priority="542"/>
  </conditionalFormatting>
  <conditionalFormatting sqref="A139">
    <cfRule type="duplicateValues" dxfId="2917" priority="534"/>
  </conditionalFormatting>
  <conditionalFormatting sqref="A141">
    <cfRule type="duplicateValues" dxfId="2916" priority="526"/>
  </conditionalFormatting>
  <conditionalFormatting sqref="A143">
    <cfRule type="duplicateValues" dxfId="2915" priority="518"/>
  </conditionalFormatting>
  <conditionalFormatting sqref="A157:A158">
    <cfRule type="duplicateValues" dxfId="2914" priority="1514"/>
  </conditionalFormatting>
  <conditionalFormatting sqref="A161">
    <cfRule type="duplicateValues" dxfId="2913" priority="41"/>
  </conditionalFormatting>
  <conditionalFormatting sqref="A166:A167">
    <cfRule type="duplicateValues" dxfId="2912" priority="240"/>
    <cfRule type="duplicateValues" dxfId="2911" priority="241"/>
  </conditionalFormatting>
  <conditionalFormatting sqref="A168">
    <cfRule type="duplicateValues" dxfId="2910" priority="1462"/>
  </conditionalFormatting>
  <conditionalFormatting sqref="A222:A223">
    <cfRule type="duplicateValues" dxfId="2909" priority="161"/>
    <cfRule type="duplicateValues" dxfId="2908" priority="160"/>
  </conditionalFormatting>
  <conditionalFormatting sqref="A224:A227">
    <cfRule type="duplicateValues" dxfId="2907" priority="1402"/>
  </conditionalFormatting>
  <conditionalFormatting sqref="A243:A244">
    <cfRule type="duplicateValues" dxfId="2906" priority="1071"/>
  </conditionalFormatting>
  <conditionalFormatting sqref="A245">
    <cfRule type="duplicateValues" dxfId="2905" priority="1038"/>
  </conditionalFormatting>
  <conditionalFormatting sqref="A247:A249">
    <cfRule type="duplicateValues" dxfId="2904" priority="1056"/>
  </conditionalFormatting>
  <conditionalFormatting sqref="A252:A254">
    <cfRule type="duplicateValues" dxfId="2903" priority="933"/>
  </conditionalFormatting>
  <conditionalFormatting sqref="A265:A266">
    <cfRule type="duplicateValues" dxfId="2902" priority="1577"/>
  </conditionalFormatting>
  <conditionalFormatting sqref="A271">
    <cfRule type="duplicateValues" dxfId="2901" priority="779"/>
  </conditionalFormatting>
  <conditionalFormatting sqref="A273">
    <cfRule type="duplicateValues" dxfId="2900" priority="768"/>
  </conditionalFormatting>
  <conditionalFormatting sqref="A275">
    <cfRule type="duplicateValues" dxfId="2899" priority="757"/>
  </conditionalFormatting>
  <conditionalFormatting sqref="A278">
    <cfRule type="duplicateValues" dxfId="2898" priority="510"/>
  </conditionalFormatting>
  <conditionalFormatting sqref="A280">
    <cfRule type="duplicateValues" dxfId="2897" priority="502"/>
  </conditionalFormatting>
  <conditionalFormatting sqref="A282">
    <cfRule type="duplicateValues" dxfId="2896" priority="494"/>
  </conditionalFormatting>
  <conditionalFormatting sqref="A284">
    <cfRule type="duplicateValues" dxfId="2895" priority="486"/>
  </conditionalFormatting>
  <conditionalFormatting sqref="A299:A300">
    <cfRule type="duplicateValues" dxfId="2894" priority="1506"/>
  </conditionalFormatting>
  <conditionalFormatting sqref="A303">
    <cfRule type="duplicateValues" dxfId="2893" priority="33"/>
  </conditionalFormatting>
  <conditionalFormatting sqref="A308:A309">
    <cfRule type="duplicateValues" dxfId="2892" priority="224"/>
    <cfRule type="duplicateValues" dxfId="2891" priority="225"/>
  </conditionalFormatting>
  <conditionalFormatting sqref="A310">
    <cfRule type="duplicateValues" dxfId="2890" priority="1451"/>
  </conditionalFormatting>
  <conditionalFormatting sqref="A364:A365">
    <cfRule type="duplicateValues" dxfId="2889" priority="145"/>
    <cfRule type="duplicateValues" dxfId="2888" priority="144"/>
  </conditionalFormatting>
  <conditionalFormatting sqref="A366:A369">
    <cfRule type="duplicateValues" dxfId="2887" priority="1377"/>
  </conditionalFormatting>
  <conditionalFormatting sqref="A385:A386">
    <cfRule type="duplicateValues" dxfId="2886" priority="1112"/>
  </conditionalFormatting>
  <conditionalFormatting sqref="A387">
    <cfRule type="duplicateValues" dxfId="2885" priority="1079"/>
  </conditionalFormatting>
  <conditionalFormatting sqref="A389:A391">
    <cfRule type="duplicateValues" dxfId="2884" priority="1097"/>
  </conditionalFormatting>
  <conditionalFormatting sqref="A394:A396">
    <cfRule type="duplicateValues" dxfId="2883" priority="873"/>
  </conditionalFormatting>
  <conditionalFormatting sqref="A407:A408">
    <cfRule type="duplicateValues" dxfId="2882" priority="850"/>
  </conditionalFormatting>
  <conditionalFormatting sqref="A413">
    <cfRule type="duplicateValues" dxfId="2881" priority="746"/>
  </conditionalFormatting>
  <conditionalFormatting sqref="A415">
    <cfRule type="duplicateValues" dxfId="2880" priority="735"/>
  </conditionalFormatting>
  <conditionalFormatting sqref="A417">
    <cfRule type="duplicateValues" dxfId="2879" priority="724"/>
  </conditionalFormatting>
  <conditionalFormatting sqref="A420">
    <cfRule type="duplicateValues" dxfId="2878" priority="478"/>
  </conditionalFormatting>
  <conditionalFormatting sqref="A422">
    <cfRule type="duplicateValues" dxfId="2877" priority="470"/>
  </conditionalFormatting>
  <conditionalFormatting sqref="A424">
    <cfRule type="duplicateValues" dxfId="2876" priority="462"/>
  </conditionalFormatting>
  <conditionalFormatting sqref="A426">
    <cfRule type="duplicateValues" dxfId="2875" priority="454"/>
  </conditionalFormatting>
  <conditionalFormatting sqref="A440:A441">
    <cfRule type="duplicateValues" dxfId="2874" priority="1498"/>
  </conditionalFormatting>
  <conditionalFormatting sqref="A444">
    <cfRule type="duplicateValues" dxfId="2873" priority="57"/>
  </conditionalFormatting>
  <conditionalFormatting sqref="A449:A450">
    <cfRule type="duplicateValues" dxfId="2872" priority="208"/>
    <cfRule type="duplicateValues" dxfId="2871" priority="209"/>
  </conditionalFormatting>
  <conditionalFormatting sqref="A451">
    <cfRule type="duplicateValues" dxfId="2870" priority="1440"/>
  </conditionalFormatting>
  <conditionalFormatting sqref="A505:A506">
    <cfRule type="duplicateValues" dxfId="2869" priority="129"/>
    <cfRule type="duplicateValues" dxfId="2868" priority="128"/>
  </conditionalFormatting>
  <conditionalFormatting sqref="A507:A510">
    <cfRule type="duplicateValues" dxfId="2867" priority="1352"/>
  </conditionalFormatting>
  <conditionalFormatting sqref="A526:A527">
    <cfRule type="duplicateValues" dxfId="2866" priority="1153"/>
  </conditionalFormatting>
  <conditionalFormatting sqref="A528">
    <cfRule type="duplicateValues" dxfId="2865" priority="1120"/>
  </conditionalFormatting>
  <conditionalFormatting sqref="A530:A532">
    <cfRule type="duplicateValues" dxfId="2864" priority="1138"/>
  </conditionalFormatting>
  <conditionalFormatting sqref="A535:A537">
    <cfRule type="duplicateValues" dxfId="2863" priority="888"/>
  </conditionalFormatting>
  <conditionalFormatting sqref="A548:A549">
    <cfRule type="duplicateValues" dxfId="2862" priority="820"/>
  </conditionalFormatting>
  <conditionalFormatting sqref="A554">
    <cfRule type="duplicateValues" dxfId="2861" priority="713"/>
  </conditionalFormatting>
  <conditionalFormatting sqref="A556">
    <cfRule type="duplicateValues" dxfId="2860" priority="702"/>
  </conditionalFormatting>
  <conditionalFormatting sqref="A558">
    <cfRule type="duplicateValues" dxfId="2859" priority="691"/>
  </conditionalFormatting>
  <conditionalFormatting sqref="A560">
    <cfRule type="duplicateValues" dxfId="2858" priority="446"/>
  </conditionalFormatting>
  <conditionalFormatting sqref="A562">
    <cfRule type="duplicateValues" dxfId="2857" priority="438"/>
  </conditionalFormatting>
  <conditionalFormatting sqref="A564">
    <cfRule type="duplicateValues" dxfId="2856" priority="430"/>
  </conditionalFormatting>
  <conditionalFormatting sqref="A566">
    <cfRule type="duplicateValues" dxfId="2855" priority="422"/>
  </conditionalFormatting>
  <conditionalFormatting sqref="A664 A666">
    <cfRule type="duplicateValues" dxfId="2854" priority="1482"/>
  </conditionalFormatting>
  <conditionalFormatting sqref="A665">
    <cfRule type="duplicateValues" dxfId="2853" priority="1466"/>
  </conditionalFormatting>
  <conditionalFormatting sqref="A670">
    <cfRule type="duplicateValues" dxfId="2852" priority="17"/>
  </conditionalFormatting>
  <conditionalFormatting sqref="A671">
    <cfRule type="duplicateValues" dxfId="2851" priority="9"/>
  </conditionalFormatting>
  <conditionalFormatting sqref="A675">
    <cfRule type="duplicateValues" dxfId="2850" priority="2142"/>
  </conditionalFormatting>
  <conditionalFormatting sqref="A679:A680">
    <cfRule type="duplicateValues" dxfId="2849" priority="192"/>
    <cfRule type="duplicateValues" dxfId="2848" priority="193"/>
  </conditionalFormatting>
  <conditionalFormatting sqref="A681">
    <cfRule type="duplicateValues" dxfId="2847" priority="81"/>
  </conditionalFormatting>
  <conditionalFormatting sqref="A682">
    <cfRule type="duplicateValues" dxfId="2846" priority="1418"/>
  </conditionalFormatting>
  <conditionalFormatting sqref="A683">
    <cfRule type="duplicateValues" dxfId="2845" priority="1410"/>
  </conditionalFormatting>
  <conditionalFormatting sqref="A688">
    <cfRule type="duplicateValues" dxfId="2844" priority="2134"/>
  </conditionalFormatting>
  <conditionalFormatting sqref="A692">
    <cfRule type="duplicateValues" dxfId="2843" priority="283"/>
  </conditionalFormatting>
  <conditionalFormatting sqref="A696">
    <cfRule type="duplicateValues" dxfId="2842" priority="2126"/>
  </conditionalFormatting>
  <conditionalFormatting sqref="A698">
    <cfRule type="duplicateValues" dxfId="2841" priority="2118"/>
  </conditionalFormatting>
  <conditionalFormatting sqref="A700">
    <cfRule type="duplicateValues" dxfId="2840" priority="2110"/>
  </conditionalFormatting>
  <conditionalFormatting sqref="A702">
    <cfRule type="duplicateValues" dxfId="2839" priority="2102"/>
  </conditionalFormatting>
  <conditionalFormatting sqref="A704">
    <cfRule type="duplicateValues" dxfId="2838" priority="2087"/>
  </conditionalFormatting>
  <conditionalFormatting sqref="A709">
    <cfRule type="duplicateValues" dxfId="2837" priority="2063"/>
  </conditionalFormatting>
  <conditionalFormatting sqref="A711">
    <cfRule type="duplicateValues" dxfId="2836" priority="2055"/>
  </conditionalFormatting>
  <conditionalFormatting sqref="A713">
    <cfRule type="duplicateValues" dxfId="2835" priority="2047"/>
  </conditionalFormatting>
  <conditionalFormatting sqref="A715">
    <cfRule type="duplicateValues" dxfId="2834" priority="2039"/>
  </conditionalFormatting>
  <conditionalFormatting sqref="A717">
    <cfRule type="duplicateValues" dxfId="2833" priority="2031"/>
  </conditionalFormatting>
  <conditionalFormatting sqref="A720">
    <cfRule type="duplicateValues" dxfId="2832" priority="2023"/>
  </conditionalFormatting>
  <conditionalFormatting sqref="A722">
    <cfRule type="duplicateValues" dxfId="2831" priority="2015"/>
  </conditionalFormatting>
  <conditionalFormatting sqref="A724">
    <cfRule type="duplicateValues" dxfId="2830" priority="2007"/>
  </conditionalFormatting>
  <conditionalFormatting sqref="A726">
    <cfRule type="duplicateValues" dxfId="2829" priority="1999"/>
  </conditionalFormatting>
  <conditionalFormatting sqref="A728">
    <cfRule type="duplicateValues" dxfId="2828" priority="1991"/>
  </conditionalFormatting>
  <conditionalFormatting sqref="A731">
    <cfRule type="duplicateValues" dxfId="2827" priority="1983"/>
  </conditionalFormatting>
  <conditionalFormatting sqref="A733">
    <cfRule type="duplicateValues" dxfId="2826" priority="1975"/>
  </conditionalFormatting>
  <conditionalFormatting sqref="A735">
    <cfRule type="duplicateValues" dxfId="2825" priority="1967"/>
  </conditionalFormatting>
  <conditionalFormatting sqref="A737">
    <cfRule type="duplicateValues" dxfId="2824" priority="1966"/>
  </conditionalFormatting>
  <conditionalFormatting sqref="A738">
    <cfRule type="duplicateValues" dxfId="2823" priority="1951"/>
  </conditionalFormatting>
  <conditionalFormatting sqref="A741">
    <cfRule type="duplicateValues" dxfId="2822" priority="1943"/>
  </conditionalFormatting>
  <conditionalFormatting sqref="A743">
    <cfRule type="duplicateValues" dxfId="2821" priority="1935"/>
  </conditionalFormatting>
  <conditionalFormatting sqref="A746">
    <cfRule type="duplicateValues" dxfId="2820" priority="1927"/>
  </conditionalFormatting>
  <conditionalFormatting sqref="A748">
    <cfRule type="duplicateValues" dxfId="2819" priority="1919"/>
  </conditionalFormatting>
  <conditionalFormatting sqref="A750">
    <cfRule type="duplicateValues" dxfId="2818" priority="1911"/>
  </conditionalFormatting>
  <conditionalFormatting sqref="A752">
    <cfRule type="duplicateValues" dxfId="2817" priority="1903"/>
  </conditionalFormatting>
  <conditionalFormatting sqref="A754">
    <cfRule type="duplicateValues" dxfId="2816" priority="1895"/>
  </conditionalFormatting>
  <conditionalFormatting sqref="A756">
    <cfRule type="duplicateValues" dxfId="2815" priority="1887"/>
  </conditionalFormatting>
  <conditionalFormatting sqref="A758">
    <cfRule type="duplicateValues" dxfId="2814" priority="1879"/>
  </conditionalFormatting>
  <conditionalFormatting sqref="A760">
    <cfRule type="duplicateValues" dxfId="2813" priority="1871"/>
  </conditionalFormatting>
  <conditionalFormatting sqref="A765">
    <cfRule type="duplicateValues" dxfId="2812" priority="1863"/>
  </conditionalFormatting>
  <conditionalFormatting sqref="A772:A773">
    <cfRule type="duplicateValues" dxfId="2811" priority="112"/>
    <cfRule type="duplicateValues" dxfId="2810" priority="113"/>
  </conditionalFormatting>
  <conditionalFormatting sqref="A774">
    <cfRule type="duplicateValues" dxfId="2809" priority="73"/>
  </conditionalFormatting>
  <conditionalFormatting sqref="A775:A776 A780 A778">
    <cfRule type="duplicateValues" dxfId="2808" priority="1302"/>
  </conditionalFormatting>
  <conditionalFormatting sqref="A777">
    <cfRule type="duplicateValues" dxfId="2807" priority="65"/>
  </conditionalFormatting>
  <conditionalFormatting sqref="A779">
    <cfRule type="duplicateValues" dxfId="2806" priority="1270"/>
  </conditionalFormatting>
  <conditionalFormatting sqref="A781">
    <cfRule type="duplicateValues" dxfId="2805" priority="1262"/>
  </conditionalFormatting>
  <conditionalFormatting sqref="A783">
    <cfRule type="duplicateValues" dxfId="2804" priority="1855"/>
  </conditionalFormatting>
  <conditionalFormatting sqref="A785">
    <cfRule type="duplicateValues" dxfId="2803" priority="1847"/>
  </conditionalFormatting>
  <conditionalFormatting sqref="A788">
    <cfRule type="duplicateValues" dxfId="2802" priority="1839"/>
  </conditionalFormatting>
  <conditionalFormatting sqref="A790">
    <cfRule type="duplicateValues" dxfId="2801" priority="1831"/>
  </conditionalFormatting>
  <conditionalFormatting sqref="A792">
    <cfRule type="duplicateValues" dxfId="2800" priority="1823"/>
  </conditionalFormatting>
  <conditionalFormatting sqref="A794">
    <cfRule type="duplicateValues" dxfId="2799" priority="1815"/>
  </conditionalFormatting>
  <conditionalFormatting sqref="A796">
    <cfRule type="duplicateValues" dxfId="2798" priority="1807"/>
  </conditionalFormatting>
  <conditionalFormatting sqref="A798">
    <cfRule type="duplicateValues" dxfId="2797" priority="1799"/>
  </conditionalFormatting>
  <conditionalFormatting sqref="A800">
    <cfRule type="duplicateValues" dxfId="2796" priority="1791"/>
  </conditionalFormatting>
  <conditionalFormatting sqref="A802">
    <cfRule type="duplicateValues" dxfId="2795" priority="1783"/>
  </conditionalFormatting>
  <conditionalFormatting sqref="A807:A808">
    <cfRule type="duplicateValues" dxfId="2794" priority="1006"/>
  </conditionalFormatting>
  <conditionalFormatting sqref="A809">
    <cfRule type="duplicateValues" dxfId="2793" priority="973"/>
  </conditionalFormatting>
  <conditionalFormatting sqref="A810">
    <cfRule type="duplicateValues" dxfId="2792" priority="273"/>
  </conditionalFormatting>
  <conditionalFormatting sqref="A813:A814 A816">
    <cfRule type="duplicateValues" dxfId="2791" priority="991"/>
  </conditionalFormatting>
  <conditionalFormatting sqref="A815">
    <cfRule type="duplicateValues" dxfId="2790" priority="275"/>
  </conditionalFormatting>
  <conditionalFormatting sqref="A817">
    <cfRule type="duplicateValues" dxfId="2789" priority="274"/>
  </conditionalFormatting>
  <conditionalFormatting sqref="A820">
    <cfRule type="duplicateValues" dxfId="2788" priority="1775"/>
  </conditionalFormatting>
  <conditionalFormatting sqref="A821:A822 A824">
    <cfRule type="duplicateValues" dxfId="2787" priority="903"/>
  </conditionalFormatting>
  <conditionalFormatting sqref="A823">
    <cfRule type="duplicateValues" dxfId="2786" priority="851"/>
  </conditionalFormatting>
  <conditionalFormatting sqref="A826">
    <cfRule type="duplicateValues" dxfId="2785" priority="1767"/>
  </conditionalFormatting>
  <conditionalFormatting sqref="A828">
    <cfRule type="duplicateValues" dxfId="2784" priority="1759"/>
  </conditionalFormatting>
  <conditionalFormatting sqref="A832">
    <cfRule type="duplicateValues" dxfId="2783" priority="1751"/>
  </conditionalFormatting>
  <conditionalFormatting sqref="A834">
    <cfRule type="duplicateValues" dxfId="2782" priority="1743"/>
  </conditionalFormatting>
  <conditionalFormatting sqref="A836">
    <cfRule type="duplicateValues" dxfId="2781" priority="1735"/>
  </conditionalFormatting>
  <conditionalFormatting sqref="A838">
    <cfRule type="duplicateValues" dxfId="2780" priority="1727"/>
  </conditionalFormatting>
  <conditionalFormatting sqref="A840">
    <cfRule type="duplicateValues" dxfId="2779" priority="1719"/>
  </conditionalFormatting>
  <conditionalFormatting sqref="A842">
    <cfRule type="duplicateValues" dxfId="2778" priority="1711"/>
  </conditionalFormatting>
  <conditionalFormatting sqref="A843:A844">
    <cfRule type="duplicateValues" dxfId="2777" priority="805"/>
  </conditionalFormatting>
  <conditionalFormatting sqref="A845">
    <cfRule type="duplicateValues" dxfId="2776" priority="783"/>
  </conditionalFormatting>
  <conditionalFormatting sqref="A847">
    <cfRule type="duplicateValues" dxfId="2775" priority="1703"/>
  </conditionalFormatting>
  <conditionalFormatting sqref="A849">
    <cfRule type="duplicateValues" dxfId="2774" priority="1695"/>
  </conditionalFormatting>
  <conditionalFormatting sqref="A852">
    <cfRule type="duplicateValues" dxfId="2773" priority="1687"/>
  </conditionalFormatting>
  <conditionalFormatting sqref="A853">
    <cfRule type="duplicateValues" dxfId="2772" priority="647"/>
  </conditionalFormatting>
  <conditionalFormatting sqref="A855">
    <cfRule type="duplicateValues" dxfId="2771" priority="636"/>
  </conditionalFormatting>
  <conditionalFormatting sqref="A857">
    <cfRule type="duplicateValues" dxfId="2770" priority="625"/>
  </conditionalFormatting>
  <conditionalFormatting sqref="A858">
    <cfRule type="duplicateValues" dxfId="2769" priority="610"/>
  </conditionalFormatting>
  <conditionalFormatting sqref="A862">
    <cfRule type="duplicateValues" dxfId="2768" priority="1679"/>
  </conditionalFormatting>
  <conditionalFormatting sqref="A863">
    <cfRule type="duplicateValues" dxfId="2767" priority="382"/>
  </conditionalFormatting>
  <conditionalFormatting sqref="A864">
    <cfRule type="duplicateValues" dxfId="2766" priority="343"/>
  </conditionalFormatting>
  <conditionalFormatting sqref="A866">
    <cfRule type="duplicateValues" dxfId="2765" priority="335"/>
  </conditionalFormatting>
  <conditionalFormatting sqref="A867">
    <cfRule type="duplicateValues" dxfId="2764" priority="374"/>
  </conditionalFormatting>
  <conditionalFormatting sqref="A868">
    <cfRule type="duplicateValues" dxfId="2763" priority="327"/>
  </conditionalFormatting>
  <conditionalFormatting sqref="A870">
    <cfRule type="duplicateValues" dxfId="2762" priority="303"/>
  </conditionalFormatting>
  <conditionalFormatting sqref="A871">
    <cfRule type="duplicateValues" dxfId="2761" priority="366"/>
  </conditionalFormatting>
  <conditionalFormatting sqref="A872">
    <cfRule type="duplicateValues" dxfId="2760" priority="319"/>
  </conditionalFormatting>
  <conditionalFormatting sqref="A874">
    <cfRule type="duplicateValues" dxfId="2759" priority="295"/>
  </conditionalFormatting>
  <conditionalFormatting sqref="A875">
    <cfRule type="duplicateValues" dxfId="2758" priority="358"/>
  </conditionalFormatting>
  <conditionalFormatting sqref="A876">
    <cfRule type="duplicateValues" dxfId="2757" priority="311"/>
  </conditionalFormatting>
  <conditionalFormatting sqref="A878">
    <cfRule type="duplicateValues" dxfId="2756" priority="287"/>
  </conditionalFormatting>
  <conditionalFormatting sqref="A880">
    <cfRule type="duplicateValues" dxfId="2755" priority="1671"/>
  </conditionalFormatting>
  <conditionalFormatting sqref="A882">
    <cfRule type="duplicateValues" dxfId="2754" priority="1663"/>
  </conditionalFormatting>
  <conditionalFormatting sqref="A894:A895">
    <cfRule type="duplicateValues" dxfId="2753" priority="1490"/>
  </conditionalFormatting>
  <conditionalFormatting sqref="A898">
    <cfRule type="duplicateValues" dxfId="2752" priority="25"/>
  </conditionalFormatting>
  <conditionalFormatting sqref="A903:A904">
    <cfRule type="duplicateValues" dxfId="2751" priority="177"/>
    <cfRule type="duplicateValues" dxfId="2750" priority="176"/>
  </conditionalFormatting>
  <conditionalFormatting sqref="A905">
    <cfRule type="duplicateValues" dxfId="2749" priority="1429"/>
  </conditionalFormatting>
  <conditionalFormatting sqref="A959:A960">
    <cfRule type="duplicateValues" dxfId="2748" priority="96"/>
    <cfRule type="duplicateValues" dxfId="2747" priority="97"/>
  </conditionalFormatting>
  <conditionalFormatting sqref="A961:A964">
    <cfRule type="duplicateValues" dxfId="2746" priority="1327"/>
  </conditionalFormatting>
  <conditionalFormatting sqref="A965:A979 A825 A676:A678 A3:A6 A689:A691 A697 A699 A701 A703 A705:A708 A710 A712 A714 A716 A718:A719 A721 A723 A725 A727 A729:A730 A732 A734 A736 A739:A740 A742 A744:A745 A747 A749 A751 A753 A755 A757 A759 A761:A764 A766:A771 A784 A786:A787 A789 A791 A793 A795 A797 A799 A801 A827 A829:A831 A833 A835 A837 A839 A841 A846 A848 A850:A851 A861 A879 A881 A883:A893 A30:A81 A110:A111 A115:A124 A267:A270 A127:A130 A145:A156 A301:A302 A442:A443 A896:A897 A667:A669 A170:A221 A312:A363 A453:A504 A907:A958 A685:A687 A228:A242 A370:A384 A782 A987:A988 A511:A525 A803:A806 A533:A534 A392:A393 A250:A251 A818:A819 A255:A264 A992:A1001 A538:A547 A397:A406 A409:A412 A1004:A1007 A550:A553 A277 A419 A661:A663 A568:A659 A1014 A286:A298 A428:A439 A1023:A1024 A159:A160 A693:A695 A8:A20 A84:A104 A445:A448 A22:A27 A162:A165 A304:A307 A899:A902 A672:A674">
    <cfRule type="duplicateValues" dxfId="2745" priority="12768"/>
  </conditionalFormatting>
  <conditionalFormatting sqref="A980:A981">
    <cfRule type="duplicateValues" dxfId="2744" priority="1261"/>
  </conditionalFormatting>
  <conditionalFormatting sqref="A982">
    <cfRule type="duplicateValues" dxfId="2743" priority="1228"/>
  </conditionalFormatting>
  <conditionalFormatting sqref="A984:A986">
    <cfRule type="duplicateValues" dxfId="2742" priority="1246"/>
  </conditionalFormatting>
  <conditionalFormatting sqref="A989:A991">
    <cfRule type="duplicateValues" dxfId="2741" priority="918"/>
  </conditionalFormatting>
  <conditionalFormatting sqref="A1002:A1003">
    <cfRule type="duplicateValues" dxfId="2740" priority="835"/>
  </conditionalFormatting>
  <conditionalFormatting sqref="A1008">
    <cfRule type="duplicateValues" dxfId="2739" priority="680"/>
  </conditionalFormatting>
  <conditionalFormatting sqref="A1010">
    <cfRule type="duplicateValues" dxfId="2738" priority="669"/>
  </conditionalFormatting>
  <conditionalFormatting sqref="A1012">
    <cfRule type="duplicateValues" dxfId="2737" priority="658"/>
  </conditionalFormatting>
  <conditionalFormatting sqref="A1015">
    <cfRule type="duplicateValues" dxfId="2736" priority="414"/>
  </conditionalFormatting>
  <conditionalFormatting sqref="A1017">
    <cfRule type="duplicateValues" dxfId="2735" priority="406"/>
  </conditionalFormatting>
  <conditionalFormatting sqref="A1019">
    <cfRule type="duplicateValues" dxfId="2734" priority="398"/>
  </conditionalFormatting>
  <conditionalFormatting sqref="A1021">
    <cfRule type="duplicateValues" dxfId="2733" priority="390"/>
  </conditionalFormatting>
  <conditionalFormatting sqref="M6:M8">
    <cfRule type="cellIs" dxfId="2732" priority="5445" stopIfTrue="1" operator="lessThan">
      <formula>7</formula>
    </cfRule>
  </conditionalFormatting>
  <conditionalFormatting sqref="M6:M12">
    <cfRule type="cellIs" dxfId="2731" priority="5437" stopIfTrue="1" operator="between">
      <formula>7</formula>
      <formula>14</formula>
    </cfRule>
  </conditionalFormatting>
  <conditionalFormatting sqref="M6:M59">
    <cfRule type="cellIs" dxfId="2730" priority="42" stopIfTrue="1" operator="greaterThanOrEqual">
      <formula>15</formula>
    </cfRule>
  </conditionalFormatting>
  <conditionalFormatting sqref="M9:M11">
    <cfRule type="cellIs" dxfId="2729" priority="5438" stopIfTrue="1" operator="lessThan">
      <formula>7</formula>
    </cfRule>
  </conditionalFormatting>
  <conditionalFormatting sqref="M12">
    <cfRule type="cellIs" dxfId="2728" priority="5571" stopIfTrue="1" operator="lessThan">
      <formula>7</formula>
    </cfRule>
  </conditionalFormatting>
  <conditionalFormatting sqref="M13 M165 M170:M172 M174:M175 M693:M696 M968:M979 M987:M988 M992:M995">
    <cfRule type="cellIs" dxfId="2727" priority="5578" stopIfTrue="1" operator="lessThan">
      <formula>7</formula>
    </cfRule>
    <cfRule type="cellIs" dxfId="2726" priority="5577" stopIfTrue="1" operator="between">
      <formula>7</formula>
      <formula>14</formula>
    </cfRule>
  </conditionalFormatting>
  <conditionalFormatting sqref="M14">
    <cfRule type="cellIs" dxfId="2725" priority="5431" stopIfTrue="1" operator="lessThan">
      <formula>7</formula>
    </cfRule>
  </conditionalFormatting>
  <conditionalFormatting sqref="M14:M20">
    <cfRule type="cellIs" dxfId="2724" priority="5334" stopIfTrue="1" operator="between">
      <formula>7</formula>
      <formula>14</formula>
    </cfRule>
  </conditionalFormatting>
  <conditionalFormatting sqref="M15">
    <cfRule type="cellIs" dxfId="2723" priority="5494" stopIfTrue="1" operator="lessThan">
      <formula>7</formula>
    </cfRule>
  </conditionalFormatting>
  <conditionalFormatting sqref="M16:M18">
    <cfRule type="cellIs" dxfId="2722" priority="5338" stopIfTrue="1" operator="lessThan">
      <formula>7</formula>
    </cfRule>
  </conditionalFormatting>
  <conditionalFormatting sqref="M19">
    <cfRule type="cellIs" dxfId="2721" priority="5428" stopIfTrue="1" operator="lessThan">
      <formula>7</formula>
    </cfRule>
  </conditionalFormatting>
  <conditionalFormatting sqref="M20">
    <cfRule type="cellIs" dxfId="2720" priority="5335" stopIfTrue="1" operator="lessThan">
      <formula>7</formula>
    </cfRule>
  </conditionalFormatting>
  <conditionalFormatting sqref="M21">
    <cfRule type="cellIs" dxfId="2719" priority="43" stopIfTrue="1" operator="between">
      <formula>7</formula>
      <formula>14</formula>
    </cfRule>
    <cfRule type="cellIs" dxfId="2718" priority="44" stopIfTrue="1" operator="lessThan">
      <formula>7</formula>
    </cfRule>
  </conditionalFormatting>
  <conditionalFormatting sqref="M22">
    <cfRule type="cellIs" dxfId="2717" priority="5425" stopIfTrue="1" operator="lessThan">
      <formula>7</formula>
    </cfRule>
  </conditionalFormatting>
  <conditionalFormatting sqref="M22:M25 M28">
    <cfRule type="cellIs" dxfId="2716" priority="5320" stopIfTrue="1" operator="between">
      <formula>7</formula>
      <formula>14</formula>
    </cfRule>
  </conditionalFormatting>
  <conditionalFormatting sqref="M23">
    <cfRule type="cellIs" dxfId="2715" priority="5328" stopIfTrue="1" operator="lessThan">
      <formula>7</formula>
    </cfRule>
  </conditionalFormatting>
  <conditionalFormatting sqref="M24">
    <cfRule type="cellIs" dxfId="2714" priority="5491" stopIfTrue="1" operator="lessThan">
      <formula>7</formula>
    </cfRule>
  </conditionalFormatting>
  <conditionalFormatting sqref="M25 M28">
    <cfRule type="cellIs" dxfId="2713" priority="5321" stopIfTrue="1" operator="lessThan">
      <formula>7</formula>
    </cfRule>
  </conditionalFormatting>
  <conditionalFormatting sqref="M26">
    <cfRule type="cellIs" dxfId="2712" priority="266" stopIfTrue="1" operator="between">
      <formula>7</formula>
      <formula>14</formula>
    </cfRule>
    <cfRule type="cellIs" dxfId="2711" priority="267" stopIfTrue="1" operator="lessThan">
      <formula>7</formula>
    </cfRule>
  </conditionalFormatting>
  <conditionalFormatting sqref="M27">
    <cfRule type="cellIs" dxfId="2710" priority="260" stopIfTrue="1" operator="lessThan">
      <formula>7</formula>
    </cfRule>
    <cfRule type="cellIs" dxfId="2709" priority="259" stopIfTrue="1" operator="between">
      <formula>7</formula>
      <formula>14</formula>
    </cfRule>
  </conditionalFormatting>
  <conditionalFormatting sqref="M29:M31">
    <cfRule type="cellIs" dxfId="2708" priority="286" stopIfTrue="1" operator="lessThan">
      <formula>7</formula>
    </cfRule>
    <cfRule type="cellIs" dxfId="2707" priority="285" stopIfTrue="1" operator="between">
      <formula>7</formula>
      <formula>14</formula>
    </cfRule>
  </conditionalFormatting>
  <conditionalFormatting sqref="M32">
    <cfRule type="cellIs" dxfId="2706" priority="2386" stopIfTrue="1" operator="lessThan">
      <formula>7</formula>
    </cfRule>
    <cfRule type="cellIs" dxfId="2705" priority="2385" stopIfTrue="1" operator="between">
      <formula>7</formula>
      <formula>14</formula>
    </cfRule>
  </conditionalFormatting>
  <conditionalFormatting sqref="M33">
    <cfRule type="cellIs" dxfId="2704" priority="2382" stopIfTrue="1" operator="between">
      <formula>7</formula>
      <formula>14</formula>
    </cfRule>
    <cfRule type="cellIs" dxfId="2703" priority="2383" stopIfTrue="1" operator="lessThan">
      <formula>7</formula>
    </cfRule>
  </conditionalFormatting>
  <conditionalFormatting sqref="M34:M35">
    <cfRule type="cellIs" dxfId="2702" priority="2389" stopIfTrue="1" operator="lessThan">
      <formula>7</formula>
    </cfRule>
    <cfRule type="cellIs" dxfId="2701" priority="2388" stopIfTrue="1" operator="between">
      <formula>7</formula>
      <formula>14</formula>
    </cfRule>
  </conditionalFormatting>
  <conditionalFormatting sqref="M36">
    <cfRule type="cellIs" dxfId="2700" priority="5418" stopIfTrue="1" operator="lessThan">
      <formula>7</formula>
    </cfRule>
  </conditionalFormatting>
  <conditionalFormatting sqref="M36:M47">
    <cfRule type="cellIs" dxfId="2699" priority="5271" stopIfTrue="1" operator="between">
      <formula>7</formula>
      <formula>14</formula>
    </cfRule>
  </conditionalFormatting>
  <conditionalFormatting sqref="M37">
    <cfRule type="cellIs" dxfId="2698" priority="5314" stopIfTrue="1" operator="lessThan">
      <formula>7</formula>
    </cfRule>
  </conditionalFormatting>
  <conditionalFormatting sqref="M38">
    <cfRule type="cellIs" dxfId="2697" priority="5411" stopIfTrue="1" operator="lessThan">
      <formula>7</formula>
    </cfRule>
  </conditionalFormatting>
  <conditionalFormatting sqref="M39">
    <cfRule type="cellIs" dxfId="2696" priority="5307" stopIfTrue="1" operator="lessThan">
      <formula>7</formula>
    </cfRule>
  </conditionalFormatting>
  <conditionalFormatting sqref="M40">
    <cfRule type="cellIs" dxfId="2695" priority="5404" stopIfTrue="1" operator="lessThan">
      <formula>7</formula>
    </cfRule>
  </conditionalFormatting>
  <conditionalFormatting sqref="M41">
    <cfRule type="cellIs" dxfId="2694" priority="5300" stopIfTrue="1" operator="lessThan">
      <formula>7</formula>
    </cfRule>
  </conditionalFormatting>
  <conditionalFormatting sqref="M42">
    <cfRule type="cellIs" dxfId="2693" priority="5485" stopIfTrue="1" operator="lessThan">
      <formula>7</formula>
    </cfRule>
  </conditionalFormatting>
  <conditionalFormatting sqref="M43">
    <cfRule type="cellIs" dxfId="2692" priority="5293" stopIfTrue="1" operator="lessThan">
      <formula>7</formula>
    </cfRule>
  </conditionalFormatting>
  <conditionalFormatting sqref="M44">
    <cfRule type="cellIs" dxfId="2691" priority="5361" stopIfTrue="1" operator="lessThan">
      <formula>7</formula>
    </cfRule>
  </conditionalFormatting>
  <conditionalFormatting sqref="M45">
    <cfRule type="cellIs" dxfId="2690" priority="5286" stopIfTrue="1" operator="lessThan">
      <formula>7</formula>
    </cfRule>
  </conditionalFormatting>
  <conditionalFormatting sqref="M46">
    <cfRule type="cellIs" dxfId="2689" priority="5279" stopIfTrue="1" operator="lessThan">
      <formula>7</formula>
    </cfRule>
  </conditionalFormatting>
  <conditionalFormatting sqref="M47">
    <cfRule type="cellIs" dxfId="2688" priority="5272" stopIfTrue="1" operator="lessThan">
      <formula>7</formula>
    </cfRule>
  </conditionalFormatting>
  <conditionalFormatting sqref="M48:M49">
    <cfRule type="cellIs" dxfId="2687" priority="2396" stopIfTrue="1" operator="lessThan">
      <formula>7</formula>
    </cfRule>
    <cfRule type="cellIs" dxfId="2686" priority="2395" stopIfTrue="1" operator="between">
      <formula>7</formula>
      <formula>14</formula>
    </cfRule>
  </conditionalFormatting>
  <conditionalFormatting sqref="M50">
    <cfRule type="cellIs" dxfId="2685" priority="2409" stopIfTrue="1" operator="between">
      <formula>7</formula>
      <formula>14</formula>
    </cfRule>
    <cfRule type="cellIs" dxfId="2684" priority="2410" stopIfTrue="1" operator="lessThan">
      <formula>7</formula>
    </cfRule>
  </conditionalFormatting>
  <conditionalFormatting sqref="M51">
    <cfRule type="cellIs" dxfId="2683" priority="2402" stopIfTrue="1" operator="between">
      <formula>7</formula>
      <formula>14</formula>
    </cfRule>
    <cfRule type="cellIs" dxfId="2682" priority="2403" stopIfTrue="1" operator="lessThan">
      <formula>7</formula>
    </cfRule>
  </conditionalFormatting>
  <conditionalFormatting sqref="M52:M53">
    <cfRule type="cellIs" dxfId="2681" priority="2416" stopIfTrue="1" operator="between">
      <formula>7</formula>
      <formula>14</formula>
    </cfRule>
    <cfRule type="cellIs" dxfId="2680" priority="2417" stopIfTrue="1" operator="lessThan">
      <formula>7</formula>
    </cfRule>
  </conditionalFormatting>
  <conditionalFormatting sqref="M54">
    <cfRule type="cellIs" dxfId="2679" priority="578" stopIfTrue="1" operator="lessThan">
      <formula>7</formula>
    </cfRule>
    <cfRule type="cellIs" dxfId="2678" priority="577" stopIfTrue="1" operator="between">
      <formula>7</formula>
      <formula>14</formula>
    </cfRule>
  </conditionalFormatting>
  <conditionalFormatting sqref="M55">
    <cfRule type="cellIs" dxfId="2677" priority="575" stopIfTrue="1" operator="lessThan">
      <formula>7</formula>
    </cfRule>
    <cfRule type="cellIs" dxfId="2676" priority="574" stopIfTrue="1" operator="between">
      <formula>7</formula>
      <formula>14</formula>
    </cfRule>
  </conditionalFormatting>
  <conditionalFormatting sqref="M56">
    <cfRule type="cellIs" dxfId="2675" priority="5354" stopIfTrue="1" operator="lessThan">
      <formula>7</formula>
    </cfRule>
  </conditionalFormatting>
  <conditionalFormatting sqref="M56:M59">
    <cfRule type="cellIs" dxfId="2674" priority="5250" stopIfTrue="1" operator="between">
      <formula>7</formula>
      <formula>14</formula>
    </cfRule>
  </conditionalFormatting>
  <conditionalFormatting sqref="M57">
    <cfRule type="cellIs" dxfId="2673" priority="5265" stopIfTrue="1" operator="lessThan">
      <formula>7</formula>
    </cfRule>
  </conditionalFormatting>
  <conditionalFormatting sqref="M58">
    <cfRule type="cellIs" dxfId="2672" priority="5258" stopIfTrue="1" operator="lessThan">
      <formula>7</formula>
    </cfRule>
  </conditionalFormatting>
  <conditionalFormatting sqref="M59">
    <cfRule type="cellIs" dxfId="2671" priority="5251" stopIfTrue="1" operator="lessThan">
      <formula>7</formula>
    </cfRule>
  </conditionalFormatting>
  <conditionalFormatting sqref="M61">
    <cfRule type="cellIs" dxfId="2670" priority="5397" stopIfTrue="1" operator="lessThan">
      <formula>7</formula>
    </cfRule>
  </conditionalFormatting>
  <conditionalFormatting sqref="M61:M81">
    <cfRule type="cellIs" dxfId="2669" priority="5194" stopIfTrue="1" operator="between">
      <formula>7</formula>
      <formula>14</formula>
    </cfRule>
  </conditionalFormatting>
  <conditionalFormatting sqref="M61:M89">
    <cfRule type="cellIs" dxfId="2668" priority="242" stopIfTrue="1" operator="greaterThanOrEqual">
      <formula>15</formula>
    </cfRule>
  </conditionalFormatting>
  <conditionalFormatting sqref="M62">
    <cfRule type="cellIs" dxfId="2667" priority="5391" stopIfTrue="1" operator="lessThan">
      <formula>7</formula>
    </cfRule>
  </conditionalFormatting>
  <conditionalFormatting sqref="M63">
    <cfRule type="cellIs" dxfId="2666" priority="5524" stopIfTrue="1" operator="lessThan">
      <formula>7</formula>
    </cfRule>
  </conditionalFormatting>
  <conditionalFormatting sqref="M64">
    <cfRule type="cellIs" dxfId="2665" priority="5482" stopIfTrue="1" operator="lessThan">
      <formula>7</formula>
    </cfRule>
  </conditionalFormatting>
  <conditionalFormatting sqref="M65">
    <cfRule type="cellIs" dxfId="2664" priority="5244" stopIfTrue="1" operator="lessThan">
      <formula>7</formula>
    </cfRule>
  </conditionalFormatting>
  <conditionalFormatting sqref="M66">
    <cfRule type="cellIs" dxfId="2663" priority="5497" stopIfTrue="1" operator="lessThan">
      <formula>7</formula>
    </cfRule>
  </conditionalFormatting>
  <conditionalFormatting sqref="M67">
    <cfRule type="cellIs" dxfId="2662" priority="5237" stopIfTrue="1" operator="lessThan">
      <formula>7</formula>
    </cfRule>
  </conditionalFormatting>
  <conditionalFormatting sqref="M68">
    <cfRule type="cellIs" dxfId="2661" priority="5388" stopIfTrue="1" operator="lessThan">
      <formula>7</formula>
    </cfRule>
  </conditionalFormatting>
  <conditionalFormatting sqref="M69">
    <cfRule type="cellIs" dxfId="2660" priority="5230" stopIfTrue="1" operator="lessThan">
      <formula>7</formula>
    </cfRule>
  </conditionalFormatting>
  <conditionalFormatting sqref="M70">
    <cfRule type="cellIs" dxfId="2659" priority="5385" stopIfTrue="1" operator="lessThan">
      <formula>7</formula>
    </cfRule>
  </conditionalFormatting>
  <conditionalFormatting sqref="M71">
    <cfRule type="cellIs" dxfId="2658" priority="5223" stopIfTrue="1" operator="lessThan">
      <formula>7</formula>
    </cfRule>
  </conditionalFormatting>
  <conditionalFormatting sqref="M72">
    <cfRule type="cellIs" dxfId="2657" priority="5479" stopIfTrue="1" operator="lessThan">
      <formula>7</formula>
    </cfRule>
  </conditionalFormatting>
  <conditionalFormatting sqref="M73">
    <cfRule type="cellIs" dxfId="2656" priority="5216" stopIfTrue="1" operator="lessThan">
      <formula>7</formula>
    </cfRule>
  </conditionalFormatting>
  <conditionalFormatting sqref="M74">
    <cfRule type="cellIs" dxfId="2655" priority="5476" stopIfTrue="1" operator="lessThan">
      <formula>7</formula>
    </cfRule>
  </conditionalFormatting>
  <conditionalFormatting sqref="M75">
    <cfRule type="cellIs" dxfId="2654" priority="5209" stopIfTrue="1" operator="lessThan">
      <formula>7</formula>
    </cfRule>
  </conditionalFormatting>
  <conditionalFormatting sqref="M76">
    <cfRule type="cellIs" dxfId="2653" priority="5488" stopIfTrue="1" operator="lessThan">
      <formula>7</formula>
    </cfRule>
  </conditionalFormatting>
  <conditionalFormatting sqref="M77">
    <cfRule type="cellIs" dxfId="2652" priority="5202" stopIfTrue="1" operator="lessThan">
      <formula>7</formula>
    </cfRule>
  </conditionalFormatting>
  <conditionalFormatting sqref="M78">
    <cfRule type="cellIs" dxfId="2651" priority="5351" stopIfTrue="1" operator="lessThan">
      <formula>7</formula>
    </cfRule>
  </conditionalFormatting>
  <conditionalFormatting sqref="M79">
    <cfRule type="cellIs" dxfId="2650" priority="5344" stopIfTrue="1" operator="lessThan">
      <formula>7</formula>
    </cfRule>
  </conditionalFormatting>
  <conditionalFormatting sqref="M80">
    <cfRule type="cellIs" dxfId="2649" priority="5473" stopIfTrue="1" operator="lessThan">
      <formula>7</formula>
    </cfRule>
  </conditionalFormatting>
  <conditionalFormatting sqref="M81">
    <cfRule type="cellIs" dxfId="2648" priority="5195" stopIfTrue="1" operator="lessThan">
      <formula>7</formula>
    </cfRule>
  </conditionalFormatting>
  <conditionalFormatting sqref="M82">
    <cfRule type="cellIs" dxfId="2647" priority="250" stopIfTrue="1" operator="between">
      <formula>7</formula>
      <formula>14</formula>
    </cfRule>
    <cfRule type="cellIs" dxfId="2646" priority="251" stopIfTrue="1" operator="lessThan">
      <formula>7</formula>
    </cfRule>
  </conditionalFormatting>
  <conditionalFormatting sqref="M83">
    <cfRule type="cellIs" dxfId="2645" priority="243" stopIfTrue="1" operator="between">
      <formula>7</formula>
      <formula>14</formula>
    </cfRule>
    <cfRule type="cellIs" dxfId="2644" priority="244" stopIfTrue="1" operator="lessThan">
      <formula>7</formula>
    </cfRule>
  </conditionalFormatting>
  <conditionalFormatting sqref="M84">
    <cfRule type="cellIs" dxfId="2643" priority="1648" stopIfTrue="1" operator="lessThan">
      <formula>7</formula>
    </cfRule>
    <cfRule type="cellIs" dxfId="2642" priority="1647" stopIfTrue="1" operator="between">
      <formula>7</formula>
      <formula>14</formula>
    </cfRule>
  </conditionalFormatting>
  <conditionalFormatting sqref="M85">
    <cfRule type="cellIs" dxfId="2641" priority="1641" stopIfTrue="1" operator="lessThan">
      <formula>7</formula>
    </cfRule>
    <cfRule type="cellIs" dxfId="2640" priority="1640" stopIfTrue="1" operator="between">
      <formula>7</formula>
      <formula>14</formula>
    </cfRule>
  </conditionalFormatting>
  <conditionalFormatting sqref="M86">
    <cfRule type="cellIs" dxfId="2639" priority="1638" stopIfTrue="1" operator="lessThan">
      <formula>7</formula>
    </cfRule>
    <cfRule type="cellIs" dxfId="2638" priority="1637" stopIfTrue="1" operator="between">
      <formula>7</formula>
      <formula>14</formula>
    </cfRule>
  </conditionalFormatting>
  <conditionalFormatting sqref="M87">
    <cfRule type="cellIs" dxfId="2637" priority="1634" stopIfTrue="1" operator="between">
      <formula>7</formula>
      <formula>14</formula>
    </cfRule>
    <cfRule type="cellIs" dxfId="2636" priority="1635" stopIfTrue="1" operator="lessThan">
      <formula>7</formula>
    </cfRule>
  </conditionalFormatting>
  <conditionalFormatting sqref="M88">
    <cfRule type="cellIs" dxfId="2635" priority="5382" stopIfTrue="1" operator="lessThan">
      <formula>7</formula>
    </cfRule>
  </conditionalFormatting>
  <conditionalFormatting sqref="M88:M89">
    <cfRule type="cellIs" dxfId="2634" priority="5187" stopIfTrue="1" operator="between">
      <formula>7</formula>
      <formula>14</formula>
    </cfRule>
  </conditionalFormatting>
  <conditionalFormatting sqref="M89">
    <cfRule type="cellIs" dxfId="2633" priority="5188" stopIfTrue="1" operator="lessThan">
      <formula>7</formula>
    </cfRule>
  </conditionalFormatting>
  <conditionalFormatting sqref="M91">
    <cfRule type="cellIs" dxfId="2632" priority="5379" stopIfTrue="1" operator="lessThan">
      <formula>7</formula>
    </cfRule>
  </conditionalFormatting>
  <conditionalFormatting sqref="M91:M102">
    <cfRule type="cellIs" dxfId="2631" priority="5166" stopIfTrue="1" operator="between">
      <formula>7</formula>
      <formula>14</formula>
    </cfRule>
  </conditionalFormatting>
  <conditionalFormatting sqref="M91:M145">
    <cfRule type="cellIs" dxfId="2630" priority="511" stopIfTrue="1" operator="greaterThanOrEqual">
      <formula>15</formula>
    </cfRule>
  </conditionalFormatting>
  <conditionalFormatting sqref="M92">
    <cfRule type="cellIs" dxfId="2629" priority="5376" stopIfTrue="1" operator="lessThan">
      <formula>7</formula>
    </cfRule>
  </conditionalFormatting>
  <conditionalFormatting sqref="M93:M96">
    <cfRule type="cellIs" dxfId="2628" priority="5373" stopIfTrue="1" operator="lessThan">
      <formula>7</formula>
    </cfRule>
  </conditionalFormatting>
  <conditionalFormatting sqref="M97">
    <cfRule type="cellIs" dxfId="2627" priority="5370" stopIfTrue="1" operator="lessThan">
      <formula>7</formula>
    </cfRule>
  </conditionalFormatting>
  <conditionalFormatting sqref="M98">
    <cfRule type="cellIs" dxfId="2626" priority="5181" stopIfTrue="1" operator="lessThan">
      <formula>7</formula>
    </cfRule>
  </conditionalFormatting>
  <conditionalFormatting sqref="M99">
    <cfRule type="cellIs" dxfId="2625" priority="5470" stopIfTrue="1" operator="lessThan">
      <formula>7</formula>
    </cfRule>
  </conditionalFormatting>
  <conditionalFormatting sqref="M100">
    <cfRule type="cellIs" dxfId="2624" priority="5174" stopIfTrue="1" operator="lessThan">
      <formula>7</formula>
    </cfRule>
  </conditionalFormatting>
  <conditionalFormatting sqref="M101">
    <cfRule type="cellIs" dxfId="2623" priority="5467" stopIfTrue="1" operator="lessThan">
      <formula>7</formula>
    </cfRule>
  </conditionalFormatting>
  <conditionalFormatting sqref="M102">
    <cfRule type="cellIs" dxfId="2622" priority="5167" stopIfTrue="1" operator="lessThan">
      <formula>7</formula>
    </cfRule>
  </conditionalFormatting>
  <conditionalFormatting sqref="M103">
    <cfRule type="cellIs" dxfId="2621" priority="1627" stopIfTrue="1" operator="between">
      <formula>7</formula>
      <formula>14</formula>
    </cfRule>
    <cfRule type="cellIs" dxfId="2620" priority="1628" stopIfTrue="1" operator="lessThan">
      <formula>7</formula>
    </cfRule>
  </conditionalFormatting>
  <conditionalFormatting sqref="M104">
    <cfRule type="cellIs" dxfId="2619" priority="1621" stopIfTrue="1" operator="lessThan">
      <formula>7</formula>
    </cfRule>
    <cfRule type="cellIs" dxfId="2618" priority="1620" stopIfTrue="1" operator="between">
      <formula>7</formula>
      <formula>14</formula>
    </cfRule>
  </conditionalFormatting>
  <conditionalFormatting sqref="M105">
    <cfRule type="cellIs" dxfId="2617" priority="1602" stopIfTrue="1" operator="between">
      <formula>7</formula>
      <formula>14</formula>
    </cfRule>
    <cfRule type="cellIs" dxfId="2616" priority="1603" stopIfTrue="1" operator="lessThan">
      <formula>7</formula>
    </cfRule>
  </conditionalFormatting>
  <conditionalFormatting sqref="M106">
    <cfRule type="cellIs" dxfId="2615" priority="1594" stopIfTrue="1" operator="between">
      <formula>7</formula>
      <formula>14</formula>
    </cfRule>
    <cfRule type="cellIs" dxfId="2614" priority="1595" stopIfTrue="1" operator="lessThan">
      <formula>7</formula>
    </cfRule>
  </conditionalFormatting>
  <conditionalFormatting sqref="M107:M108">
    <cfRule type="cellIs" dxfId="2613" priority="1612" stopIfTrue="1" operator="between">
      <formula>7</formula>
      <formula>14</formula>
    </cfRule>
    <cfRule type="cellIs" dxfId="2612" priority="1613" stopIfTrue="1" operator="lessThan">
      <formula>7</formula>
    </cfRule>
  </conditionalFormatting>
  <conditionalFormatting sqref="M109">
    <cfRule type="cellIs" dxfId="2611" priority="1606" stopIfTrue="1" operator="lessThan">
      <formula>7</formula>
    </cfRule>
    <cfRule type="cellIs" dxfId="2610" priority="1605" stopIfTrue="1" operator="between">
      <formula>7</formula>
      <formula>14</formula>
    </cfRule>
  </conditionalFormatting>
  <conditionalFormatting sqref="M110">
    <cfRule type="cellIs" dxfId="2609" priority="5464" stopIfTrue="1" operator="lessThan">
      <formula>7</formula>
    </cfRule>
  </conditionalFormatting>
  <conditionalFormatting sqref="M110:M111">
    <cfRule type="cellIs" dxfId="2608" priority="5159" stopIfTrue="1" operator="between">
      <formula>7</formula>
      <formula>14</formula>
    </cfRule>
  </conditionalFormatting>
  <conditionalFormatting sqref="M111">
    <cfRule type="cellIs" dxfId="2607" priority="5160" stopIfTrue="1" operator="lessThan">
      <formula>7</formula>
    </cfRule>
  </conditionalFormatting>
  <conditionalFormatting sqref="M112:M113">
    <cfRule type="cellIs" dxfId="2606" priority="1587" stopIfTrue="1" operator="lessThan">
      <formula>7</formula>
    </cfRule>
    <cfRule type="cellIs" dxfId="2605" priority="1586" stopIfTrue="1" operator="between">
      <formula>7</formula>
      <formula>14</formula>
    </cfRule>
  </conditionalFormatting>
  <conditionalFormatting sqref="M114">
    <cfRule type="cellIs" dxfId="2604" priority="1579" stopIfTrue="1" operator="between">
      <formula>7</formula>
      <formula>14</formula>
    </cfRule>
    <cfRule type="cellIs" dxfId="2603" priority="1580" stopIfTrue="1" operator="lessThan">
      <formula>7</formula>
    </cfRule>
  </conditionalFormatting>
  <conditionalFormatting sqref="M115">
    <cfRule type="cellIs" dxfId="2602" priority="5367" stopIfTrue="1" operator="lessThan">
      <formula>7</formula>
    </cfRule>
  </conditionalFormatting>
  <conditionalFormatting sqref="M115:M118">
    <cfRule type="cellIs" dxfId="2601" priority="5363" stopIfTrue="1" operator="between">
      <formula>7</formula>
      <formula>14</formula>
    </cfRule>
  </conditionalFormatting>
  <conditionalFormatting sqref="M116">
    <cfRule type="cellIs" dxfId="2600" priority="5364" stopIfTrue="1" operator="lessThan">
      <formula>7</formula>
    </cfRule>
  </conditionalFormatting>
  <conditionalFormatting sqref="M117">
    <cfRule type="cellIs" dxfId="2599" priority="5458" stopIfTrue="1" operator="lessThan">
      <formula>7</formula>
    </cfRule>
  </conditionalFormatting>
  <conditionalFormatting sqref="M118">
    <cfRule type="cellIs" dxfId="2598" priority="5461" stopIfTrue="1" operator="lessThan">
      <formula>7</formula>
    </cfRule>
  </conditionalFormatting>
  <conditionalFormatting sqref="M119:M122">
    <cfRule type="cellIs" dxfId="2597" priority="2368" stopIfTrue="1" operator="between">
      <formula>7</formula>
      <formula>14</formula>
    </cfRule>
    <cfRule type="cellIs" dxfId="2596" priority="2369" stopIfTrue="1" operator="lessThan">
      <formula>7</formula>
    </cfRule>
  </conditionalFormatting>
  <conditionalFormatting sqref="M123">
    <cfRule type="cellIs" dxfId="2595" priority="5455" stopIfTrue="1" operator="lessThan">
      <formula>7</formula>
    </cfRule>
  </conditionalFormatting>
  <conditionalFormatting sqref="M123:M124">
    <cfRule type="cellIs" dxfId="2594" priority="3430" stopIfTrue="1" operator="between">
      <formula>7</formula>
      <formula>14</formula>
    </cfRule>
  </conditionalFormatting>
  <conditionalFormatting sqref="M124">
    <cfRule type="cellIs" dxfId="2593" priority="3431" stopIfTrue="1" operator="lessThan">
      <formula>7</formula>
    </cfRule>
  </conditionalFormatting>
  <conditionalFormatting sqref="M125">
    <cfRule type="cellIs" dxfId="2592" priority="1556" stopIfTrue="1" operator="between">
      <formula>7</formula>
      <formula>14</formula>
    </cfRule>
    <cfRule type="cellIs" dxfId="2591" priority="1557" stopIfTrue="1" operator="lessThan">
      <formula>7</formula>
    </cfRule>
  </conditionalFormatting>
  <conditionalFormatting sqref="M126">
    <cfRule type="cellIs" dxfId="2590" priority="1550" stopIfTrue="1" operator="lessThan">
      <formula>7</formula>
    </cfRule>
    <cfRule type="cellIs" dxfId="2589" priority="1549" stopIfTrue="1" operator="between">
      <formula>7</formula>
      <formula>14</formula>
    </cfRule>
  </conditionalFormatting>
  <conditionalFormatting sqref="M127">
    <cfRule type="cellIs" dxfId="2588" priority="5341" stopIfTrue="1" operator="lessThan">
      <formula>7</formula>
    </cfRule>
  </conditionalFormatting>
  <conditionalFormatting sqref="M127:M130">
    <cfRule type="cellIs" dxfId="2587" priority="3423" stopIfTrue="1" operator="between">
      <formula>7</formula>
      <formula>14</formula>
    </cfRule>
  </conditionalFormatting>
  <conditionalFormatting sqref="M128">
    <cfRule type="cellIs" dxfId="2586" priority="3424" stopIfTrue="1" operator="lessThan">
      <formula>7</formula>
    </cfRule>
  </conditionalFormatting>
  <conditionalFormatting sqref="M129">
    <cfRule type="cellIs" dxfId="2585" priority="5452" stopIfTrue="1" operator="lessThan">
      <formula>7</formula>
    </cfRule>
  </conditionalFormatting>
  <conditionalFormatting sqref="M130">
    <cfRule type="cellIs" dxfId="2584" priority="5153" stopIfTrue="1" operator="lessThan">
      <formula>7</formula>
    </cfRule>
  </conditionalFormatting>
  <conditionalFormatting sqref="M131">
    <cfRule type="cellIs" dxfId="2583" priority="1547" stopIfTrue="1" operator="lessThan">
      <formula>7</formula>
    </cfRule>
    <cfRule type="cellIs" dxfId="2582" priority="1546" stopIfTrue="1" operator="between">
      <formula>7</formula>
      <formula>14</formula>
    </cfRule>
  </conditionalFormatting>
  <conditionalFormatting sqref="M132">
    <cfRule type="cellIs" dxfId="2581" priority="1539" stopIfTrue="1" operator="lessThan">
      <formula>7</formula>
    </cfRule>
    <cfRule type="cellIs" dxfId="2580" priority="1538" stopIfTrue="1" operator="between">
      <formula>7</formula>
      <formula>14</formula>
    </cfRule>
  </conditionalFormatting>
  <conditionalFormatting sqref="M133">
    <cfRule type="cellIs" dxfId="2579" priority="1535" stopIfTrue="1" operator="between">
      <formula>7</formula>
      <formula>14</formula>
    </cfRule>
    <cfRule type="cellIs" dxfId="2578" priority="1536" stopIfTrue="1" operator="lessThan">
      <formula>7</formula>
    </cfRule>
  </conditionalFormatting>
  <conditionalFormatting sqref="M134">
    <cfRule type="cellIs" dxfId="2577" priority="1528" stopIfTrue="1" operator="lessThan">
      <formula>7</formula>
    </cfRule>
    <cfRule type="cellIs" dxfId="2576" priority="1527" stopIfTrue="1" operator="between">
      <formula>7</formula>
      <formula>14</formula>
    </cfRule>
  </conditionalFormatting>
  <conditionalFormatting sqref="M135">
    <cfRule type="cellIs" dxfId="2575" priority="1525" stopIfTrue="1" operator="lessThan">
      <formula>7</formula>
    </cfRule>
    <cfRule type="cellIs" dxfId="2574" priority="1524" stopIfTrue="1" operator="between">
      <formula>7</formula>
      <formula>14</formula>
    </cfRule>
  </conditionalFormatting>
  <conditionalFormatting sqref="M136">
    <cfRule type="cellIs" dxfId="2573" priority="1516" stopIfTrue="1" operator="between">
      <formula>7</formula>
      <formula>14</formula>
    </cfRule>
    <cfRule type="cellIs" dxfId="2572" priority="1517" stopIfTrue="1" operator="lessThan">
      <formula>7</formula>
    </cfRule>
  </conditionalFormatting>
  <conditionalFormatting sqref="M137:M138">
    <cfRule type="cellIs" dxfId="2571" priority="536" stopIfTrue="1" operator="between">
      <formula>7</formula>
      <formula>14</formula>
    </cfRule>
    <cfRule type="cellIs" dxfId="2570" priority="537" stopIfTrue="1" operator="lessThan">
      <formula>7</formula>
    </cfRule>
  </conditionalFormatting>
  <conditionalFormatting sqref="M139:M140">
    <cfRule type="cellIs" dxfId="2569" priority="528" stopIfTrue="1" operator="between">
      <formula>7</formula>
      <formula>14</formula>
    </cfRule>
    <cfRule type="cellIs" dxfId="2568" priority="529" stopIfTrue="1" operator="lessThan">
      <formula>7</formula>
    </cfRule>
  </conditionalFormatting>
  <conditionalFormatting sqref="M141:M142">
    <cfRule type="cellIs" dxfId="2567" priority="520" stopIfTrue="1" operator="between">
      <formula>7</formula>
      <formula>14</formula>
    </cfRule>
    <cfRule type="cellIs" dxfId="2566" priority="521" stopIfTrue="1" operator="lessThan">
      <formula>7</formula>
    </cfRule>
  </conditionalFormatting>
  <conditionalFormatting sqref="M143:M144">
    <cfRule type="cellIs" dxfId="2565" priority="513" stopIfTrue="1" operator="lessThan">
      <formula>7</formula>
    </cfRule>
    <cfRule type="cellIs" dxfId="2564" priority="512" stopIfTrue="1" operator="between">
      <formula>7</formula>
      <formula>14</formula>
    </cfRule>
  </conditionalFormatting>
  <conditionalFormatting sqref="M145">
    <cfRule type="cellIs" dxfId="2563" priority="5393" stopIfTrue="1" operator="between">
      <formula>7</formula>
      <formula>14</formula>
    </cfRule>
    <cfRule type="cellIs" dxfId="2562" priority="5394" stopIfTrue="1" operator="lessThan">
      <formula>7</formula>
    </cfRule>
  </conditionalFormatting>
  <conditionalFormatting sqref="M148">
    <cfRule type="cellIs" dxfId="2561" priority="2752" stopIfTrue="1" operator="lessThan">
      <formula>7</formula>
    </cfRule>
  </conditionalFormatting>
  <conditionalFormatting sqref="M148:M156">
    <cfRule type="cellIs" dxfId="2560" priority="2651" stopIfTrue="1" operator="between">
      <formula>7</formula>
      <formula>14</formula>
    </cfRule>
  </conditionalFormatting>
  <conditionalFormatting sqref="M148:M199">
    <cfRule type="cellIs" dxfId="2559" priority="34" stopIfTrue="1" operator="greaterThanOrEqual">
      <formula>15</formula>
    </cfRule>
  </conditionalFormatting>
  <conditionalFormatting sqref="M149:M151">
    <cfRule type="cellIs" dxfId="2558" priority="2745" stopIfTrue="1" operator="lessThan">
      <formula>7</formula>
    </cfRule>
  </conditionalFormatting>
  <conditionalFormatting sqref="M152">
    <cfRule type="cellIs" dxfId="2557" priority="2874" stopIfTrue="1" operator="lessThan">
      <formula>7</formula>
    </cfRule>
  </conditionalFormatting>
  <conditionalFormatting sqref="M153">
    <cfRule type="cellIs" dxfId="2556" priority="2881" stopIfTrue="1" operator="lessThan">
      <formula>7</formula>
    </cfRule>
  </conditionalFormatting>
  <conditionalFormatting sqref="M154">
    <cfRule type="cellIs" dxfId="2555" priority="2738" stopIfTrue="1" operator="lessThan">
      <formula>7</formula>
    </cfRule>
  </conditionalFormatting>
  <conditionalFormatting sqref="M155">
    <cfRule type="cellIs" dxfId="2554" priority="2801" stopIfTrue="1" operator="lessThan">
      <formula>7</formula>
    </cfRule>
  </conditionalFormatting>
  <conditionalFormatting sqref="M156">
    <cfRule type="cellIs" dxfId="2553" priority="2652" stopIfTrue="1" operator="lessThan">
      <formula>7</formula>
    </cfRule>
  </conditionalFormatting>
  <conditionalFormatting sqref="M157:M158">
    <cfRule type="cellIs" dxfId="2552" priority="1508" stopIfTrue="1" operator="between">
      <formula>7</formula>
      <formula>14</formula>
    </cfRule>
    <cfRule type="cellIs" dxfId="2551" priority="1509" stopIfTrue="1" operator="lessThan">
      <formula>7</formula>
    </cfRule>
  </conditionalFormatting>
  <conditionalFormatting sqref="M159">
    <cfRule type="cellIs" dxfId="2550" priority="2735" stopIfTrue="1" operator="lessThan">
      <formula>7</formula>
    </cfRule>
  </conditionalFormatting>
  <conditionalFormatting sqref="M159:M160">
    <cfRule type="cellIs" dxfId="2549" priority="2648" stopIfTrue="1" operator="between">
      <formula>7</formula>
      <formula>14</formula>
    </cfRule>
  </conditionalFormatting>
  <conditionalFormatting sqref="M160">
    <cfRule type="cellIs" dxfId="2548" priority="2649" stopIfTrue="1" operator="lessThan">
      <formula>7</formula>
    </cfRule>
  </conditionalFormatting>
  <conditionalFormatting sqref="M161">
    <cfRule type="cellIs" dxfId="2547" priority="35" stopIfTrue="1" operator="between">
      <formula>7</formula>
      <formula>14</formula>
    </cfRule>
    <cfRule type="cellIs" dxfId="2546" priority="36" stopIfTrue="1" operator="lessThan">
      <formula>7</formula>
    </cfRule>
  </conditionalFormatting>
  <conditionalFormatting sqref="M162">
    <cfRule type="cellIs" dxfId="2545" priority="2732" stopIfTrue="1" operator="lessThan">
      <formula>7</formula>
    </cfRule>
  </conditionalFormatting>
  <conditionalFormatting sqref="M162:M164">
    <cfRule type="cellIs" dxfId="2544" priority="2641" stopIfTrue="1" operator="between">
      <formula>7</formula>
      <formula>14</formula>
    </cfRule>
  </conditionalFormatting>
  <conditionalFormatting sqref="M163">
    <cfRule type="cellIs" dxfId="2543" priority="2642" stopIfTrue="1" operator="lessThan">
      <formula>7</formula>
    </cfRule>
  </conditionalFormatting>
  <conditionalFormatting sqref="M164">
    <cfRule type="cellIs" dxfId="2542" priority="2798" stopIfTrue="1" operator="lessThan">
      <formula>7</formula>
    </cfRule>
  </conditionalFormatting>
  <conditionalFormatting sqref="M166">
    <cfRule type="cellIs" dxfId="2541" priority="234" stopIfTrue="1" operator="between">
      <formula>7</formula>
      <formula>14</formula>
    </cfRule>
    <cfRule type="cellIs" dxfId="2540" priority="235" stopIfTrue="1" operator="lessThan">
      <formula>7</formula>
    </cfRule>
  </conditionalFormatting>
  <conditionalFormatting sqref="M167">
    <cfRule type="cellIs" dxfId="2539" priority="227" stopIfTrue="1" operator="between">
      <formula>7</formula>
      <formula>14</formula>
    </cfRule>
    <cfRule type="cellIs" dxfId="2538" priority="228" stopIfTrue="1" operator="lessThan">
      <formula>7</formula>
    </cfRule>
  </conditionalFormatting>
  <conditionalFormatting sqref="M168">
    <cfRule type="cellIs" dxfId="2537" priority="1464" stopIfTrue="1" operator="between">
      <formula>7</formula>
      <formula>14</formula>
    </cfRule>
    <cfRule type="cellIs" dxfId="2536" priority="1465" stopIfTrue="1" operator="lessThan">
      <formula>7</formula>
    </cfRule>
  </conditionalFormatting>
  <conditionalFormatting sqref="M169">
    <cfRule type="cellIs" dxfId="2535" priority="1457" stopIfTrue="1" operator="lessThan">
      <formula>7</formula>
    </cfRule>
    <cfRule type="cellIs" dxfId="2534" priority="1456" stopIfTrue="1" operator="between">
      <formula>7</formula>
      <formula>14</formula>
    </cfRule>
  </conditionalFormatting>
  <conditionalFormatting sqref="M173">
    <cfRule type="cellIs" dxfId="2533" priority="2452" stopIfTrue="1" operator="between">
      <formula>7</formula>
      <formula>14</formula>
    </cfRule>
    <cfRule type="cellIs" dxfId="2532" priority="2453" stopIfTrue="1" operator="lessThan">
      <formula>7</formula>
    </cfRule>
  </conditionalFormatting>
  <conditionalFormatting sqref="M176">
    <cfRule type="cellIs" dxfId="2531" priority="2725" stopIfTrue="1" operator="lessThan">
      <formula>7</formula>
    </cfRule>
  </conditionalFormatting>
  <conditionalFormatting sqref="M176:M190 M192:M193">
    <cfRule type="cellIs" dxfId="2530" priority="2592" stopIfTrue="1" operator="between">
      <formula>7</formula>
      <formula>14</formula>
    </cfRule>
  </conditionalFormatting>
  <conditionalFormatting sqref="M177">
    <cfRule type="cellIs" dxfId="2529" priority="2635" stopIfTrue="1" operator="lessThan">
      <formula>7</formula>
    </cfRule>
  </conditionalFormatting>
  <conditionalFormatting sqref="M178">
    <cfRule type="cellIs" dxfId="2528" priority="2718" stopIfTrue="1" operator="lessThan">
      <formula>7</formula>
    </cfRule>
  </conditionalFormatting>
  <conditionalFormatting sqref="M179">
    <cfRule type="cellIs" dxfId="2527" priority="2628" stopIfTrue="1" operator="lessThan">
      <formula>7</formula>
    </cfRule>
  </conditionalFormatting>
  <conditionalFormatting sqref="M180">
    <cfRule type="cellIs" dxfId="2526" priority="2711" stopIfTrue="1" operator="lessThan">
      <formula>7</formula>
    </cfRule>
  </conditionalFormatting>
  <conditionalFormatting sqref="M181">
    <cfRule type="cellIs" dxfId="2525" priority="2621" stopIfTrue="1" operator="lessThan">
      <formula>7</formula>
    </cfRule>
  </conditionalFormatting>
  <conditionalFormatting sqref="M182">
    <cfRule type="cellIs" dxfId="2524" priority="2792" stopIfTrue="1" operator="lessThan">
      <formula>7</formula>
    </cfRule>
  </conditionalFormatting>
  <conditionalFormatting sqref="M183">
    <cfRule type="cellIs" dxfId="2523" priority="2614" stopIfTrue="1" operator="lessThan">
      <formula>7</formula>
    </cfRule>
  </conditionalFormatting>
  <conditionalFormatting sqref="M184">
    <cfRule type="cellIs" dxfId="2522" priority="2668" stopIfTrue="1" operator="lessThan">
      <formula>7</formula>
    </cfRule>
  </conditionalFormatting>
  <conditionalFormatting sqref="M185">
    <cfRule type="cellIs" dxfId="2521" priority="2607" stopIfTrue="1" operator="lessThan">
      <formula>7</formula>
    </cfRule>
  </conditionalFormatting>
  <conditionalFormatting sqref="M186">
    <cfRule type="cellIs" dxfId="2520" priority="2600" stopIfTrue="1" operator="lessThan">
      <formula>7</formula>
    </cfRule>
  </conditionalFormatting>
  <conditionalFormatting sqref="M187:M190 M192:M193 M195:M196">
    <cfRule type="cellIs" dxfId="2519" priority="2593" stopIfTrue="1" operator="lessThan">
      <formula>7</formula>
    </cfRule>
  </conditionalFormatting>
  <conditionalFormatting sqref="M191">
    <cfRule type="cellIs" dxfId="2518" priority="2445" stopIfTrue="1" operator="between">
      <formula>7</formula>
      <formula>14</formula>
    </cfRule>
    <cfRule type="cellIs" dxfId="2517" priority="2446" stopIfTrue="1" operator="lessThan">
      <formula>7</formula>
    </cfRule>
  </conditionalFormatting>
  <conditionalFormatting sqref="M194">
    <cfRule type="cellIs" dxfId="2516" priority="2438" stopIfTrue="1" operator="between">
      <formula>7</formula>
      <formula>14</formula>
    </cfRule>
    <cfRule type="cellIs" dxfId="2515" priority="2439" stopIfTrue="1" operator="lessThan">
      <formula>7</formula>
    </cfRule>
  </conditionalFormatting>
  <conditionalFormatting sqref="M195:M197">
    <cfRule type="cellIs" dxfId="2514" priority="2585" stopIfTrue="1" operator="between">
      <formula>7</formula>
      <formula>14</formula>
    </cfRule>
  </conditionalFormatting>
  <conditionalFormatting sqref="M197">
    <cfRule type="cellIs" dxfId="2513" priority="2586" stopIfTrue="1" operator="lessThan">
      <formula>7</formula>
    </cfRule>
  </conditionalFormatting>
  <conditionalFormatting sqref="M198">
    <cfRule type="cellIs" dxfId="2512" priority="2578" stopIfTrue="1" operator="between">
      <formula>7</formula>
      <formula>14</formula>
    </cfRule>
    <cfRule type="cellIs" dxfId="2511" priority="2579" stopIfTrue="1" operator="lessThan">
      <formula>7</formula>
    </cfRule>
  </conditionalFormatting>
  <conditionalFormatting sqref="M199">
    <cfRule type="cellIs" dxfId="2510" priority="2572" stopIfTrue="1" operator="lessThan">
      <formula>7</formula>
    </cfRule>
    <cfRule type="cellIs" dxfId="2509" priority="2571" stopIfTrue="1" operator="between">
      <formula>7</formula>
      <formula>14</formula>
    </cfRule>
  </conditionalFormatting>
  <conditionalFormatting sqref="M201">
    <cfRule type="cellIs" dxfId="2508" priority="2704" stopIfTrue="1" operator="lessThan">
      <formula>7</formula>
    </cfRule>
  </conditionalFormatting>
  <conditionalFormatting sqref="M201:M204">
    <cfRule type="cellIs" dxfId="2507" priority="2697" stopIfTrue="1" operator="between">
      <formula>7</formula>
      <formula>14</formula>
    </cfRule>
  </conditionalFormatting>
  <conditionalFormatting sqref="M201:M229">
    <cfRule type="cellIs" dxfId="2506" priority="146" stopIfTrue="1" operator="greaterThanOrEqual">
      <formula>15</formula>
    </cfRule>
  </conditionalFormatting>
  <conditionalFormatting sqref="M202">
    <cfRule type="cellIs" dxfId="2505" priority="2698" stopIfTrue="1" operator="lessThan">
      <formula>7</formula>
    </cfRule>
  </conditionalFormatting>
  <conditionalFormatting sqref="M203">
    <cfRule type="cellIs" dxfId="2504" priority="2831" stopIfTrue="1" operator="lessThan">
      <formula>7</formula>
    </cfRule>
  </conditionalFormatting>
  <conditionalFormatting sqref="M204">
    <cfRule type="cellIs" dxfId="2503" priority="2789" stopIfTrue="1" operator="lessThan">
      <formula>7</formula>
    </cfRule>
  </conditionalFormatting>
  <conditionalFormatting sqref="M205">
    <cfRule type="cellIs" dxfId="2502" priority="2564" stopIfTrue="1" operator="between">
      <formula>7</formula>
      <formula>14</formula>
    </cfRule>
    <cfRule type="cellIs" dxfId="2501" priority="2565" stopIfTrue="1" operator="lessThan">
      <formula>7</formula>
    </cfRule>
  </conditionalFormatting>
  <conditionalFormatting sqref="M206">
    <cfRule type="cellIs" dxfId="2500" priority="2804" stopIfTrue="1" operator="lessThan">
      <formula>7</formula>
    </cfRule>
    <cfRule type="cellIs" dxfId="2499" priority="2803" stopIfTrue="1" operator="between">
      <formula>7</formula>
      <formula>14</formula>
    </cfRule>
  </conditionalFormatting>
  <conditionalFormatting sqref="M207">
    <cfRule type="cellIs" dxfId="2498" priority="2558" stopIfTrue="1" operator="lessThan">
      <formula>7</formula>
    </cfRule>
    <cfRule type="cellIs" dxfId="2497" priority="2557" stopIfTrue="1" operator="between">
      <formula>7</formula>
      <formula>14</formula>
    </cfRule>
  </conditionalFormatting>
  <conditionalFormatting sqref="M208">
    <cfRule type="cellIs" dxfId="2496" priority="2695" stopIfTrue="1" operator="lessThan">
      <formula>7</formula>
    </cfRule>
    <cfRule type="cellIs" dxfId="2495" priority="2694" stopIfTrue="1" operator="between">
      <formula>7</formula>
      <formula>14</formula>
    </cfRule>
  </conditionalFormatting>
  <conditionalFormatting sqref="M209">
    <cfRule type="cellIs" dxfId="2494" priority="2550" stopIfTrue="1" operator="between">
      <formula>7</formula>
      <formula>14</formula>
    </cfRule>
    <cfRule type="cellIs" dxfId="2493" priority="2551" stopIfTrue="1" operator="lessThan">
      <formula>7</formula>
    </cfRule>
  </conditionalFormatting>
  <conditionalFormatting sqref="M210">
    <cfRule type="cellIs" dxfId="2492" priority="2691" stopIfTrue="1" operator="between">
      <formula>7</formula>
      <formula>14</formula>
    </cfRule>
    <cfRule type="cellIs" dxfId="2491" priority="2692" stopIfTrue="1" operator="lessThan">
      <formula>7</formula>
    </cfRule>
  </conditionalFormatting>
  <conditionalFormatting sqref="M211">
    <cfRule type="cellIs" dxfId="2490" priority="2544" stopIfTrue="1" operator="lessThan">
      <formula>7</formula>
    </cfRule>
    <cfRule type="cellIs" dxfId="2489" priority="2543" stopIfTrue="1" operator="between">
      <formula>7</formula>
      <formula>14</formula>
    </cfRule>
  </conditionalFormatting>
  <conditionalFormatting sqref="M212">
    <cfRule type="cellIs" dxfId="2488" priority="2786" stopIfTrue="1" operator="lessThan">
      <formula>7</formula>
    </cfRule>
    <cfRule type="cellIs" dxfId="2487" priority="2785" stopIfTrue="1" operator="between">
      <formula>7</formula>
      <formula>14</formula>
    </cfRule>
  </conditionalFormatting>
  <conditionalFormatting sqref="M213">
    <cfRule type="cellIs" dxfId="2486" priority="2536" stopIfTrue="1" operator="between">
      <formula>7</formula>
      <formula>14</formula>
    </cfRule>
    <cfRule type="cellIs" dxfId="2485" priority="2537" stopIfTrue="1" operator="lessThan">
      <formula>7</formula>
    </cfRule>
  </conditionalFormatting>
  <conditionalFormatting sqref="M214">
    <cfRule type="cellIs" dxfId="2484" priority="2782" stopIfTrue="1" operator="between">
      <formula>7</formula>
      <formula>14</formula>
    </cfRule>
    <cfRule type="cellIs" dxfId="2483" priority="2783" stopIfTrue="1" operator="lessThan">
      <formula>7</formula>
    </cfRule>
  </conditionalFormatting>
  <conditionalFormatting sqref="M215">
    <cfRule type="cellIs" dxfId="2482" priority="2529" stopIfTrue="1" operator="between">
      <formula>7</formula>
      <formula>14</formula>
    </cfRule>
    <cfRule type="cellIs" dxfId="2481" priority="2530" stopIfTrue="1" operator="lessThan">
      <formula>7</formula>
    </cfRule>
  </conditionalFormatting>
  <conditionalFormatting sqref="M216">
    <cfRule type="cellIs" dxfId="2480" priority="2794" stopIfTrue="1" operator="between">
      <formula>7</formula>
      <formula>14</formula>
    </cfRule>
    <cfRule type="cellIs" dxfId="2479" priority="2795" stopIfTrue="1" operator="lessThan">
      <formula>7</formula>
    </cfRule>
  </conditionalFormatting>
  <conditionalFormatting sqref="M217">
    <cfRule type="cellIs" dxfId="2478" priority="2523" stopIfTrue="1" operator="lessThan">
      <formula>7</formula>
    </cfRule>
    <cfRule type="cellIs" dxfId="2477" priority="2522" stopIfTrue="1" operator="between">
      <formula>7</formula>
      <formula>14</formula>
    </cfRule>
  </conditionalFormatting>
  <conditionalFormatting sqref="M218">
    <cfRule type="cellIs" dxfId="2476" priority="2665" stopIfTrue="1" operator="lessThan">
      <formula>7</formula>
    </cfRule>
  </conditionalFormatting>
  <conditionalFormatting sqref="M218:M220">
    <cfRule type="cellIs" dxfId="2475" priority="2657" stopIfTrue="1" operator="between">
      <formula>7</formula>
      <formula>14</formula>
    </cfRule>
  </conditionalFormatting>
  <conditionalFormatting sqref="M219">
    <cfRule type="cellIs" dxfId="2474" priority="2658" stopIfTrue="1" operator="lessThan">
      <formula>7</formula>
    </cfRule>
  </conditionalFormatting>
  <conditionalFormatting sqref="M220">
    <cfRule type="cellIs" dxfId="2473" priority="2780" stopIfTrue="1" operator="lessThan">
      <formula>7</formula>
    </cfRule>
  </conditionalFormatting>
  <conditionalFormatting sqref="M221">
    <cfRule type="cellIs" dxfId="2472" priority="2515" stopIfTrue="1" operator="between">
      <formula>7</formula>
      <formula>14</formula>
    </cfRule>
    <cfRule type="cellIs" dxfId="2471" priority="2516" stopIfTrue="1" operator="lessThan">
      <formula>7</formula>
    </cfRule>
  </conditionalFormatting>
  <conditionalFormatting sqref="M222">
    <cfRule type="cellIs" dxfId="2470" priority="155" stopIfTrue="1" operator="lessThan">
      <formula>7</formula>
    </cfRule>
    <cfRule type="cellIs" dxfId="2469" priority="154" stopIfTrue="1" operator="between">
      <formula>7</formula>
      <formula>14</formula>
    </cfRule>
  </conditionalFormatting>
  <conditionalFormatting sqref="M223">
    <cfRule type="cellIs" dxfId="2468" priority="148" stopIfTrue="1" operator="lessThan">
      <formula>7</formula>
    </cfRule>
    <cfRule type="cellIs" dxfId="2467" priority="147" stopIfTrue="1" operator="between">
      <formula>7</formula>
      <formula>14</formula>
    </cfRule>
  </conditionalFormatting>
  <conditionalFormatting sqref="M224">
    <cfRule type="cellIs" dxfId="2466" priority="1393" stopIfTrue="1" operator="lessThan">
      <formula>7</formula>
    </cfRule>
    <cfRule type="cellIs" dxfId="2465" priority="1392" stopIfTrue="1" operator="between">
      <formula>7</formula>
      <formula>14</formula>
    </cfRule>
  </conditionalFormatting>
  <conditionalFormatting sqref="M225">
    <cfRule type="cellIs" dxfId="2464" priority="1385" stopIfTrue="1" operator="between">
      <formula>7</formula>
      <formula>14</formula>
    </cfRule>
    <cfRule type="cellIs" dxfId="2463" priority="1386" stopIfTrue="1" operator="lessThan">
      <formula>7</formula>
    </cfRule>
  </conditionalFormatting>
  <conditionalFormatting sqref="M226">
    <cfRule type="cellIs" dxfId="2462" priority="1382" stopIfTrue="1" operator="between">
      <formula>7</formula>
      <formula>14</formula>
    </cfRule>
    <cfRule type="cellIs" dxfId="2461" priority="1383" stopIfTrue="1" operator="lessThan">
      <formula>7</formula>
    </cfRule>
  </conditionalFormatting>
  <conditionalFormatting sqref="M227">
    <cfRule type="cellIs" dxfId="2460" priority="1379" stopIfTrue="1" operator="between">
      <formula>7</formula>
      <formula>14</formula>
    </cfRule>
    <cfRule type="cellIs" dxfId="2459" priority="1380" stopIfTrue="1" operator="lessThan">
      <formula>7</formula>
    </cfRule>
  </conditionalFormatting>
  <conditionalFormatting sqref="M228">
    <cfRule type="cellIs" dxfId="2458" priority="2688" stopIfTrue="1" operator="between">
      <formula>7</formula>
      <formula>14</formula>
    </cfRule>
    <cfRule type="cellIs" dxfId="2457" priority="2689" stopIfTrue="1" operator="lessThan">
      <formula>7</formula>
    </cfRule>
  </conditionalFormatting>
  <conditionalFormatting sqref="M229">
    <cfRule type="cellIs" dxfId="2456" priority="2508" stopIfTrue="1" operator="between">
      <formula>7</formula>
      <formula>14</formula>
    </cfRule>
    <cfRule type="cellIs" dxfId="2455" priority="2509" stopIfTrue="1" operator="lessThan">
      <formula>7</formula>
    </cfRule>
  </conditionalFormatting>
  <conditionalFormatting sqref="M231:M232">
    <cfRule type="cellIs" dxfId="2454" priority="2686" stopIfTrue="1" operator="lessThan">
      <formula>7</formula>
    </cfRule>
  </conditionalFormatting>
  <conditionalFormatting sqref="M231:M233">
    <cfRule type="cellIs" dxfId="2453" priority="2682" stopIfTrue="1" operator="between">
      <formula>7</formula>
      <formula>14</formula>
    </cfRule>
  </conditionalFormatting>
  <conditionalFormatting sqref="M231:M287">
    <cfRule type="cellIs" dxfId="2452" priority="479" stopIfTrue="1" operator="greaterThanOrEqual">
      <formula>15</formula>
    </cfRule>
  </conditionalFormatting>
  <conditionalFormatting sqref="M233">
    <cfRule type="cellIs" dxfId="2451" priority="2683" stopIfTrue="1" operator="lessThan">
      <formula>7</formula>
    </cfRule>
  </conditionalFormatting>
  <conditionalFormatting sqref="M234">
    <cfRule type="cellIs" dxfId="2450" priority="2155" stopIfTrue="1" operator="lessThan">
      <formula>7</formula>
    </cfRule>
    <cfRule type="cellIs" dxfId="2449" priority="2154" stopIfTrue="1" operator="between">
      <formula>7</formula>
      <formula>14</formula>
    </cfRule>
  </conditionalFormatting>
  <conditionalFormatting sqref="M235">
    <cfRule type="cellIs" dxfId="2448" priority="2152" stopIfTrue="1" operator="lessThan">
      <formula>7</formula>
    </cfRule>
    <cfRule type="cellIs" dxfId="2447" priority="2151" stopIfTrue="1" operator="between">
      <formula>7</formula>
      <formula>14</formula>
    </cfRule>
  </conditionalFormatting>
  <conditionalFormatting sqref="M236">
    <cfRule type="cellIs" dxfId="2446" priority="2680" stopIfTrue="1" operator="lessThan">
      <formula>7</formula>
    </cfRule>
  </conditionalFormatting>
  <conditionalFormatting sqref="M236:M237">
    <cfRule type="cellIs" dxfId="2445" priority="2676" stopIfTrue="1" operator="between">
      <formula>7</formula>
      <formula>14</formula>
    </cfRule>
  </conditionalFormatting>
  <conditionalFormatting sqref="M237">
    <cfRule type="cellIs" dxfId="2444" priority="2677" stopIfTrue="1" operator="lessThan">
      <formula>7</formula>
    </cfRule>
  </conditionalFormatting>
  <conditionalFormatting sqref="M238">
    <cfRule type="cellIs" dxfId="2443" priority="2502" stopIfTrue="1" operator="lessThan">
      <formula>7</formula>
    </cfRule>
    <cfRule type="cellIs" dxfId="2442" priority="2501" stopIfTrue="1" operator="between">
      <formula>7</formula>
      <formula>14</formula>
    </cfRule>
  </conditionalFormatting>
  <conditionalFormatting sqref="M239">
    <cfRule type="cellIs" dxfId="2441" priority="2776" stopIfTrue="1" operator="between">
      <formula>7</formula>
      <formula>14</formula>
    </cfRule>
    <cfRule type="cellIs" dxfId="2440" priority="2777" stopIfTrue="1" operator="lessThan">
      <formula>7</formula>
    </cfRule>
  </conditionalFormatting>
  <conditionalFormatting sqref="M240">
    <cfRule type="cellIs" dxfId="2439" priority="2494" stopIfTrue="1" operator="between">
      <formula>7</formula>
      <formula>14</formula>
    </cfRule>
    <cfRule type="cellIs" dxfId="2438" priority="2495" stopIfTrue="1" operator="lessThan">
      <formula>7</formula>
    </cfRule>
  </conditionalFormatting>
  <conditionalFormatting sqref="M241">
    <cfRule type="cellIs" dxfId="2437" priority="2774" stopIfTrue="1" operator="lessThan">
      <formula>7</formula>
    </cfRule>
    <cfRule type="cellIs" dxfId="2436" priority="2773" stopIfTrue="1" operator="between">
      <formula>7</formula>
      <formula>14</formula>
    </cfRule>
  </conditionalFormatting>
  <conditionalFormatting sqref="M242">
    <cfRule type="cellIs" dxfId="2435" priority="2488" stopIfTrue="1" operator="lessThan">
      <formula>7</formula>
    </cfRule>
    <cfRule type="cellIs" dxfId="2434" priority="2487" stopIfTrue="1" operator="between">
      <formula>7</formula>
      <formula>14</formula>
    </cfRule>
  </conditionalFormatting>
  <conditionalFormatting sqref="M243">
    <cfRule type="cellIs" dxfId="2433" priority="1065" stopIfTrue="1" operator="between">
      <formula>7</formula>
      <formula>14</formula>
    </cfRule>
    <cfRule type="cellIs" dxfId="2432" priority="1066" stopIfTrue="1" operator="lessThan">
      <formula>7</formula>
    </cfRule>
  </conditionalFormatting>
  <conditionalFormatting sqref="M244">
    <cfRule type="cellIs" dxfId="2431" priority="1059" stopIfTrue="1" operator="lessThan">
      <formula>7</formula>
    </cfRule>
    <cfRule type="cellIs" dxfId="2430" priority="1058" stopIfTrue="1" operator="between">
      <formula>7</formula>
      <formula>14</formula>
    </cfRule>
  </conditionalFormatting>
  <conditionalFormatting sqref="M245">
    <cfRule type="cellIs" dxfId="2429" priority="1040" stopIfTrue="1" operator="between">
      <formula>7</formula>
      <formula>14</formula>
    </cfRule>
    <cfRule type="cellIs" dxfId="2428" priority="1041" stopIfTrue="1" operator="lessThan">
      <formula>7</formula>
    </cfRule>
  </conditionalFormatting>
  <conditionalFormatting sqref="M246">
    <cfRule type="cellIs" dxfId="2427" priority="1032" stopIfTrue="1" operator="between">
      <formula>7</formula>
      <formula>14</formula>
    </cfRule>
    <cfRule type="cellIs" dxfId="2426" priority="1033" stopIfTrue="1" operator="lessThan">
      <formula>7</formula>
    </cfRule>
  </conditionalFormatting>
  <conditionalFormatting sqref="M247:M248">
    <cfRule type="cellIs" dxfId="2425" priority="1050" stopIfTrue="1" operator="between">
      <formula>7</formula>
      <formula>14</formula>
    </cfRule>
    <cfRule type="cellIs" dxfId="2424" priority="1051" stopIfTrue="1" operator="lessThan">
      <formula>7</formula>
    </cfRule>
  </conditionalFormatting>
  <conditionalFormatting sqref="M249">
    <cfRule type="cellIs" dxfId="2423" priority="1044" stopIfTrue="1" operator="lessThan">
      <formula>7</formula>
    </cfRule>
    <cfRule type="cellIs" dxfId="2422" priority="1043" stopIfTrue="1" operator="between">
      <formula>7</formula>
      <formula>14</formula>
    </cfRule>
  </conditionalFormatting>
  <conditionalFormatting sqref="M250">
    <cfRule type="cellIs" dxfId="2421" priority="2770" stopIfTrue="1" operator="between">
      <formula>7</formula>
      <formula>14</formula>
    </cfRule>
    <cfRule type="cellIs" dxfId="2420" priority="2771" stopIfTrue="1" operator="lessThan">
      <formula>7</formula>
    </cfRule>
  </conditionalFormatting>
  <conditionalFormatting sqref="M251">
    <cfRule type="cellIs" dxfId="2419" priority="2480" stopIfTrue="1" operator="between">
      <formula>7</formula>
      <formula>14</formula>
    </cfRule>
    <cfRule type="cellIs" dxfId="2418" priority="2481" stopIfTrue="1" operator="lessThan">
      <formula>7</formula>
    </cfRule>
  </conditionalFormatting>
  <conditionalFormatting sqref="M252:M253">
    <cfRule type="cellIs" dxfId="2417" priority="928" stopIfTrue="1" operator="lessThan">
      <formula>7</formula>
    </cfRule>
    <cfRule type="cellIs" dxfId="2416" priority="927" stopIfTrue="1" operator="between">
      <formula>7</formula>
      <formula>14</formula>
    </cfRule>
  </conditionalFormatting>
  <conditionalFormatting sqref="M254">
    <cfRule type="cellIs" dxfId="2415" priority="921" stopIfTrue="1" operator="lessThan">
      <formula>7</formula>
    </cfRule>
    <cfRule type="cellIs" dxfId="2414" priority="920" stopIfTrue="1" operator="between">
      <formula>7</formula>
      <formula>14</formula>
    </cfRule>
  </conditionalFormatting>
  <conditionalFormatting sqref="M255">
    <cfRule type="cellIs" dxfId="2413" priority="2674" stopIfTrue="1" operator="lessThan">
      <formula>7</formula>
    </cfRule>
  </conditionalFormatting>
  <conditionalFormatting sqref="M255:M263">
    <cfRule type="cellIs" dxfId="2412" priority="2670" stopIfTrue="1" operator="between">
      <formula>7</formula>
      <formula>14</formula>
    </cfRule>
  </conditionalFormatting>
  <conditionalFormatting sqref="M256">
    <cfRule type="cellIs" dxfId="2411" priority="2671" stopIfTrue="1" operator="lessThan">
      <formula>7</formula>
    </cfRule>
  </conditionalFormatting>
  <conditionalFormatting sqref="M257">
    <cfRule type="cellIs" dxfId="2410" priority="2765" stopIfTrue="1" operator="lessThan">
      <formula>7</formula>
    </cfRule>
  </conditionalFormatting>
  <conditionalFormatting sqref="M258:M262">
    <cfRule type="cellIs" dxfId="2409" priority="2768" stopIfTrue="1" operator="lessThan">
      <formula>7</formula>
    </cfRule>
  </conditionalFormatting>
  <conditionalFormatting sqref="M263">
    <cfRule type="cellIs" dxfId="2408" priority="2762" stopIfTrue="1" operator="lessThan">
      <formula>7</formula>
    </cfRule>
  </conditionalFormatting>
  <conditionalFormatting sqref="M264">
    <cfRule type="cellIs" dxfId="2407" priority="2466" stopIfTrue="1" operator="between">
      <formula>7</formula>
      <formula>14</formula>
    </cfRule>
    <cfRule type="cellIs" dxfId="2406" priority="2467" stopIfTrue="1" operator="lessThan">
      <formula>7</formula>
    </cfRule>
  </conditionalFormatting>
  <conditionalFormatting sqref="M265">
    <cfRule type="cellIs" dxfId="2405" priority="1571" stopIfTrue="1" operator="between">
      <formula>7</formula>
      <formula>14</formula>
    </cfRule>
    <cfRule type="cellIs" dxfId="2404" priority="1572" stopIfTrue="1" operator="lessThan">
      <formula>7</formula>
    </cfRule>
  </conditionalFormatting>
  <conditionalFormatting sqref="M266">
    <cfRule type="cellIs" dxfId="2403" priority="1565" stopIfTrue="1" operator="lessThan">
      <formula>7</formula>
    </cfRule>
    <cfRule type="cellIs" dxfId="2402" priority="1564" stopIfTrue="1" operator="between">
      <formula>7</formula>
      <formula>14</formula>
    </cfRule>
  </conditionalFormatting>
  <conditionalFormatting sqref="M267">
    <cfRule type="cellIs" dxfId="2401" priority="2655" stopIfTrue="1" operator="lessThan">
      <formula>7</formula>
    </cfRule>
    <cfRule type="cellIs" dxfId="2400" priority="2654" stopIfTrue="1" operator="between">
      <formula>7</formula>
      <formula>14</formula>
    </cfRule>
  </conditionalFormatting>
  <conditionalFormatting sqref="M268">
    <cfRule type="cellIs" dxfId="2399" priority="2459" stopIfTrue="1" operator="between">
      <formula>7</formula>
      <formula>14</formula>
    </cfRule>
    <cfRule type="cellIs" dxfId="2398" priority="2460" stopIfTrue="1" operator="lessThan">
      <formula>7</formula>
    </cfRule>
  </conditionalFormatting>
  <conditionalFormatting sqref="M269">
    <cfRule type="cellIs" dxfId="2397" priority="2758" stopIfTrue="1" operator="between">
      <formula>7</formula>
      <formula>14</formula>
    </cfRule>
    <cfRule type="cellIs" dxfId="2396" priority="2759" stopIfTrue="1" operator="lessThan">
      <formula>7</formula>
    </cfRule>
  </conditionalFormatting>
  <conditionalFormatting sqref="M270">
    <cfRule type="cellIs" dxfId="2395" priority="2474" stopIfTrue="1" operator="lessThan">
      <formula>7</formula>
    </cfRule>
    <cfRule type="cellIs" dxfId="2394" priority="2473" stopIfTrue="1" operator="between">
      <formula>7</formula>
      <formula>14</formula>
    </cfRule>
  </conditionalFormatting>
  <conditionalFormatting sqref="M271">
    <cfRule type="cellIs" dxfId="2393" priority="782" stopIfTrue="1" operator="lessThan">
      <formula>7</formula>
    </cfRule>
    <cfRule type="cellIs" dxfId="2392" priority="781" stopIfTrue="1" operator="between">
      <formula>7</formula>
      <formula>14</formula>
    </cfRule>
  </conditionalFormatting>
  <conditionalFormatting sqref="M272">
    <cfRule type="cellIs" dxfId="2391" priority="773" stopIfTrue="1" operator="between">
      <formula>7</formula>
      <formula>14</formula>
    </cfRule>
    <cfRule type="cellIs" dxfId="2390" priority="774" stopIfTrue="1" operator="lessThan">
      <formula>7</formula>
    </cfRule>
  </conditionalFormatting>
  <conditionalFormatting sqref="M273">
    <cfRule type="cellIs" dxfId="2389" priority="770" stopIfTrue="1" operator="between">
      <formula>7</formula>
      <formula>14</formula>
    </cfRule>
    <cfRule type="cellIs" dxfId="2388" priority="771" stopIfTrue="1" operator="lessThan">
      <formula>7</formula>
    </cfRule>
  </conditionalFormatting>
  <conditionalFormatting sqref="M274">
    <cfRule type="cellIs" dxfId="2387" priority="763" stopIfTrue="1" operator="lessThan">
      <formula>7</formula>
    </cfRule>
    <cfRule type="cellIs" dxfId="2386" priority="762" stopIfTrue="1" operator="between">
      <formula>7</formula>
      <formula>14</formula>
    </cfRule>
  </conditionalFormatting>
  <conditionalFormatting sqref="M275">
    <cfRule type="cellIs" dxfId="2385" priority="759" stopIfTrue="1" operator="between">
      <formula>7</formula>
      <formula>14</formula>
    </cfRule>
    <cfRule type="cellIs" dxfId="2384" priority="760" stopIfTrue="1" operator="lessThan">
      <formula>7</formula>
    </cfRule>
  </conditionalFormatting>
  <conditionalFormatting sqref="M276">
    <cfRule type="cellIs" dxfId="2383" priority="751" stopIfTrue="1" operator="between">
      <formula>7</formula>
      <formula>14</formula>
    </cfRule>
    <cfRule type="cellIs" dxfId="2382" priority="752" stopIfTrue="1" operator="lessThan">
      <formula>7</formula>
    </cfRule>
  </conditionalFormatting>
  <conditionalFormatting sqref="M277 M286">
    <cfRule type="cellIs" dxfId="2381" priority="2700" stopIfTrue="1" operator="between">
      <formula>7</formula>
      <formula>14</formula>
    </cfRule>
    <cfRule type="cellIs" dxfId="2380" priority="2701" stopIfTrue="1" operator="lessThan">
      <formula>7</formula>
    </cfRule>
  </conditionalFormatting>
  <conditionalFormatting sqref="M278:M279">
    <cfRule type="cellIs" dxfId="2379" priority="505" stopIfTrue="1" operator="lessThan">
      <formula>7</formula>
    </cfRule>
    <cfRule type="cellIs" dxfId="2378" priority="504" stopIfTrue="1" operator="between">
      <formula>7</formula>
      <formula>14</formula>
    </cfRule>
  </conditionalFormatting>
  <conditionalFormatting sqref="M280:M281">
    <cfRule type="cellIs" dxfId="2377" priority="496" stopIfTrue="1" operator="between">
      <formula>7</formula>
      <formula>14</formula>
    </cfRule>
    <cfRule type="cellIs" dxfId="2376" priority="497" stopIfTrue="1" operator="lessThan">
      <formula>7</formula>
    </cfRule>
  </conditionalFormatting>
  <conditionalFormatting sqref="M282:M283">
    <cfRule type="cellIs" dxfId="2375" priority="488" stopIfTrue="1" operator="between">
      <formula>7</formula>
      <formula>14</formula>
    </cfRule>
    <cfRule type="cellIs" dxfId="2374" priority="489" stopIfTrue="1" operator="lessThan">
      <formula>7</formula>
    </cfRule>
  </conditionalFormatting>
  <conditionalFormatting sqref="M284:M285">
    <cfRule type="cellIs" dxfId="2373" priority="481" stopIfTrue="1" operator="lessThan">
      <formula>7</formula>
    </cfRule>
    <cfRule type="cellIs" dxfId="2372" priority="480" stopIfTrue="1" operator="between">
      <formula>7</formula>
      <formula>14</formula>
    </cfRule>
  </conditionalFormatting>
  <conditionalFormatting sqref="M287">
    <cfRule type="cellIs" dxfId="2371" priority="2432" stopIfTrue="1" operator="lessThan">
      <formula>7</formula>
    </cfRule>
    <cfRule type="cellIs" dxfId="2370" priority="2431" stopIfTrue="1" operator="between">
      <formula>7</formula>
      <formula>14</formula>
    </cfRule>
  </conditionalFormatting>
  <conditionalFormatting sqref="M290">
    <cfRule type="cellIs" dxfId="2369" priority="5054" stopIfTrue="1" operator="lessThan">
      <formula>7</formula>
    </cfRule>
  </conditionalFormatting>
  <conditionalFormatting sqref="M290:M298">
    <cfRule type="cellIs" dxfId="2368" priority="4517" stopIfTrue="1" operator="between">
      <formula>7</formula>
      <formula>14</formula>
    </cfRule>
  </conditionalFormatting>
  <conditionalFormatting sqref="M290:M341">
    <cfRule type="cellIs" dxfId="2367" priority="26" stopIfTrue="1" operator="greaterThanOrEqual">
      <formula>15</formula>
    </cfRule>
  </conditionalFormatting>
  <conditionalFormatting sqref="M291:M293">
    <cfRule type="cellIs" dxfId="2366" priority="5047" stopIfTrue="1" operator="lessThan">
      <formula>7</formula>
    </cfRule>
  </conditionalFormatting>
  <conditionalFormatting sqref="M294">
    <cfRule type="cellIs" dxfId="2365" priority="4532" stopIfTrue="1" operator="lessThan">
      <formula>7</formula>
    </cfRule>
  </conditionalFormatting>
  <conditionalFormatting sqref="M295">
    <cfRule type="cellIs" dxfId="2364" priority="5146" stopIfTrue="1" operator="lessThan">
      <formula>7</formula>
    </cfRule>
  </conditionalFormatting>
  <conditionalFormatting sqref="M296">
    <cfRule type="cellIs" dxfId="2363" priority="5040" stopIfTrue="1" operator="lessThan">
      <formula>7</formula>
    </cfRule>
  </conditionalFormatting>
  <conditionalFormatting sqref="M297">
    <cfRule type="cellIs" dxfId="2362" priority="4525" stopIfTrue="1" operator="lessThan">
      <formula>7</formula>
    </cfRule>
  </conditionalFormatting>
  <conditionalFormatting sqref="M298">
    <cfRule type="cellIs" dxfId="2361" priority="4518" stopIfTrue="1" operator="lessThan">
      <formula>7</formula>
    </cfRule>
  </conditionalFormatting>
  <conditionalFormatting sqref="M299:M300">
    <cfRule type="cellIs" dxfId="2360" priority="1501" stopIfTrue="1" operator="lessThan">
      <formula>7</formula>
    </cfRule>
    <cfRule type="cellIs" dxfId="2359" priority="1500" stopIfTrue="1" operator="between">
      <formula>7</formula>
      <formula>14</formula>
    </cfRule>
  </conditionalFormatting>
  <conditionalFormatting sqref="M301">
    <cfRule type="cellIs" dxfId="2358" priority="4511" stopIfTrue="1" operator="lessThan">
      <formula>7</formula>
    </cfRule>
  </conditionalFormatting>
  <conditionalFormatting sqref="M301:M302">
    <cfRule type="cellIs" dxfId="2357" priority="4503" stopIfTrue="1" operator="between">
      <formula>7</formula>
      <formula>14</formula>
    </cfRule>
  </conditionalFormatting>
  <conditionalFormatting sqref="M302">
    <cfRule type="cellIs" dxfId="2356" priority="4504" stopIfTrue="1" operator="lessThan">
      <formula>7</formula>
    </cfRule>
  </conditionalFormatting>
  <conditionalFormatting sqref="M303">
    <cfRule type="cellIs" dxfId="2355" priority="27" stopIfTrue="1" operator="between">
      <formula>7</formula>
      <formula>14</formula>
    </cfRule>
    <cfRule type="cellIs" dxfId="2354" priority="28" stopIfTrue="1" operator="lessThan">
      <formula>7</formula>
    </cfRule>
  </conditionalFormatting>
  <conditionalFormatting sqref="M304">
    <cfRule type="cellIs" dxfId="2353" priority="4497" stopIfTrue="1" operator="lessThan">
      <formula>7</formula>
    </cfRule>
  </conditionalFormatting>
  <conditionalFormatting sqref="M304:M307">
    <cfRule type="cellIs" dxfId="2352" priority="4482" stopIfTrue="1" operator="between">
      <formula>7</formula>
      <formula>14</formula>
    </cfRule>
  </conditionalFormatting>
  <conditionalFormatting sqref="M305">
    <cfRule type="cellIs" dxfId="2351" priority="4490" stopIfTrue="1" operator="lessThan">
      <formula>7</formula>
    </cfRule>
  </conditionalFormatting>
  <conditionalFormatting sqref="M306">
    <cfRule type="cellIs" dxfId="2350" priority="5097" stopIfTrue="1" operator="lessThan">
      <formula>7</formula>
    </cfRule>
  </conditionalFormatting>
  <conditionalFormatting sqref="M307">
    <cfRule type="cellIs" dxfId="2349" priority="4483" stopIfTrue="1" operator="lessThan">
      <formula>7</formula>
    </cfRule>
  </conditionalFormatting>
  <conditionalFormatting sqref="M308">
    <cfRule type="cellIs" dxfId="2348" priority="219" stopIfTrue="1" operator="lessThan">
      <formula>7</formula>
    </cfRule>
    <cfRule type="cellIs" dxfId="2347" priority="218" stopIfTrue="1" operator="between">
      <formula>7</formula>
      <formula>14</formula>
    </cfRule>
  </conditionalFormatting>
  <conditionalFormatting sqref="M309">
    <cfRule type="cellIs" dxfId="2346" priority="211" stopIfTrue="1" operator="between">
      <formula>7</formula>
      <formula>14</formula>
    </cfRule>
    <cfRule type="cellIs" dxfId="2345" priority="212" stopIfTrue="1" operator="lessThan">
      <formula>7</formula>
    </cfRule>
  </conditionalFormatting>
  <conditionalFormatting sqref="M310">
    <cfRule type="cellIs" dxfId="2344" priority="1454" stopIfTrue="1" operator="lessThan">
      <formula>7</formula>
    </cfRule>
    <cfRule type="cellIs" dxfId="2343" priority="1453" stopIfTrue="1" operator="between">
      <formula>7</formula>
      <formula>14</formula>
    </cfRule>
  </conditionalFormatting>
  <conditionalFormatting sqref="M311">
    <cfRule type="cellIs" dxfId="2342" priority="1445" stopIfTrue="1" operator="between">
      <formula>7</formula>
      <formula>14</formula>
    </cfRule>
    <cfRule type="cellIs" dxfId="2341" priority="1446" stopIfTrue="1" operator="lessThan">
      <formula>7</formula>
    </cfRule>
  </conditionalFormatting>
  <conditionalFormatting sqref="M312:M314 M316:M317">
    <cfRule type="cellIs" dxfId="2340" priority="2362" stopIfTrue="1" operator="lessThan">
      <formula>7</formula>
    </cfRule>
    <cfRule type="cellIs" dxfId="2339" priority="2361" stopIfTrue="1" operator="between">
      <formula>7</formula>
      <formula>14</formula>
    </cfRule>
  </conditionalFormatting>
  <conditionalFormatting sqref="M315">
    <cfRule type="cellIs" dxfId="2338" priority="2355" stopIfTrue="1" operator="lessThan">
      <formula>7</formula>
    </cfRule>
    <cfRule type="cellIs" dxfId="2337" priority="2354" stopIfTrue="1" operator="between">
      <formula>7</formula>
      <formula>14</formula>
    </cfRule>
  </conditionalFormatting>
  <conditionalFormatting sqref="M318">
    <cfRule type="cellIs" dxfId="2336" priority="4476" stopIfTrue="1" operator="lessThan">
      <formula>7</formula>
    </cfRule>
  </conditionalFormatting>
  <conditionalFormatting sqref="M318:M329">
    <cfRule type="cellIs" dxfId="2335" priority="4405" stopIfTrue="1" operator="between">
      <formula>7</formula>
      <formula>14</formula>
    </cfRule>
  </conditionalFormatting>
  <conditionalFormatting sqref="M319">
    <cfRule type="cellIs" dxfId="2334" priority="4469" stopIfTrue="1" operator="lessThan">
      <formula>7</formula>
    </cfRule>
  </conditionalFormatting>
  <conditionalFormatting sqref="M320">
    <cfRule type="cellIs" dxfId="2333" priority="4462" stopIfTrue="1" operator="lessThan">
      <formula>7</formula>
    </cfRule>
  </conditionalFormatting>
  <conditionalFormatting sqref="M321">
    <cfRule type="cellIs" dxfId="2332" priority="4455" stopIfTrue="1" operator="lessThan">
      <formula>7</formula>
    </cfRule>
  </conditionalFormatting>
  <conditionalFormatting sqref="M322">
    <cfRule type="cellIs" dxfId="2331" priority="4448" stopIfTrue="1" operator="lessThan">
      <formula>7</formula>
    </cfRule>
  </conditionalFormatting>
  <conditionalFormatting sqref="M323">
    <cfRule type="cellIs" dxfId="2330" priority="4441" stopIfTrue="1" operator="lessThan">
      <formula>7</formula>
    </cfRule>
  </conditionalFormatting>
  <conditionalFormatting sqref="M324">
    <cfRule type="cellIs" dxfId="2329" priority="5091" stopIfTrue="1" operator="lessThan">
      <formula>7</formula>
    </cfRule>
  </conditionalFormatting>
  <conditionalFormatting sqref="M325">
    <cfRule type="cellIs" dxfId="2328" priority="4434" stopIfTrue="1" operator="lessThan">
      <formula>7</formula>
    </cfRule>
  </conditionalFormatting>
  <conditionalFormatting sqref="M326">
    <cfRule type="cellIs" dxfId="2327" priority="4427" stopIfTrue="1" operator="lessThan">
      <formula>7</formula>
    </cfRule>
  </conditionalFormatting>
  <conditionalFormatting sqref="M327">
    <cfRule type="cellIs" dxfId="2326" priority="4420" stopIfTrue="1" operator="lessThan">
      <formula>7</formula>
    </cfRule>
  </conditionalFormatting>
  <conditionalFormatting sqref="M328">
    <cfRule type="cellIs" dxfId="2325" priority="4413" stopIfTrue="1" operator="lessThan">
      <formula>7</formula>
    </cfRule>
  </conditionalFormatting>
  <conditionalFormatting sqref="M329">
    <cfRule type="cellIs" dxfId="2324" priority="4406" stopIfTrue="1" operator="lessThan">
      <formula>7</formula>
    </cfRule>
  </conditionalFormatting>
  <conditionalFormatting sqref="M330:M332 M334:M335 M337">
    <cfRule type="cellIs" dxfId="2323" priority="2348" stopIfTrue="1" operator="lessThan">
      <formula>7</formula>
    </cfRule>
    <cfRule type="cellIs" dxfId="2322" priority="2347" stopIfTrue="1" operator="between">
      <formula>7</formula>
      <formula>14</formula>
    </cfRule>
  </conditionalFormatting>
  <conditionalFormatting sqref="M333">
    <cfRule type="cellIs" dxfId="2321" priority="2340" stopIfTrue="1" operator="between">
      <formula>7</formula>
      <formula>14</formula>
    </cfRule>
    <cfRule type="cellIs" dxfId="2320" priority="2341" stopIfTrue="1" operator="lessThan">
      <formula>7</formula>
    </cfRule>
  </conditionalFormatting>
  <conditionalFormatting sqref="M336">
    <cfRule type="cellIs" dxfId="2319" priority="2333" stopIfTrue="1" operator="between">
      <formula>7</formula>
      <formula>14</formula>
    </cfRule>
    <cfRule type="cellIs" dxfId="2318" priority="2334" stopIfTrue="1" operator="lessThan">
      <formula>7</formula>
    </cfRule>
  </conditionalFormatting>
  <conditionalFormatting sqref="M338">
    <cfRule type="cellIs" dxfId="2317" priority="4399" stopIfTrue="1" operator="lessThan">
      <formula>7</formula>
    </cfRule>
  </conditionalFormatting>
  <conditionalFormatting sqref="M338:M341">
    <cfRule type="cellIs" dxfId="2316" priority="4384" stopIfTrue="1" operator="between">
      <formula>7</formula>
      <formula>14</formula>
    </cfRule>
  </conditionalFormatting>
  <conditionalFormatting sqref="M339">
    <cfRule type="cellIs" dxfId="2315" priority="4392" stopIfTrue="1" operator="lessThan">
      <formula>7</formula>
    </cfRule>
  </conditionalFormatting>
  <conditionalFormatting sqref="M340">
    <cfRule type="cellIs" dxfId="2314" priority="5016" stopIfTrue="1" operator="lessThan">
      <formula>7</formula>
    </cfRule>
  </conditionalFormatting>
  <conditionalFormatting sqref="M341">
    <cfRule type="cellIs" dxfId="2313" priority="4385" stopIfTrue="1" operator="lessThan">
      <formula>7</formula>
    </cfRule>
  </conditionalFormatting>
  <conditionalFormatting sqref="M343">
    <cfRule type="cellIs" dxfId="2312" priority="5033" stopIfTrue="1" operator="lessThan">
      <formula>7</formula>
    </cfRule>
  </conditionalFormatting>
  <conditionalFormatting sqref="M343:M363">
    <cfRule type="cellIs" dxfId="2311" priority="4335" stopIfTrue="1" operator="between">
      <formula>7</formula>
      <formula>14</formula>
    </cfRule>
  </conditionalFormatting>
  <conditionalFormatting sqref="M343:M371">
    <cfRule type="cellIs" dxfId="2310" priority="130" stopIfTrue="1" operator="greaterThanOrEqual">
      <formula>15</formula>
    </cfRule>
  </conditionalFormatting>
  <conditionalFormatting sqref="M344">
    <cfRule type="cellIs" dxfId="2309" priority="4378" stopIfTrue="1" operator="lessThan">
      <formula>7</formula>
    </cfRule>
  </conditionalFormatting>
  <conditionalFormatting sqref="M345">
    <cfRule type="cellIs" dxfId="2308" priority="5115" stopIfTrue="1" operator="lessThan">
      <formula>7</formula>
    </cfRule>
  </conditionalFormatting>
  <conditionalFormatting sqref="M346">
    <cfRule type="cellIs" dxfId="2307" priority="5088" stopIfTrue="1" operator="lessThan">
      <formula>7</formula>
    </cfRule>
  </conditionalFormatting>
  <conditionalFormatting sqref="M347">
    <cfRule type="cellIs" dxfId="2306" priority="4371" stopIfTrue="1" operator="lessThan">
      <formula>7</formula>
    </cfRule>
  </conditionalFormatting>
  <conditionalFormatting sqref="M348">
    <cfRule type="cellIs" dxfId="2305" priority="5100" stopIfTrue="1" operator="lessThan">
      <formula>7</formula>
    </cfRule>
  </conditionalFormatting>
  <conditionalFormatting sqref="M349">
    <cfRule type="cellIs" dxfId="2304" priority="4364" stopIfTrue="1" operator="lessThan">
      <formula>7</formula>
    </cfRule>
  </conditionalFormatting>
  <conditionalFormatting sqref="M350">
    <cfRule type="cellIs" dxfId="2303" priority="4357" stopIfTrue="1" operator="lessThan">
      <formula>7</formula>
    </cfRule>
  </conditionalFormatting>
  <conditionalFormatting sqref="M351">
    <cfRule type="cellIs" dxfId="2302" priority="4350" stopIfTrue="1" operator="lessThan">
      <formula>7</formula>
    </cfRule>
  </conditionalFormatting>
  <conditionalFormatting sqref="M352">
    <cfRule type="cellIs" dxfId="2301" priority="4343" stopIfTrue="1" operator="lessThan">
      <formula>7</formula>
    </cfRule>
  </conditionalFormatting>
  <conditionalFormatting sqref="M353">
    <cfRule type="cellIs" dxfId="2300" priority="4336" stopIfTrue="1" operator="lessThan">
      <formula>7</formula>
    </cfRule>
  </conditionalFormatting>
  <conditionalFormatting sqref="M354">
    <cfRule type="cellIs" dxfId="2299" priority="5085" stopIfTrue="1" operator="lessThan">
      <formula>7</formula>
    </cfRule>
  </conditionalFormatting>
  <conditionalFormatting sqref="M355">
    <cfRule type="cellIs" dxfId="2298" priority="5009" stopIfTrue="1" operator="lessThan">
      <formula>7</formula>
    </cfRule>
  </conditionalFormatting>
  <conditionalFormatting sqref="M356">
    <cfRule type="cellIs" dxfId="2297" priority="5082" stopIfTrue="1" operator="lessThan">
      <formula>7</formula>
    </cfRule>
  </conditionalFormatting>
  <conditionalFormatting sqref="M357">
    <cfRule type="cellIs" dxfId="2296" priority="5002" stopIfTrue="1" operator="lessThan">
      <formula>7</formula>
    </cfRule>
  </conditionalFormatting>
  <conditionalFormatting sqref="M358">
    <cfRule type="cellIs" dxfId="2295" priority="5094" stopIfTrue="1" operator="lessThan">
      <formula>7</formula>
    </cfRule>
  </conditionalFormatting>
  <conditionalFormatting sqref="M359">
    <cfRule type="cellIs" dxfId="2294" priority="4995" stopIfTrue="1" operator="lessThan">
      <formula>7</formula>
    </cfRule>
  </conditionalFormatting>
  <conditionalFormatting sqref="M360">
    <cfRule type="cellIs" dxfId="2293" priority="5030" stopIfTrue="1" operator="lessThan">
      <formula>7</formula>
    </cfRule>
  </conditionalFormatting>
  <conditionalFormatting sqref="M361">
    <cfRule type="cellIs" dxfId="2292" priority="5023" stopIfTrue="1" operator="lessThan">
      <formula>7</formula>
    </cfRule>
  </conditionalFormatting>
  <conditionalFormatting sqref="M362">
    <cfRule type="cellIs" dxfId="2291" priority="5079" stopIfTrue="1" operator="lessThan">
      <formula>7</formula>
    </cfRule>
  </conditionalFormatting>
  <conditionalFormatting sqref="M363">
    <cfRule type="cellIs" dxfId="2290" priority="4988" stopIfTrue="1" operator="lessThan">
      <formula>7</formula>
    </cfRule>
  </conditionalFormatting>
  <conditionalFormatting sqref="M364">
    <cfRule type="cellIs" dxfId="2289" priority="139" stopIfTrue="1" operator="lessThan">
      <formula>7</formula>
    </cfRule>
    <cfRule type="cellIs" dxfId="2288" priority="138" stopIfTrue="1" operator="between">
      <formula>7</formula>
      <formula>14</formula>
    </cfRule>
  </conditionalFormatting>
  <conditionalFormatting sqref="M365">
    <cfRule type="cellIs" dxfId="2287" priority="131" stopIfTrue="1" operator="between">
      <formula>7</formula>
      <formula>14</formula>
    </cfRule>
    <cfRule type="cellIs" dxfId="2286" priority="132" stopIfTrue="1" operator="lessThan">
      <formula>7</formula>
    </cfRule>
  </conditionalFormatting>
  <conditionalFormatting sqref="M366">
    <cfRule type="cellIs" dxfId="2285" priority="1367" stopIfTrue="1" operator="between">
      <formula>7</formula>
      <formula>14</formula>
    </cfRule>
    <cfRule type="cellIs" dxfId="2284" priority="1368" stopIfTrue="1" operator="lessThan">
      <formula>7</formula>
    </cfRule>
  </conditionalFormatting>
  <conditionalFormatting sqref="M367">
    <cfRule type="cellIs" dxfId="2283" priority="1361" stopIfTrue="1" operator="lessThan">
      <formula>7</formula>
    </cfRule>
    <cfRule type="cellIs" dxfId="2282" priority="1360" stopIfTrue="1" operator="between">
      <formula>7</formula>
      <formula>14</formula>
    </cfRule>
  </conditionalFormatting>
  <conditionalFormatting sqref="M368">
    <cfRule type="cellIs" dxfId="2281" priority="1358" stopIfTrue="1" operator="lessThan">
      <formula>7</formula>
    </cfRule>
    <cfRule type="cellIs" dxfId="2280" priority="1357" stopIfTrue="1" operator="between">
      <formula>7</formula>
      <formula>14</formula>
    </cfRule>
  </conditionalFormatting>
  <conditionalFormatting sqref="M369">
    <cfRule type="cellIs" dxfId="2279" priority="1354" stopIfTrue="1" operator="between">
      <formula>7</formula>
      <formula>14</formula>
    </cfRule>
    <cfRule type="cellIs" dxfId="2278" priority="1355" stopIfTrue="1" operator="lessThan">
      <formula>7</formula>
    </cfRule>
  </conditionalFormatting>
  <conditionalFormatting sqref="M370">
    <cfRule type="cellIs" dxfId="2277" priority="4329" stopIfTrue="1" operator="lessThan">
      <formula>7</formula>
    </cfRule>
  </conditionalFormatting>
  <conditionalFormatting sqref="M370:M371">
    <cfRule type="cellIs" dxfId="2276" priority="4321" stopIfTrue="1" operator="between">
      <formula>7</formula>
      <formula>14</formula>
    </cfRule>
  </conditionalFormatting>
  <conditionalFormatting sqref="M371">
    <cfRule type="cellIs" dxfId="2275" priority="4322" stopIfTrue="1" operator="lessThan">
      <formula>7</formula>
    </cfRule>
  </conditionalFormatting>
  <conditionalFormatting sqref="M373">
    <cfRule type="cellIs" dxfId="2274" priority="4315" stopIfTrue="1" operator="lessThan">
      <formula>7</formula>
    </cfRule>
  </conditionalFormatting>
  <conditionalFormatting sqref="M373:M384">
    <cfRule type="cellIs" dxfId="2273" priority="4286" stopIfTrue="1" operator="between">
      <formula>7</formula>
      <formula>14</formula>
    </cfRule>
  </conditionalFormatting>
  <conditionalFormatting sqref="M373:M428">
    <cfRule type="cellIs" dxfId="2272" priority="447" stopIfTrue="1" operator="greaterThanOrEqual">
      <formula>15</formula>
    </cfRule>
  </conditionalFormatting>
  <conditionalFormatting sqref="M374">
    <cfRule type="cellIs" dxfId="2271" priority="4308" stopIfTrue="1" operator="lessThan">
      <formula>7</formula>
    </cfRule>
  </conditionalFormatting>
  <conditionalFormatting sqref="M375:M378">
    <cfRule type="cellIs" dxfId="2270" priority="4301" stopIfTrue="1" operator="lessThan">
      <formula>7</formula>
    </cfRule>
  </conditionalFormatting>
  <conditionalFormatting sqref="M379">
    <cfRule type="cellIs" dxfId="2269" priority="4294" stopIfTrue="1" operator="lessThan">
      <formula>7</formula>
    </cfRule>
  </conditionalFormatting>
  <conditionalFormatting sqref="M380">
    <cfRule type="cellIs" dxfId="2268" priority="4287" stopIfTrue="1" operator="lessThan">
      <formula>7</formula>
    </cfRule>
  </conditionalFormatting>
  <conditionalFormatting sqref="M381">
    <cfRule type="cellIs" dxfId="2267" priority="5076" stopIfTrue="1" operator="lessThan">
      <formula>7</formula>
    </cfRule>
  </conditionalFormatting>
  <conditionalFormatting sqref="M382">
    <cfRule type="cellIs" dxfId="2266" priority="4981" stopIfTrue="1" operator="lessThan">
      <formula>7</formula>
    </cfRule>
  </conditionalFormatting>
  <conditionalFormatting sqref="M383">
    <cfRule type="cellIs" dxfId="2265" priority="5073" stopIfTrue="1" operator="lessThan">
      <formula>7</formula>
    </cfRule>
  </conditionalFormatting>
  <conditionalFormatting sqref="M384">
    <cfRule type="cellIs" dxfId="2264" priority="4974" stopIfTrue="1" operator="lessThan">
      <formula>7</formula>
    </cfRule>
  </conditionalFormatting>
  <conditionalFormatting sqref="M385">
    <cfRule type="cellIs" dxfId="2263" priority="1107" stopIfTrue="1" operator="lessThan">
      <formula>7</formula>
    </cfRule>
    <cfRule type="cellIs" dxfId="2262" priority="1106" stopIfTrue="1" operator="between">
      <formula>7</formula>
      <formula>14</formula>
    </cfRule>
  </conditionalFormatting>
  <conditionalFormatting sqref="M386">
    <cfRule type="cellIs" dxfId="2261" priority="1100" stopIfTrue="1" operator="lessThan">
      <formula>7</formula>
    </cfRule>
    <cfRule type="cellIs" dxfId="2260" priority="1099" stopIfTrue="1" operator="between">
      <formula>7</formula>
      <formula>14</formula>
    </cfRule>
  </conditionalFormatting>
  <conditionalFormatting sqref="M387">
    <cfRule type="cellIs" dxfId="2259" priority="1082" stopIfTrue="1" operator="lessThan">
      <formula>7</formula>
    </cfRule>
    <cfRule type="cellIs" dxfId="2258" priority="1081" stopIfTrue="1" operator="between">
      <formula>7</formula>
      <formula>14</formula>
    </cfRule>
  </conditionalFormatting>
  <conditionalFormatting sqref="M388">
    <cfRule type="cellIs" dxfId="2257" priority="1074" stopIfTrue="1" operator="lessThan">
      <formula>7</formula>
    </cfRule>
    <cfRule type="cellIs" dxfId="2256" priority="1073" stopIfTrue="1" operator="between">
      <formula>7</formula>
      <formula>14</formula>
    </cfRule>
  </conditionalFormatting>
  <conditionalFormatting sqref="M389:M390">
    <cfRule type="cellIs" dxfId="2255" priority="1092" stopIfTrue="1" operator="lessThan">
      <formula>7</formula>
    </cfRule>
    <cfRule type="cellIs" dxfId="2254" priority="1091" stopIfTrue="1" operator="between">
      <formula>7</formula>
      <formula>14</formula>
    </cfRule>
  </conditionalFormatting>
  <conditionalFormatting sqref="M391">
    <cfRule type="cellIs" dxfId="2253" priority="1085" stopIfTrue="1" operator="lessThan">
      <formula>7</formula>
    </cfRule>
    <cfRule type="cellIs" dxfId="2252" priority="1084" stopIfTrue="1" operator="between">
      <formula>7</formula>
      <formula>14</formula>
    </cfRule>
  </conditionalFormatting>
  <conditionalFormatting sqref="M392">
    <cfRule type="cellIs" dxfId="2251" priority="5070" stopIfTrue="1" operator="lessThan">
      <formula>7</formula>
    </cfRule>
  </conditionalFormatting>
  <conditionalFormatting sqref="M392:M393">
    <cfRule type="cellIs" dxfId="2250" priority="4279" stopIfTrue="1" operator="between">
      <formula>7</formula>
      <formula>14</formula>
    </cfRule>
  </conditionalFormatting>
  <conditionalFormatting sqref="M393">
    <cfRule type="cellIs" dxfId="2249" priority="4280" stopIfTrue="1" operator="lessThan">
      <formula>7</formula>
    </cfRule>
  </conditionalFormatting>
  <conditionalFormatting sqref="M394:M395">
    <cfRule type="cellIs" dxfId="2248" priority="867" stopIfTrue="1" operator="between">
      <formula>7</formula>
      <formula>14</formula>
    </cfRule>
    <cfRule type="cellIs" dxfId="2247" priority="868" stopIfTrue="1" operator="lessThan">
      <formula>7</formula>
    </cfRule>
  </conditionalFormatting>
  <conditionalFormatting sqref="M396">
    <cfRule type="cellIs" dxfId="2246" priority="860" stopIfTrue="1" operator="between">
      <formula>7</formula>
      <formula>14</formula>
    </cfRule>
    <cfRule type="cellIs" dxfId="2245" priority="861" stopIfTrue="1" operator="lessThan">
      <formula>7</formula>
    </cfRule>
  </conditionalFormatting>
  <conditionalFormatting sqref="M397">
    <cfRule type="cellIs" dxfId="2244" priority="4273" stopIfTrue="1" operator="lessThan">
      <formula>7</formula>
    </cfRule>
  </conditionalFormatting>
  <conditionalFormatting sqref="M397:M400">
    <cfRule type="cellIs" dxfId="2243" priority="4265" stopIfTrue="1" operator="between">
      <formula>7</formula>
      <formula>14</formula>
    </cfRule>
  </conditionalFormatting>
  <conditionalFormatting sqref="M398">
    <cfRule type="cellIs" dxfId="2242" priority="4266" stopIfTrue="1" operator="lessThan">
      <formula>7</formula>
    </cfRule>
  </conditionalFormatting>
  <conditionalFormatting sqref="M399">
    <cfRule type="cellIs" dxfId="2241" priority="5064" stopIfTrue="1" operator="lessThan">
      <formula>7</formula>
    </cfRule>
  </conditionalFormatting>
  <conditionalFormatting sqref="M400">
    <cfRule type="cellIs" dxfId="2240" priority="5067" stopIfTrue="1" operator="lessThan">
      <formula>7</formula>
    </cfRule>
  </conditionalFormatting>
  <conditionalFormatting sqref="M401:M404">
    <cfRule type="cellIs" dxfId="2239" priority="2327" stopIfTrue="1" operator="lessThan">
      <formula>7</formula>
    </cfRule>
    <cfRule type="cellIs" dxfId="2238" priority="2326" stopIfTrue="1" operator="between">
      <formula>7</formula>
      <formula>14</formula>
    </cfRule>
  </conditionalFormatting>
  <conditionalFormatting sqref="M405">
    <cfRule type="cellIs" dxfId="2237" priority="4259" stopIfTrue="1" operator="lessThan">
      <formula>7</formula>
    </cfRule>
  </conditionalFormatting>
  <conditionalFormatting sqref="M405:M406">
    <cfRule type="cellIs" dxfId="2236" priority="3416" stopIfTrue="1" operator="between">
      <formula>7</formula>
      <formula>14</formula>
    </cfRule>
  </conditionalFormatting>
  <conditionalFormatting sqref="M406">
    <cfRule type="cellIs" dxfId="2235" priority="3417" stopIfTrue="1" operator="lessThan">
      <formula>7</formula>
    </cfRule>
  </conditionalFormatting>
  <conditionalFormatting sqref="M407">
    <cfRule type="cellIs" dxfId="2234" priority="845" stopIfTrue="1" operator="lessThan">
      <formula>7</formula>
    </cfRule>
    <cfRule type="cellIs" dxfId="2233" priority="844" stopIfTrue="1" operator="between">
      <formula>7</formula>
      <formula>14</formula>
    </cfRule>
  </conditionalFormatting>
  <conditionalFormatting sqref="M408">
    <cfRule type="cellIs" dxfId="2232" priority="838" stopIfTrue="1" operator="lessThan">
      <formula>7</formula>
    </cfRule>
    <cfRule type="cellIs" dxfId="2231" priority="837" stopIfTrue="1" operator="between">
      <formula>7</formula>
      <formula>14</formula>
    </cfRule>
  </conditionalFormatting>
  <conditionalFormatting sqref="M409">
    <cfRule type="cellIs" dxfId="2230" priority="4252" stopIfTrue="1" operator="lessThan">
      <formula>7</formula>
    </cfRule>
  </conditionalFormatting>
  <conditionalFormatting sqref="M409:M412">
    <cfRule type="cellIs" dxfId="2229" priority="3409" stopIfTrue="1" operator="between">
      <formula>7</formula>
      <formula>14</formula>
    </cfRule>
  </conditionalFormatting>
  <conditionalFormatting sqref="M410">
    <cfRule type="cellIs" dxfId="2228" priority="3410" stopIfTrue="1" operator="lessThan">
      <formula>7</formula>
    </cfRule>
  </conditionalFormatting>
  <conditionalFormatting sqref="M411">
    <cfRule type="cellIs" dxfId="2227" priority="5061" stopIfTrue="1" operator="lessThan">
      <formula>7</formula>
    </cfRule>
  </conditionalFormatting>
  <conditionalFormatting sqref="M412">
    <cfRule type="cellIs" dxfId="2226" priority="4245" stopIfTrue="1" operator="lessThan">
      <formula>7</formula>
    </cfRule>
  </conditionalFormatting>
  <conditionalFormatting sqref="M413">
    <cfRule type="cellIs" dxfId="2225" priority="748" stopIfTrue="1" operator="between">
      <formula>7</formula>
      <formula>14</formula>
    </cfRule>
    <cfRule type="cellIs" dxfId="2224" priority="749" stopIfTrue="1" operator="lessThan">
      <formula>7</formula>
    </cfRule>
  </conditionalFormatting>
  <conditionalFormatting sqref="M414">
    <cfRule type="cellIs" dxfId="2223" priority="740" stopIfTrue="1" operator="between">
      <formula>7</formula>
      <formula>14</formula>
    </cfRule>
    <cfRule type="cellIs" dxfId="2222" priority="741" stopIfTrue="1" operator="lessThan">
      <formula>7</formula>
    </cfRule>
  </conditionalFormatting>
  <conditionalFormatting sqref="M415">
    <cfRule type="cellIs" dxfId="2221" priority="738" stopIfTrue="1" operator="lessThan">
      <formula>7</formula>
    </cfRule>
    <cfRule type="cellIs" dxfId="2220" priority="737" stopIfTrue="1" operator="between">
      <formula>7</formula>
      <formula>14</formula>
    </cfRule>
  </conditionalFormatting>
  <conditionalFormatting sqref="M416">
    <cfRule type="cellIs" dxfId="2219" priority="729" stopIfTrue="1" operator="between">
      <formula>7</formula>
      <formula>14</formula>
    </cfRule>
    <cfRule type="cellIs" dxfId="2218" priority="730" stopIfTrue="1" operator="lessThan">
      <formula>7</formula>
    </cfRule>
  </conditionalFormatting>
  <conditionalFormatting sqref="M417">
    <cfRule type="cellIs" dxfId="2217" priority="727" stopIfTrue="1" operator="lessThan">
      <formula>7</formula>
    </cfRule>
    <cfRule type="cellIs" dxfId="2216" priority="726" stopIfTrue="1" operator="between">
      <formula>7</formula>
      <formula>14</formula>
    </cfRule>
  </conditionalFormatting>
  <conditionalFormatting sqref="M418">
    <cfRule type="cellIs" dxfId="2215" priority="719" stopIfTrue="1" operator="lessThan">
      <formula>7</formula>
    </cfRule>
    <cfRule type="cellIs" dxfId="2214" priority="718" stopIfTrue="1" operator="between">
      <formula>7</formula>
      <formula>14</formula>
    </cfRule>
  </conditionalFormatting>
  <conditionalFormatting sqref="M419">
    <cfRule type="cellIs" dxfId="2213" priority="4237" stopIfTrue="1" operator="between">
      <formula>7</formula>
      <formula>14</formula>
    </cfRule>
    <cfRule type="cellIs" dxfId="2212" priority="4238" stopIfTrue="1" operator="lessThan">
      <formula>7</formula>
    </cfRule>
  </conditionalFormatting>
  <conditionalFormatting sqref="M420:M421">
    <cfRule type="cellIs" dxfId="2211" priority="473" stopIfTrue="1" operator="lessThan">
      <formula>7</formula>
    </cfRule>
    <cfRule type="cellIs" dxfId="2210" priority="472" stopIfTrue="1" operator="between">
      <formula>7</formula>
      <formula>14</formula>
    </cfRule>
  </conditionalFormatting>
  <conditionalFormatting sqref="M422:M423">
    <cfRule type="cellIs" dxfId="2209" priority="465" stopIfTrue="1" operator="lessThan">
      <formula>7</formula>
    </cfRule>
    <cfRule type="cellIs" dxfId="2208" priority="464" stopIfTrue="1" operator="between">
      <formula>7</formula>
      <formula>14</formula>
    </cfRule>
  </conditionalFormatting>
  <conditionalFormatting sqref="M424:M425">
    <cfRule type="cellIs" dxfId="2207" priority="456" stopIfTrue="1" operator="between">
      <formula>7</formula>
      <formula>14</formula>
    </cfRule>
    <cfRule type="cellIs" dxfId="2206" priority="457" stopIfTrue="1" operator="lessThan">
      <formula>7</formula>
    </cfRule>
  </conditionalFormatting>
  <conditionalFormatting sqref="M426:M427">
    <cfRule type="cellIs" dxfId="2205" priority="448" stopIfTrue="1" operator="between">
      <formula>7</formula>
      <formula>14</formula>
    </cfRule>
    <cfRule type="cellIs" dxfId="2204" priority="449" stopIfTrue="1" operator="lessThan">
      <formula>7</formula>
    </cfRule>
  </conditionalFormatting>
  <conditionalFormatting sqref="M428">
    <cfRule type="cellIs" dxfId="2203" priority="2319" stopIfTrue="1" operator="between">
      <formula>7</formula>
      <formula>14</formula>
    </cfRule>
    <cfRule type="cellIs" dxfId="2202" priority="2320" stopIfTrue="1" operator="lessThan">
      <formula>7</formula>
    </cfRule>
  </conditionalFormatting>
  <conditionalFormatting sqref="M431">
    <cfRule type="cellIs" dxfId="2201" priority="4875" stopIfTrue="1" operator="lessThan">
      <formula>7</formula>
    </cfRule>
  </conditionalFormatting>
  <conditionalFormatting sqref="M431:M432">
    <cfRule type="cellIs" dxfId="2200" priority="4867" stopIfTrue="1" operator="between">
      <formula>7</formula>
      <formula>14</formula>
    </cfRule>
  </conditionalFormatting>
  <conditionalFormatting sqref="M431:M482">
    <cfRule type="cellIs" dxfId="2199" priority="50" stopIfTrue="1" operator="greaterThanOrEqual">
      <formula>15</formula>
    </cfRule>
  </conditionalFormatting>
  <conditionalFormatting sqref="M432">
    <cfRule type="cellIs" dxfId="2198" priority="4868" stopIfTrue="1" operator="lessThan">
      <formula>7</formula>
    </cfRule>
  </conditionalFormatting>
  <conditionalFormatting sqref="M433:M434">
    <cfRule type="cellIs" dxfId="2197" priority="2312" stopIfTrue="1" operator="between">
      <formula>7</formula>
      <formula>14</formula>
    </cfRule>
    <cfRule type="cellIs" dxfId="2196" priority="2313" stopIfTrue="1" operator="lessThan">
      <formula>7</formula>
    </cfRule>
  </conditionalFormatting>
  <conditionalFormatting sqref="M435">
    <cfRule type="cellIs" dxfId="2195" priority="4231" stopIfTrue="1" operator="lessThan">
      <formula>7</formula>
    </cfRule>
  </conditionalFormatting>
  <conditionalFormatting sqref="M435:M439">
    <cfRule type="cellIs" dxfId="2194" priority="4216" stopIfTrue="1" operator="between">
      <formula>7</formula>
      <formula>14</formula>
    </cfRule>
  </conditionalFormatting>
  <conditionalFormatting sqref="M436">
    <cfRule type="cellIs" dxfId="2193" priority="4967" stopIfTrue="1" operator="lessThan">
      <formula>7</formula>
    </cfRule>
  </conditionalFormatting>
  <conditionalFormatting sqref="M437">
    <cfRule type="cellIs" dxfId="2192" priority="4861" stopIfTrue="1" operator="lessThan">
      <formula>7</formula>
    </cfRule>
  </conditionalFormatting>
  <conditionalFormatting sqref="M438">
    <cfRule type="cellIs" dxfId="2191" priority="4224" stopIfTrue="1" operator="lessThan">
      <formula>7</formula>
    </cfRule>
  </conditionalFormatting>
  <conditionalFormatting sqref="M439">
    <cfRule type="cellIs" dxfId="2190" priority="4217" stopIfTrue="1" operator="lessThan">
      <formula>7</formula>
    </cfRule>
  </conditionalFormatting>
  <conditionalFormatting sqref="M440:M441">
    <cfRule type="cellIs" dxfId="2189" priority="1493" stopIfTrue="1" operator="lessThan">
      <formula>7</formula>
    </cfRule>
    <cfRule type="cellIs" dxfId="2188" priority="1492" stopIfTrue="1" operator="between">
      <formula>7</formula>
      <formula>14</formula>
    </cfRule>
  </conditionalFormatting>
  <conditionalFormatting sqref="M442">
    <cfRule type="cellIs" dxfId="2187" priority="4210" stopIfTrue="1" operator="lessThan">
      <formula>7</formula>
    </cfRule>
  </conditionalFormatting>
  <conditionalFormatting sqref="M442:M443">
    <cfRule type="cellIs" dxfId="2186" priority="4202" stopIfTrue="1" operator="between">
      <formula>7</formula>
      <formula>14</formula>
    </cfRule>
  </conditionalFormatting>
  <conditionalFormatting sqref="M443">
    <cfRule type="cellIs" dxfId="2185" priority="4203" stopIfTrue="1" operator="lessThan">
      <formula>7</formula>
    </cfRule>
  </conditionalFormatting>
  <conditionalFormatting sqref="M444">
    <cfRule type="cellIs" dxfId="2184" priority="52" stopIfTrue="1" operator="lessThan">
      <formula>7</formula>
    </cfRule>
    <cfRule type="cellIs" dxfId="2183" priority="51" stopIfTrue="1" operator="between">
      <formula>7</formula>
      <formula>14</formula>
    </cfRule>
  </conditionalFormatting>
  <conditionalFormatting sqref="M445">
    <cfRule type="cellIs" dxfId="2182" priority="4196" stopIfTrue="1" operator="lessThan">
      <formula>7</formula>
    </cfRule>
  </conditionalFormatting>
  <conditionalFormatting sqref="M445:M448">
    <cfRule type="cellIs" dxfId="2181" priority="4181" stopIfTrue="1" operator="between">
      <formula>7</formula>
      <formula>14</formula>
    </cfRule>
  </conditionalFormatting>
  <conditionalFormatting sqref="M446">
    <cfRule type="cellIs" dxfId="2180" priority="4189" stopIfTrue="1" operator="lessThan">
      <formula>7</formula>
    </cfRule>
  </conditionalFormatting>
  <conditionalFormatting sqref="M447">
    <cfRule type="cellIs" dxfId="2179" priority="4918" stopIfTrue="1" operator="lessThan">
      <formula>7</formula>
    </cfRule>
  </conditionalFormatting>
  <conditionalFormatting sqref="M448">
    <cfRule type="cellIs" dxfId="2178" priority="4182" stopIfTrue="1" operator="lessThan">
      <formula>7</formula>
    </cfRule>
  </conditionalFormatting>
  <conditionalFormatting sqref="M449">
    <cfRule type="cellIs" dxfId="2177" priority="203" stopIfTrue="1" operator="lessThan">
      <formula>7</formula>
    </cfRule>
    <cfRule type="cellIs" dxfId="2176" priority="202" stopIfTrue="1" operator="between">
      <formula>7</formula>
      <formula>14</formula>
    </cfRule>
  </conditionalFormatting>
  <conditionalFormatting sqref="M450">
    <cfRule type="cellIs" dxfId="2175" priority="196" stopIfTrue="1" operator="lessThan">
      <formula>7</formula>
    </cfRule>
    <cfRule type="cellIs" dxfId="2174" priority="195" stopIfTrue="1" operator="between">
      <formula>7</formula>
      <formula>14</formula>
    </cfRule>
  </conditionalFormatting>
  <conditionalFormatting sqref="M451">
    <cfRule type="cellIs" dxfId="2173" priority="1442" stopIfTrue="1" operator="between">
      <formula>7</formula>
      <formula>14</formula>
    </cfRule>
    <cfRule type="cellIs" dxfId="2172" priority="1443" stopIfTrue="1" operator="lessThan">
      <formula>7</formula>
    </cfRule>
  </conditionalFormatting>
  <conditionalFormatting sqref="M452">
    <cfRule type="cellIs" dxfId="2171" priority="1435" stopIfTrue="1" operator="lessThan">
      <formula>7</formula>
    </cfRule>
    <cfRule type="cellIs" dxfId="2170" priority="1434" stopIfTrue="1" operator="between">
      <formula>7</formula>
      <formula>14</formula>
    </cfRule>
  </conditionalFormatting>
  <conditionalFormatting sqref="M453:M455 M457:M458">
    <cfRule type="cellIs" dxfId="2169" priority="2306" stopIfTrue="1" operator="lessThan">
      <formula>7</formula>
    </cfRule>
    <cfRule type="cellIs" dxfId="2168" priority="2305" stopIfTrue="1" operator="between">
      <formula>7</formula>
      <formula>14</formula>
    </cfRule>
  </conditionalFormatting>
  <conditionalFormatting sqref="M456">
    <cfRule type="cellIs" dxfId="2167" priority="2299" stopIfTrue="1" operator="lessThan">
      <formula>7</formula>
    </cfRule>
    <cfRule type="cellIs" dxfId="2166" priority="2298" stopIfTrue="1" operator="between">
      <formula>7</formula>
      <formula>14</formula>
    </cfRule>
  </conditionalFormatting>
  <conditionalFormatting sqref="M459">
    <cfRule type="cellIs" dxfId="2165" priority="4175" stopIfTrue="1" operator="lessThan">
      <formula>7</formula>
    </cfRule>
  </conditionalFormatting>
  <conditionalFormatting sqref="M459:M470">
    <cfRule type="cellIs" dxfId="2164" priority="4104" stopIfTrue="1" operator="between">
      <formula>7</formula>
      <formula>14</formula>
    </cfRule>
  </conditionalFormatting>
  <conditionalFormatting sqref="M460">
    <cfRule type="cellIs" dxfId="2163" priority="4168" stopIfTrue="1" operator="lessThan">
      <formula>7</formula>
    </cfRule>
  </conditionalFormatting>
  <conditionalFormatting sqref="M461">
    <cfRule type="cellIs" dxfId="2162" priority="4161" stopIfTrue="1" operator="lessThan">
      <formula>7</formula>
    </cfRule>
  </conditionalFormatting>
  <conditionalFormatting sqref="M462">
    <cfRule type="cellIs" dxfId="2161" priority="4154" stopIfTrue="1" operator="lessThan">
      <formula>7</formula>
    </cfRule>
  </conditionalFormatting>
  <conditionalFormatting sqref="M463">
    <cfRule type="cellIs" dxfId="2160" priority="4147" stopIfTrue="1" operator="lessThan">
      <formula>7</formula>
    </cfRule>
  </conditionalFormatting>
  <conditionalFormatting sqref="M464">
    <cfRule type="cellIs" dxfId="2159" priority="4140" stopIfTrue="1" operator="lessThan">
      <formula>7</formula>
    </cfRule>
  </conditionalFormatting>
  <conditionalFormatting sqref="M465">
    <cfRule type="cellIs" dxfId="2158" priority="4912" stopIfTrue="1" operator="lessThan">
      <formula>7</formula>
    </cfRule>
  </conditionalFormatting>
  <conditionalFormatting sqref="M466">
    <cfRule type="cellIs" dxfId="2157" priority="4133" stopIfTrue="1" operator="lessThan">
      <formula>7</formula>
    </cfRule>
  </conditionalFormatting>
  <conditionalFormatting sqref="M467">
    <cfRule type="cellIs" dxfId="2156" priority="4126" stopIfTrue="1" operator="lessThan">
      <formula>7</formula>
    </cfRule>
  </conditionalFormatting>
  <conditionalFormatting sqref="M468">
    <cfRule type="cellIs" dxfId="2155" priority="4119" stopIfTrue="1" operator="lessThan">
      <formula>7</formula>
    </cfRule>
  </conditionalFormatting>
  <conditionalFormatting sqref="M469">
    <cfRule type="cellIs" dxfId="2154" priority="4112" stopIfTrue="1" operator="lessThan">
      <formula>7</formula>
    </cfRule>
  </conditionalFormatting>
  <conditionalFormatting sqref="M470">
    <cfRule type="cellIs" dxfId="2153" priority="4105" stopIfTrue="1" operator="lessThan">
      <formula>7</formula>
    </cfRule>
  </conditionalFormatting>
  <conditionalFormatting sqref="M471:M473 M475:M476 M478">
    <cfRule type="cellIs" dxfId="2152" priority="2292" stopIfTrue="1" operator="lessThan">
      <formula>7</formula>
    </cfRule>
    <cfRule type="cellIs" dxfId="2151" priority="2291" stopIfTrue="1" operator="between">
      <formula>7</formula>
      <formula>14</formula>
    </cfRule>
  </conditionalFormatting>
  <conditionalFormatting sqref="M474">
    <cfRule type="cellIs" dxfId="2150" priority="2284" stopIfTrue="1" operator="between">
      <formula>7</formula>
      <formula>14</formula>
    </cfRule>
    <cfRule type="cellIs" dxfId="2149" priority="2285" stopIfTrue="1" operator="lessThan">
      <formula>7</formula>
    </cfRule>
  </conditionalFormatting>
  <conditionalFormatting sqref="M477">
    <cfRule type="cellIs" dxfId="2148" priority="2278" stopIfTrue="1" operator="lessThan">
      <formula>7</formula>
    </cfRule>
    <cfRule type="cellIs" dxfId="2147" priority="2277" stopIfTrue="1" operator="between">
      <formula>7</formula>
      <formula>14</formula>
    </cfRule>
  </conditionalFormatting>
  <conditionalFormatting sqref="M479">
    <cfRule type="cellIs" dxfId="2146" priority="4098" stopIfTrue="1" operator="lessThan">
      <formula>7</formula>
    </cfRule>
  </conditionalFormatting>
  <conditionalFormatting sqref="M479:M482">
    <cfRule type="cellIs" dxfId="2145" priority="4083" stopIfTrue="1" operator="between">
      <formula>7</formula>
      <formula>14</formula>
    </cfRule>
  </conditionalFormatting>
  <conditionalFormatting sqref="M480">
    <cfRule type="cellIs" dxfId="2144" priority="4091" stopIfTrue="1" operator="lessThan">
      <formula>7</formula>
    </cfRule>
  </conditionalFormatting>
  <conditionalFormatting sqref="M481">
    <cfRule type="cellIs" dxfId="2143" priority="4844" stopIfTrue="1" operator="lessThan">
      <formula>7</formula>
    </cfRule>
  </conditionalFormatting>
  <conditionalFormatting sqref="M482">
    <cfRule type="cellIs" dxfId="2142" priority="4084" stopIfTrue="1" operator="lessThan">
      <formula>7</formula>
    </cfRule>
  </conditionalFormatting>
  <conditionalFormatting sqref="M484">
    <cfRule type="cellIs" dxfId="2141" priority="4077" stopIfTrue="1" operator="lessThan">
      <formula>7</formula>
    </cfRule>
  </conditionalFormatting>
  <conditionalFormatting sqref="M484:M504">
    <cfRule type="cellIs" dxfId="2140" priority="4027" stopIfTrue="1" operator="between">
      <formula>7</formula>
      <formula>14</formula>
    </cfRule>
  </conditionalFormatting>
  <conditionalFormatting sqref="M484:M512">
    <cfRule type="cellIs" dxfId="2139" priority="114" stopIfTrue="1" operator="greaterThanOrEqual">
      <formula>15</formula>
    </cfRule>
  </conditionalFormatting>
  <conditionalFormatting sqref="M485">
    <cfRule type="cellIs" dxfId="2138" priority="4070" stopIfTrue="1" operator="lessThan">
      <formula>7</formula>
    </cfRule>
  </conditionalFormatting>
  <conditionalFormatting sqref="M486">
    <cfRule type="cellIs" dxfId="2137" priority="4936" stopIfTrue="1" operator="lessThan">
      <formula>7</formula>
    </cfRule>
  </conditionalFormatting>
  <conditionalFormatting sqref="M487">
    <cfRule type="cellIs" dxfId="2136" priority="4909" stopIfTrue="1" operator="lessThan">
      <formula>7</formula>
    </cfRule>
  </conditionalFormatting>
  <conditionalFormatting sqref="M488">
    <cfRule type="cellIs" dxfId="2135" priority="4063" stopIfTrue="1" operator="lessThan">
      <formula>7</formula>
    </cfRule>
  </conditionalFormatting>
  <conditionalFormatting sqref="M489">
    <cfRule type="cellIs" dxfId="2134" priority="4921" stopIfTrue="1" operator="lessThan">
      <formula>7</formula>
    </cfRule>
  </conditionalFormatting>
  <conditionalFormatting sqref="M490">
    <cfRule type="cellIs" dxfId="2133" priority="4056" stopIfTrue="1" operator="lessThan">
      <formula>7</formula>
    </cfRule>
  </conditionalFormatting>
  <conditionalFormatting sqref="M491">
    <cfRule type="cellIs" dxfId="2132" priority="4049" stopIfTrue="1" operator="lessThan">
      <formula>7</formula>
    </cfRule>
  </conditionalFormatting>
  <conditionalFormatting sqref="M492">
    <cfRule type="cellIs" dxfId="2131" priority="4042" stopIfTrue="1" operator="lessThan">
      <formula>7</formula>
    </cfRule>
  </conditionalFormatting>
  <conditionalFormatting sqref="M493">
    <cfRule type="cellIs" dxfId="2130" priority="4035" stopIfTrue="1" operator="lessThan">
      <formula>7</formula>
    </cfRule>
  </conditionalFormatting>
  <conditionalFormatting sqref="M494">
    <cfRule type="cellIs" dxfId="2129" priority="4028" stopIfTrue="1" operator="lessThan">
      <formula>7</formula>
    </cfRule>
  </conditionalFormatting>
  <conditionalFormatting sqref="M495">
    <cfRule type="cellIs" dxfId="2128" priority="4906" stopIfTrue="1" operator="lessThan">
      <formula>7</formula>
    </cfRule>
  </conditionalFormatting>
  <conditionalFormatting sqref="M496">
    <cfRule type="cellIs" dxfId="2127" priority="4837" stopIfTrue="1" operator="lessThan">
      <formula>7</formula>
    </cfRule>
  </conditionalFormatting>
  <conditionalFormatting sqref="M497">
    <cfRule type="cellIs" dxfId="2126" priority="4903" stopIfTrue="1" operator="lessThan">
      <formula>7</formula>
    </cfRule>
  </conditionalFormatting>
  <conditionalFormatting sqref="M498">
    <cfRule type="cellIs" dxfId="2125" priority="4830" stopIfTrue="1" operator="lessThan">
      <formula>7</formula>
    </cfRule>
  </conditionalFormatting>
  <conditionalFormatting sqref="M499">
    <cfRule type="cellIs" dxfId="2124" priority="4915" stopIfTrue="1" operator="lessThan">
      <formula>7</formula>
    </cfRule>
  </conditionalFormatting>
  <conditionalFormatting sqref="M500">
    <cfRule type="cellIs" dxfId="2123" priority="4823" stopIfTrue="1" operator="lessThan">
      <formula>7</formula>
    </cfRule>
  </conditionalFormatting>
  <conditionalFormatting sqref="M501">
    <cfRule type="cellIs" dxfId="2122" priority="4858" stopIfTrue="1" operator="lessThan">
      <formula>7</formula>
    </cfRule>
  </conditionalFormatting>
  <conditionalFormatting sqref="M502">
    <cfRule type="cellIs" dxfId="2121" priority="4851" stopIfTrue="1" operator="lessThan">
      <formula>7</formula>
    </cfRule>
  </conditionalFormatting>
  <conditionalFormatting sqref="M503">
    <cfRule type="cellIs" dxfId="2120" priority="4900" stopIfTrue="1" operator="lessThan">
      <formula>7</formula>
    </cfRule>
  </conditionalFormatting>
  <conditionalFormatting sqref="M504">
    <cfRule type="cellIs" dxfId="2119" priority="4816" stopIfTrue="1" operator="lessThan">
      <formula>7</formula>
    </cfRule>
  </conditionalFormatting>
  <conditionalFormatting sqref="M505">
    <cfRule type="cellIs" dxfId="2118" priority="122" stopIfTrue="1" operator="between">
      <formula>7</formula>
      <formula>14</formula>
    </cfRule>
    <cfRule type="cellIs" dxfId="2117" priority="123" stopIfTrue="1" operator="lessThan">
      <formula>7</formula>
    </cfRule>
  </conditionalFormatting>
  <conditionalFormatting sqref="M506">
    <cfRule type="cellIs" dxfId="2116" priority="115" stopIfTrue="1" operator="between">
      <formula>7</formula>
      <formula>14</formula>
    </cfRule>
    <cfRule type="cellIs" dxfId="2115" priority="116" stopIfTrue="1" operator="lessThan">
      <formula>7</formula>
    </cfRule>
  </conditionalFormatting>
  <conditionalFormatting sqref="M507">
    <cfRule type="cellIs" dxfId="2114" priority="1343" stopIfTrue="1" operator="lessThan">
      <formula>7</formula>
    </cfRule>
    <cfRule type="cellIs" dxfId="2113" priority="1342" stopIfTrue="1" operator="between">
      <formula>7</formula>
      <formula>14</formula>
    </cfRule>
  </conditionalFormatting>
  <conditionalFormatting sqref="M508">
    <cfRule type="cellIs" dxfId="2112" priority="1335" stopIfTrue="1" operator="between">
      <formula>7</formula>
      <formula>14</formula>
    </cfRule>
    <cfRule type="cellIs" dxfId="2111" priority="1336" stopIfTrue="1" operator="lessThan">
      <formula>7</formula>
    </cfRule>
  </conditionalFormatting>
  <conditionalFormatting sqref="M509">
    <cfRule type="cellIs" dxfId="2110" priority="1332" stopIfTrue="1" operator="between">
      <formula>7</formula>
      <formula>14</formula>
    </cfRule>
    <cfRule type="cellIs" dxfId="2109" priority="1333" stopIfTrue="1" operator="lessThan">
      <formula>7</formula>
    </cfRule>
  </conditionalFormatting>
  <conditionalFormatting sqref="M510">
    <cfRule type="cellIs" dxfId="2108" priority="1329" stopIfTrue="1" operator="between">
      <formula>7</formula>
      <formula>14</formula>
    </cfRule>
    <cfRule type="cellIs" dxfId="2107" priority="1330" stopIfTrue="1" operator="lessThan">
      <formula>7</formula>
    </cfRule>
  </conditionalFormatting>
  <conditionalFormatting sqref="M511">
    <cfRule type="cellIs" dxfId="2106" priority="4021" stopIfTrue="1" operator="lessThan">
      <formula>7</formula>
    </cfRule>
  </conditionalFormatting>
  <conditionalFormatting sqref="M511:M512">
    <cfRule type="cellIs" dxfId="2105" priority="4013" stopIfTrue="1" operator="between">
      <formula>7</formula>
      <formula>14</formula>
    </cfRule>
  </conditionalFormatting>
  <conditionalFormatting sqref="M512">
    <cfRule type="cellIs" dxfId="2104" priority="4014" stopIfTrue="1" operator="lessThan">
      <formula>7</formula>
    </cfRule>
  </conditionalFormatting>
  <conditionalFormatting sqref="M514">
    <cfRule type="cellIs" dxfId="2103" priority="4007" stopIfTrue="1" operator="lessThan">
      <formula>7</formula>
    </cfRule>
  </conditionalFormatting>
  <conditionalFormatting sqref="M514:M525">
    <cfRule type="cellIs" dxfId="2102" priority="3978" stopIfTrue="1" operator="between">
      <formula>7</formula>
      <formula>14</formula>
    </cfRule>
  </conditionalFormatting>
  <conditionalFormatting sqref="M514:M568">
    <cfRule type="cellIs" dxfId="2101" priority="415" stopIfTrue="1" operator="greaterThanOrEqual">
      <formula>15</formula>
    </cfRule>
  </conditionalFormatting>
  <conditionalFormatting sqref="M515">
    <cfRule type="cellIs" dxfId="2100" priority="4000" stopIfTrue="1" operator="lessThan">
      <formula>7</formula>
    </cfRule>
  </conditionalFormatting>
  <conditionalFormatting sqref="M516:M519">
    <cfRule type="cellIs" dxfId="2099" priority="3993" stopIfTrue="1" operator="lessThan">
      <formula>7</formula>
    </cfRule>
  </conditionalFormatting>
  <conditionalFormatting sqref="M520">
    <cfRule type="cellIs" dxfId="2098" priority="3986" stopIfTrue="1" operator="lessThan">
      <formula>7</formula>
    </cfRule>
  </conditionalFormatting>
  <conditionalFormatting sqref="M521">
    <cfRule type="cellIs" dxfId="2097" priority="3979" stopIfTrue="1" operator="lessThan">
      <formula>7</formula>
    </cfRule>
  </conditionalFormatting>
  <conditionalFormatting sqref="M522">
    <cfRule type="cellIs" dxfId="2096" priority="4897" stopIfTrue="1" operator="lessThan">
      <formula>7</formula>
    </cfRule>
  </conditionalFormatting>
  <conditionalFormatting sqref="M523">
    <cfRule type="cellIs" dxfId="2095" priority="4809" stopIfTrue="1" operator="lessThan">
      <formula>7</formula>
    </cfRule>
  </conditionalFormatting>
  <conditionalFormatting sqref="M524">
    <cfRule type="cellIs" dxfId="2094" priority="4894" stopIfTrue="1" operator="lessThan">
      <formula>7</formula>
    </cfRule>
  </conditionalFormatting>
  <conditionalFormatting sqref="M525">
    <cfRule type="cellIs" dxfId="2093" priority="4802" stopIfTrue="1" operator="lessThan">
      <formula>7</formula>
    </cfRule>
  </conditionalFormatting>
  <conditionalFormatting sqref="M526">
    <cfRule type="cellIs" dxfId="2092" priority="1147" stopIfTrue="1" operator="between">
      <formula>7</formula>
      <formula>14</formula>
    </cfRule>
    <cfRule type="cellIs" dxfId="2091" priority="1148" stopIfTrue="1" operator="lessThan">
      <formula>7</formula>
    </cfRule>
  </conditionalFormatting>
  <conditionalFormatting sqref="M527">
    <cfRule type="cellIs" dxfId="2090" priority="1140" stopIfTrue="1" operator="between">
      <formula>7</formula>
      <formula>14</formula>
    </cfRule>
    <cfRule type="cellIs" dxfId="2089" priority="1141" stopIfTrue="1" operator="lessThan">
      <formula>7</formula>
    </cfRule>
  </conditionalFormatting>
  <conditionalFormatting sqref="M528">
    <cfRule type="cellIs" dxfId="2088" priority="1123" stopIfTrue="1" operator="lessThan">
      <formula>7</formula>
    </cfRule>
    <cfRule type="cellIs" dxfId="2087" priority="1122" stopIfTrue="1" operator="between">
      <formula>7</formula>
      <formula>14</formula>
    </cfRule>
  </conditionalFormatting>
  <conditionalFormatting sqref="M529">
    <cfRule type="cellIs" dxfId="2086" priority="1115" stopIfTrue="1" operator="lessThan">
      <formula>7</formula>
    </cfRule>
    <cfRule type="cellIs" dxfId="2085" priority="1114" stopIfTrue="1" operator="between">
      <formula>7</formula>
      <formula>14</formula>
    </cfRule>
  </conditionalFormatting>
  <conditionalFormatting sqref="M530:M531">
    <cfRule type="cellIs" dxfId="2084" priority="1133" stopIfTrue="1" operator="lessThan">
      <formula>7</formula>
    </cfRule>
    <cfRule type="cellIs" dxfId="2083" priority="1132" stopIfTrue="1" operator="between">
      <formula>7</formula>
      <formula>14</formula>
    </cfRule>
  </conditionalFormatting>
  <conditionalFormatting sqref="M532">
    <cfRule type="cellIs" dxfId="2082" priority="1126" stopIfTrue="1" operator="lessThan">
      <formula>7</formula>
    </cfRule>
    <cfRule type="cellIs" dxfId="2081" priority="1125" stopIfTrue="1" operator="between">
      <formula>7</formula>
      <formula>14</formula>
    </cfRule>
  </conditionalFormatting>
  <conditionalFormatting sqref="M533">
    <cfRule type="cellIs" dxfId="2080" priority="4891" stopIfTrue="1" operator="lessThan">
      <formula>7</formula>
    </cfRule>
  </conditionalFormatting>
  <conditionalFormatting sqref="M533:M534">
    <cfRule type="cellIs" dxfId="2079" priority="3971" stopIfTrue="1" operator="between">
      <formula>7</formula>
      <formula>14</formula>
    </cfRule>
  </conditionalFormatting>
  <conditionalFormatting sqref="M534">
    <cfRule type="cellIs" dxfId="2078" priority="3972" stopIfTrue="1" operator="lessThan">
      <formula>7</formula>
    </cfRule>
  </conditionalFormatting>
  <conditionalFormatting sqref="M535:M536">
    <cfRule type="cellIs" dxfId="2077" priority="882" stopIfTrue="1" operator="between">
      <formula>7</formula>
      <formula>14</formula>
    </cfRule>
    <cfRule type="cellIs" dxfId="2076" priority="883" stopIfTrue="1" operator="lessThan">
      <formula>7</formula>
    </cfRule>
  </conditionalFormatting>
  <conditionalFormatting sqref="M537">
    <cfRule type="cellIs" dxfId="2075" priority="875" stopIfTrue="1" operator="between">
      <formula>7</formula>
      <formula>14</formula>
    </cfRule>
    <cfRule type="cellIs" dxfId="2074" priority="876" stopIfTrue="1" operator="lessThan">
      <formula>7</formula>
    </cfRule>
  </conditionalFormatting>
  <conditionalFormatting sqref="M538">
    <cfRule type="cellIs" dxfId="2073" priority="3965" stopIfTrue="1" operator="lessThan">
      <formula>7</formula>
    </cfRule>
  </conditionalFormatting>
  <conditionalFormatting sqref="M538:M541">
    <cfRule type="cellIs" dxfId="2072" priority="3957" stopIfTrue="1" operator="between">
      <formula>7</formula>
      <formula>14</formula>
    </cfRule>
  </conditionalFormatting>
  <conditionalFormatting sqref="M539">
    <cfRule type="cellIs" dxfId="2071" priority="3958" stopIfTrue="1" operator="lessThan">
      <formula>7</formula>
    </cfRule>
  </conditionalFormatting>
  <conditionalFormatting sqref="M540">
    <cfRule type="cellIs" dxfId="2070" priority="4885" stopIfTrue="1" operator="lessThan">
      <formula>7</formula>
    </cfRule>
  </conditionalFormatting>
  <conditionalFormatting sqref="M541">
    <cfRule type="cellIs" dxfId="2069" priority="4888" stopIfTrue="1" operator="lessThan">
      <formula>7</formula>
    </cfRule>
  </conditionalFormatting>
  <conditionalFormatting sqref="M542:M545">
    <cfRule type="cellIs" dxfId="2068" priority="2270" stopIfTrue="1" operator="between">
      <formula>7</formula>
      <formula>14</formula>
    </cfRule>
    <cfRule type="cellIs" dxfId="2067" priority="2271" stopIfTrue="1" operator="lessThan">
      <formula>7</formula>
    </cfRule>
  </conditionalFormatting>
  <conditionalFormatting sqref="M546">
    <cfRule type="cellIs" dxfId="2066" priority="3951" stopIfTrue="1" operator="lessThan">
      <formula>7</formula>
    </cfRule>
  </conditionalFormatting>
  <conditionalFormatting sqref="M546:M547">
    <cfRule type="cellIs" dxfId="2065" priority="3402" stopIfTrue="1" operator="between">
      <formula>7</formula>
      <formula>14</formula>
    </cfRule>
  </conditionalFormatting>
  <conditionalFormatting sqref="M547">
    <cfRule type="cellIs" dxfId="2064" priority="3403" stopIfTrue="1" operator="lessThan">
      <formula>7</formula>
    </cfRule>
  </conditionalFormatting>
  <conditionalFormatting sqref="M548">
    <cfRule type="cellIs" dxfId="2063" priority="814" stopIfTrue="1" operator="between">
      <formula>7</formula>
      <formula>14</formula>
    </cfRule>
    <cfRule type="cellIs" dxfId="2062" priority="815" stopIfTrue="1" operator="lessThan">
      <formula>7</formula>
    </cfRule>
  </conditionalFormatting>
  <conditionalFormatting sqref="M549">
    <cfRule type="cellIs" dxfId="2061" priority="807" stopIfTrue="1" operator="between">
      <formula>7</formula>
      <formula>14</formula>
    </cfRule>
    <cfRule type="cellIs" dxfId="2060" priority="808" stopIfTrue="1" operator="lessThan">
      <formula>7</formula>
    </cfRule>
  </conditionalFormatting>
  <conditionalFormatting sqref="M550">
    <cfRule type="cellIs" dxfId="2059" priority="3944" stopIfTrue="1" operator="lessThan">
      <formula>7</formula>
    </cfRule>
  </conditionalFormatting>
  <conditionalFormatting sqref="M550:M553">
    <cfRule type="cellIs" dxfId="2058" priority="3395" stopIfTrue="1" operator="between">
      <formula>7</formula>
      <formula>14</formula>
    </cfRule>
  </conditionalFormatting>
  <conditionalFormatting sqref="M551">
    <cfRule type="cellIs" dxfId="2057" priority="3396" stopIfTrue="1" operator="lessThan">
      <formula>7</formula>
    </cfRule>
  </conditionalFormatting>
  <conditionalFormatting sqref="M552">
    <cfRule type="cellIs" dxfId="2056" priority="4882" stopIfTrue="1" operator="lessThan">
      <formula>7</formula>
    </cfRule>
  </conditionalFormatting>
  <conditionalFormatting sqref="M553">
    <cfRule type="cellIs" dxfId="2055" priority="3937" stopIfTrue="1" operator="lessThan">
      <formula>7</formula>
    </cfRule>
  </conditionalFormatting>
  <conditionalFormatting sqref="M554">
    <cfRule type="cellIs" dxfId="2054" priority="716" stopIfTrue="1" operator="lessThan">
      <formula>7</formula>
    </cfRule>
    <cfRule type="cellIs" dxfId="2053" priority="715" stopIfTrue="1" operator="between">
      <formula>7</formula>
      <formula>14</formula>
    </cfRule>
  </conditionalFormatting>
  <conditionalFormatting sqref="M555">
    <cfRule type="cellIs" dxfId="2052" priority="707" stopIfTrue="1" operator="between">
      <formula>7</formula>
      <formula>14</formula>
    </cfRule>
    <cfRule type="cellIs" dxfId="2051" priority="708" stopIfTrue="1" operator="lessThan">
      <formula>7</formula>
    </cfRule>
  </conditionalFormatting>
  <conditionalFormatting sqref="M556">
    <cfRule type="cellIs" dxfId="2050" priority="704" stopIfTrue="1" operator="between">
      <formula>7</formula>
      <formula>14</formula>
    </cfRule>
    <cfRule type="cellIs" dxfId="2049" priority="705" stopIfTrue="1" operator="lessThan">
      <formula>7</formula>
    </cfRule>
  </conditionalFormatting>
  <conditionalFormatting sqref="M557">
    <cfRule type="cellIs" dxfId="2048" priority="697" stopIfTrue="1" operator="lessThan">
      <formula>7</formula>
    </cfRule>
    <cfRule type="cellIs" dxfId="2047" priority="696" stopIfTrue="1" operator="between">
      <formula>7</formula>
      <formula>14</formula>
    </cfRule>
  </conditionalFormatting>
  <conditionalFormatting sqref="M558">
    <cfRule type="cellIs" dxfId="2046" priority="694" stopIfTrue="1" operator="lessThan">
      <formula>7</formula>
    </cfRule>
    <cfRule type="cellIs" dxfId="2045" priority="693" stopIfTrue="1" operator="between">
      <formula>7</formula>
      <formula>14</formula>
    </cfRule>
  </conditionalFormatting>
  <conditionalFormatting sqref="M559">
    <cfRule type="cellIs" dxfId="2044" priority="686" stopIfTrue="1" operator="lessThan">
      <formula>7</formula>
    </cfRule>
    <cfRule type="cellIs" dxfId="2043" priority="685" stopIfTrue="1" operator="between">
      <formula>7</formula>
      <formula>14</formula>
    </cfRule>
  </conditionalFormatting>
  <conditionalFormatting sqref="M560:M561">
    <cfRule type="cellIs" dxfId="2042" priority="441" stopIfTrue="1" operator="lessThan">
      <formula>7</formula>
    </cfRule>
    <cfRule type="cellIs" dxfId="2041" priority="440" stopIfTrue="1" operator="between">
      <formula>7</formula>
      <formula>14</formula>
    </cfRule>
  </conditionalFormatting>
  <conditionalFormatting sqref="M562:M563">
    <cfRule type="cellIs" dxfId="2040" priority="433" stopIfTrue="1" operator="lessThan">
      <formula>7</formula>
    </cfRule>
    <cfRule type="cellIs" dxfId="2039" priority="432" stopIfTrue="1" operator="between">
      <formula>7</formula>
      <formula>14</formula>
    </cfRule>
  </conditionalFormatting>
  <conditionalFormatting sqref="M564:M565">
    <cfRule type="cellIs" dxfId="2038" priority="425" stopIfTrue="1" operator="lessThan">
      <formula>7</formula>
    </cfRule>
    <cfRule type="cellIs" dxfId="2037" priority="424" stopIfTrue="1" operator="between">
      <formula>7</formula>
      <formula>14</formula>
    </cfRule>
  </conditionalFormatting>
  <conditionalFormatting sqref="M566:M567">
    <cfRule type="cellIs" dxfId="2036" priority="417" stopIfTrue="1" operator="lessThan">
      <formula>7</formula>
    </cfRule>
    <cfRule type="cellIs" dxfId="2035" priority="416" stopIfTrue="1" operator="between">
      <formula>7</formula>
      <formula>14</formula>
    </cfRule>
  </conditionalFormatting>
  <conditionalFormatting sqref="M568">
    <cfRule type="cellIs" dxfId="2034" priority="3929" stopIfTrue="1" operator="between">
      <formula>7</formula>
      <formula>14</formula>
    </cfRule>
    <cfRule type="cellIs" dxfId="2033" priority="3930" stopIfTrue="1" operator="lessThan">
      <formula>7</formula>
    </cfRule>
  </conditionalFormatting>
  <conditionalFormatting sqref="M571">
    <cfRule type="cellIs" dxfId="2032" priority="3283" stopIfTrue="1" operator="lessThan">
      <formula>7</formula>
    </cfRule>
  </conditionalFormatting>
  <conditionalFormatting sqref="M571:M572">
    <cfRule type="cellIs" dxfId="2031" priority="3275" stopIfTrue="1" operator="between">
      <formula>7</formula>
      <formula>14</formula>
    </cfRule>
  </conditionalFormatting>
  <conditionalFormatting sqref="M571:M601">
    <cfRule type="cellIs" dxfId="2030" priority="579" stopIfTrue="1" operator="greaterThanOrEqual">
      <formula>15</formula>
    </cfRule>
  </conditionalFormatting>
  <conditionalFormatting sqref="M572">
    <cfRule type="cellIs" dxfId="2029" priority="3276" stopIfTrue="1" operator="lessThan">
      <formula>7</formula>
    </cfRule>
  </conditionalFormatting>
  <conditionalFormatting sqref="M573:M574">
    <cfRule type="cellIs" dxfId="2028" priority="581" stopIfTrue="1" operator="lessThan">
      <formula>7</formula>
    </cfRule>
    <cfRule type="cellIs" dxfId="2027" priority="580" stopIfTrue="1" operator="between">
      <formula>7</formula>
      <formula>14</formula>
    </cfRule>
  </conditionalFormatting>
  <conditionalFormatting sqref="M575">
    <cfRule type="cellIs" dxfId="2026" priority="3203" stopIfTrue="1" operator="lessThan">
      <formula>7</formula>
    </cfRule>
  </conditionalFormatting>
  <conditionalFormatting sqref="M575:M601">
    <cfRule type="cellIs" dxfId="2025" priority="3055" stopIfTrue="1" operator="between">
      <formula>7</formula>
      <formula>14</formula>
    </cfRule>
  </conditionalFormatting>
  <conditionalFormatting sqref="M576">
    <cfRule type="cellIs" dxfId="2024" priority="3375" stopIfTrue="1" operator="lessThan">
      <formula>7</formula>
    </cfRule>
  </conditionalFormatting>
  <conditionalFormatting sqref="M577">
    <cfRule type="cellIs" dxfId="2023" priority="3269" stopIfTrue="1" operator="lessThan">
      <formula>7</formula>
    </cfRule>
  </conditionalFormatting>
  <conditionalFormatting sqref="M578">
    <cfRule type="cellIs" dxfId="2022" priority="3196" stopIfTrue="1" operator="lessThan">
      <formula>7</formula>
    </cfRule>
  </conditionalFormatting>
  <conditionalFormatting sqref="M579">
    <cfRule type="cellIs" dxfId="2021" priority="3189" stopIfTrue="1" operator="lessThan">
      <formula>7</formula>
    </cfRule>
  </conditionalFormatting>
  <conditionalFormatting sqref="M580">
    <cfRule type="cellIs" dxfId="2020" priority="3182" stopIfTrue="1" operator="lessThan">
      <formula>7</formula>
    </cfRule>
  </conditionalFormatting>
  <conditionalFormatting sqref="M581">
    <cfRule type="cellIs" dxfId="2019" priority="3175" stopIfTrue="1" operator="lessThan">
      <formula>7</formula>
    </cfRule>
  </conditionalFormatting>
  <conditionalFormatting sqref="M582">
    <cfRule type="cellIs" dxfId="2018" priority="3168" stopIfTrue="1" operator="lessThan">
      <formula>7</formula>
    </cfRule>
  </conditionalFormatting>
  <conditionalFormatting sqref="M583">
    <cfRule type="cellIs" dxfId="2017" priority="3161" stopIfTrue="1" operator="lessThan">
      <formula>7</formula>
    </cfRule>
  </conditionalFormatting>
  <conditionalFormatting sqref="M584">
    <cfRule type="cellIs" dxfId="2016" priority="3326" stopIfTrue="1" operator="lessThan">
      <formula>7</formula>
    </cfRule>
  </conditionalFormatting>
  <conditionalFormatting sqref="M585">
    <cfRule type="cellIs" dxfId="2015" priority="3154" stopIfTrue="1" operator="lessThan">
      <formula>7</formula>
    </cfRule>
  </conditionalFormatting>
  <conditionalFormatting sqref="M586">
    <cfRule type="cellIs" dxfId="2014" priority="3147" stopIfTrue="1" operator="lessThan">
      <formula>7</formula>
    </cfRule>
  </conditionalFormatting>
  <conditionalFormatting sqref="M587">
    <cfRule type="cellIs" dxfId="2013" priority="3140" stopIfTrue="1" operator="lessThan">
      <formula>7</formula>
    </cfRule>
  </conditionalFormatting>
  <conditionalFormatting sqref="M588">
    <cfRule type="cellIs" dxfId="2012" priority="3133" stopIfTrue="1" operator="lessThan">
      <formula>7</formula>
    </cfRule>
  </conditionalFormatting>
  <conditionalFormatting sqref="M589">
    <cfRule type="cellIs" dxfId="2011" priority="3126" stopIfTrue="1" operator="lessThan">
      <formula>7</formula>
    </cfRule>
  </conditionalFormatting>
  <conditionalFormatting sqref="M590">
    <cfRule type="cellIs" dxfId="2010" priority="3119" stopIfTrue="1" operator="lessThan">
      <formula>7</formula>
    </cfRule>
  </conditionalFormatting>
  <conditionalFormatting sqref="M591">
    <cfRule type="cellIs" dxfId="2009" priority="3112" stopIfTrue="1" operator="lessThan">
      <formula>7</formula>
    </cfRule>
  </conditionalFormatting>
  <conditionalFormatting sqref="M592">
    <cfRule type="cellIs" dxfId="2008" priority="3320" stopIfTrue="1" operator="lessThan">
      <formula>7</formula>
    </cfRule>
  </conditionalFormatting>
  <conditionalFormatting sqref="M593">
    <cfRule type="cellIs" dxfId="2007" priority="3105" stopIfTrue="1" operator="lessThan">
      <formula>7</formula>
    </cfRule>
  </conditionalFormatting>
  <conditionalFormatting sqref="M594">
    <cfRule type="cellIs" dxfId="2006" priority="3098" stopIfTrue="1" operator="lessThan">
      <formula>7</formula>
    </cfRule>
  </conditionalFormatting>
  <conditionalFormatting sqref="M595">
    <cfRule type="cellIs" dxfId="2005" priority="3091" stopIfTrue="1" operator="lessThan">
      <formula>7</formula>
    </cfRule>
  </conditionalFormatting>
  <conditionalFormatting sqref="M596">
    <cfRule type="cellIs" dxfId="2004" priority="3084" stopIfTrue="1" operator="lessThan">
      <formula>7</formula>
    </cfRule>
  </conditionalFormatting>
  <conditionalFormatting sqref="M597">
    <cfRule type="cellIs" dxfId="2003" priority="3077" stopIfTrue="1" operator="lessThan">
      <formula>7</formula>
    </cfRule>
  </conditionalFormatting>
  <conditionalFormatting sqref="M598">
    <cfRule type="cellIs" dxfId="2002" priority="3070" stopIfTrue="1" operator="lessThan">
      <formula>7</formula>
    </cfRule>
  </conditionalFormatting>
  <conditionalFormatting sqref="M599">
    <cfRule type="cellIs" dxfId="2001" priority="3063" stopIfTrue="1" operator="lessThan">
      <formula>7</formula>
    </cfRule>
  </conditionalFormatting>
  <conditionalFormatting sqref="M600">
    <cfRule type="cellIs" dxfId="2000" priority="3252" stopIfTrue="1" operator="lessThan">
      <formula>7</formula>
    </cfRule>
  </conditionalFormatting>
  <conditionalFormatting sqref="M601">
    <cfRule type="cellIs" dxfId="1999" priority="3056" stopIfTrue="1" operator="lessThan">
      <formula>7</formula>
    </cfRule>
  </conditionalFormatting>
  <conditionalFormatting sqref="M603">
    <cfRule type="cellIs" dxfId="1998" priority="3049" stopIfTrue="1" operator="lessThan">
      <formula>7</formula>
    </cfRule>
  </conditionalFormatting>
  <conditionalFormatting sqref="M603:M625">
    <cfRule type="cellIs" dxfId="1997" priority="2985" stopIfTrue="1" operator="between">
      <formula>7</formula>
      <formula>14</formula>
    </cfRule>
    <cfRule type="cellIs" dxfId="1996" priority="2984" stopIfTrue="1" operator="greaterThanOrEqual">
      <formula>15</formula>
    </cfRule>
  </conditionalFormatting>
  <conditionalFormatting sqref="M604">
    <cfRule type="cellIs" dxfId="1995" priority="3042" stopIfTrue="1" operator="lessThan">
      <formula>7</formula>
    </cfRule>
  </conditionalFormatting>
  <conditionalFormatting sqref="M605">
    <cfRule type="cellIs" dxfId="1994" priority="3344" stopIfTrue="1" operator="lessThan">
      <formula>7</formula>
    </cfRule>
  </conditionalFormatting>
  <conditionalFormatting sqref="M606">
    <cfRule type="cellIs" dxfId="1993" priority="3317" stopIfTrue="1" operator="lessThan">
      <formula>7</formula>
    </cfRule>
  </conditionalFormatting>
  <conditionalFormatting sqref="M607">
    <cfRule type="cellIs" dxfId="1992" priority="3035" stopIfTrue="1" operator="lessThan">
      <formula>7</formula>
    </cfRule>
  </conditionalFormatting>
  <conditionalFormatting sqref="M608">
    <cfRule type="cellIs" dxfId="1991" priority="3329" stopIfTrue="1" operator="lessThan">
      <formula>7</formula>
    </cfRule>
  </conditionalFormatting>
  <conditionalFormatting sqref="M609">
    <cfRule type="cellIs" dxfId="1990" priority="3028" stopIfTrue="1" operator="lessThan">
      <formula>7</formula>
    </cfRule>
  </conditionalFormatting>
  <conditionalFormatting sqref="M610">
    <cfRule type="cellIs" dxfId="1989" priority="3021" stopIfTrue="1" operator="lessThan">
      <formula>7</formula>
    </cfRule>
  </conditionalFormatting>
  <conditionalFormatting sqref="M611">
    <cfRule type="cellIs" dxfId="1988" priority="3014" stopIfTrue="1" operator="lessThan">
      <formula>7</formula>
    </cfRule>
  </conditionalFormatting>
  <conditionalFormatting sqref="M612">
    <cfRule type="cellIs" dxfId="1987" priority="3007" stopIfTrue="1" operator="lessThan">
      <formula>7</formula>
    </cfRule>
  </conditionalFormatting>
  <conditionalFormatting sqref="M613">
    <cfRule type="cellIs" dxfId="1986" priority="3000" stopIfTrue="1" operator="lessThan">
      <formula>7</formula>
    </cfRule>
  </conditionalFormatting>
  <conditionalFormatting sqref="M614">
    <cfRule type="cellIs" dxfId="1985" priority="3314" stopIfTrue="1" operator="lessThan">
      <formula>7</formula>
    </cfRule>
  </conditionalFormatting>
  <conditionalFormatting sqref="M615">
    <cfRule type="cellIs" dxfId="1984" priority="3245" stopIfTrue="1" operator="lessThan">
      <formula>7</formula>
    </cfRule>
  </conditionalFormatting>
  <conditionalFormatting sqref="M616">
    <cfRule type="cellIs" dxfId="1983" priority="3311" stopIfTrue="1" operator="lessThan">
      <formula>7</formula>
    </cfRule>
  </conditionalFormatting>
  <conditionalFormatting sqref="M617">
    <cfRule type="cellIs" dxfId="1982" priority="3238" stopIfTrue="1" operator="lessThan">
      <formula>7</formula>
    </cfRule>
  </conditionalFormatting>
  <conditionalFormatting sqref="M618">
    <cfRule type="cellIs" dxfId="1981" priority="3323" stopIfTrue="1" operator="lessThan">
      <formula>7</formula>
    </cfRule>
  </conditionalFormatting>
  <conditionalFormatting sqref="M619">
    <cfRule type="cellIs" dxfId="1980" priority="3231" stopIfTrue="1" operator="lessThan">
      <formula>7</formula>
    </cfRule>
  </conditionalFormatting>
  <conditionalFormatting sqref="M620">
    <cfRule type="cellIs" dxfId="1979" priority="3266" stopIfTrue="1" operator="lessThan">
      <formula>7</formula>
    </cfRule>
  </conditionalFormatting>
  <conditionalFormatting sqref="M621">
    <cfRule type="cellIs" dxfId="1978" priority="3259" stopIfTrue="1" operator="lessThan">
      <formula>7</formula>
    </cfRule>
  </conditionalFormatting>
  <conditionalFormatting sqref="M622">
    <cfRule type="cellIs" dxfId="1977" priority="3308" stopIfTrue="1" operator="lessThan">
      <formula>7</formula>
    </cfRule>
  </conditionalFormatting>
  <conditionalFormatting sqref="M623">
    <cfRule type="cellIs" dxfId="1976" priority="3224" stopIfTrue="1" operator="lessThan">
      <formula>7</formula>
    </cfRule>
  </conditionalFormatting>
  <conditionalFormatting sqref="M624">
    <cfRule type="cellIs" dxfId="1975" priority="2993" stopIfTrue="1" operator="lessThan">
      <formula>7</formula>
    </cfRule>
  </conditionalFormatting>
  <conditionalFormatting sqref="M625">
    <cfRule type="cellIs" dxfId="1974" priority="2986" stopIfTrue="1" operator="lessThan">
      <formula>7</formula>
    </cfRule>
  </conditionalFormatting>
  <conditionalFormatting sqref="M627">
    <cfRule type="cellIs" dxfId="1973" priority="2979" stopIfTrue="1" operator="lessThan">
      <formula>7</formula>
    </cfRule>
  </conditionalFormatting>
  <conditionalFormatting sqref="M627:M648">
    <cfRule type="cellIs" dxfId="1972" priority="2886" stopIfTrue="1" operator="greaterThanOrEqual">
      <formula>15</formula>
    </cfRule>
    <cfRule type="cellIs" dxfId="1971" priority="2887" stopIfTrue="1" operator="between">
      <formula>7</formula>
      <formula>14</formula>
    </cfRule>
  </conditionalFormatting>
  <conditionalFormatting sqref="M628">
    <cfRule type="cellIs" dxfId="1970" priority="2972" stopIfTrue="1" operator="lessThan">
      <formula>7</formula>
    </cfRule>
  </conditionalFormatting>
  <conditionalFormatting sqref="M629">
    <cfRule type="cellIs" dxfId="1969" priority="2965" stopIfTrue="1" operator="lessThan">
      <formula>7</formula>
    </cfRule>
  </conditionalFormatting>
  <conditionalFormatting sqref="M630">
    <cfRule type="cellIs" dxfId="1968" priority="2958" stopIfTrue="1" operator="lessThan">
      <formula>7</formula>
    </cfRule>
  </conditionalFormatting>
  <conditionalFormatting sqref="M631">
    <cfRule type="cellIs" dxfId="1967" priority="2951" stopIfTrue="1" operator="lessThan">
      <formula>7</formula>
    </cfRule>
  </conditionalFormatting>
  <conditionalFormatting sqref="M632">
    <cfRule type="cellIs" dxfId="1966" priority="3305" stopIfTrue="1" operator="lessThan">
      <formula>7</formula>
    </cfRule>
  </conditionalFormatting>
  <conditionalFormatting sqref="M633">
    <cfRule type="cellIs" dxfId="1965" priority="3217" stopIfTrue="1" operator="lessThan">
      <formula>7</formula>
    </cfRule>
  </conditionalFormatting>
  <conditionalFormatting sqref="M634">
    <cfRule type="cellIs" dxfId="1964" priority="3302" stopIfTrue="1" operator="lessThan">
      <formula>7</formula>
    </cfRule>
  </conditionalFormatting>
  <conditionalFormatting sqref="M635">
    <cfRule type="cellIs" dxfId="1963" priority="3210" stopIfTrue="1" operator="lessThan">
      <formula>7</formula>
    </cfRule>
  </conditionalFormatting>
  <conditionalFormatting sqref="M636">
    <cfRule type="cellIs" dxfId="1962" priority="3299" stopIfTrue="1" operator="lessThan">
      <formula>7</formula>
    </cfRule>
  </conditionalFormatting>
  <conditionalFormatting sqref="M637">
    <cfRule type="cellIs" dxfId="1961" priority="2944" stopIfTrue="1" operator="lessThan">
      <formula>7</formula>
    </cfRule>
  </conditionalFormatting>
  <conditionalFormatting sqref="M638">
    <cfRule type="cellIs" dxfId="1960" priority="2937" stopIfTrue="1" operator="lessThan">
      <formula>7</formula>
    </cfRule>
  </conditionalFormatting>
  <conditionalFormatting sqref="M639">
    <cfRule type="cellIs" dxfId="1959" priority="2930" stopIfTrue="1" operator="lessThan">
      <formula>7</formula>
    </cfRule>
  </conditionalFormatting>
  <conditionalFormatting sqref="M640">
    <cfRule type="cellIs" dxfId="1958" priority="3293" stopIfTrue="1" operator="lessThan">
      <formula>7</formula>
    </cfRule>
  </conditionalFormatting>
  <conditionalFormatting sqref="M641">
    <cfRule type="cellIs" dxfId="1957" priority="3296" stopIfTrue="1" operator="lessThan">
      <formula>7</formula>
    </cfRule>
  </conditionalFormatting>
  <conditionalFormatting sqref="M642">
    <cfRule type="cellIs" dxfId="1956" priority="2923" stopIfTrue="1" operator="lessThan">
      <formula>7</formula>
    </cfRule>
  </conditionalFormatting>
  <conditionalFormatting sqref="M643">
    <cfRule type="cellIs" dxfId="1955" priority="2895" stopIfTrue="1" operator="lessThan">
      <formula>7</formula>
    </cfRule>
  </conditionalFormatting>
  <conditionalFormatting sqref="M644">
    <cfRule type="cellIs" dxfId="1954" priority="2916" stopIfTrue="1" operator="lessThan">
      <formula>7</formula>
    </cfRule>
  </conditionalFormatting>
  <conditionalFormatting sqref="M645">
    <cfRule type="cellIs" dxfId="1953" priority="2888" stopIfTrue="1" operator="lessThan">
      <formula>7</formula>
    </cfRule>
  </conditionalFormatting>
  <conditionalFormatting sqref="M646">
    <cfRule type="cellIs" dxfId="1952" priority="3290" stopIfTrue="1" operator="lessThan">
      <formula>7</formula>
    </cfRule>
  </conditionalFormatting>
  <conditionalFormatting sqref="M647">
    <cfRule type="cellIs" dxfId="1951" priority="2909" stopIfTrue="1" operator="lessThan">
      <formula>7</formula>
    </cfRule>
  </conditionalFormatting>
  <conditionalFormatting sqref="M648">
    <cfRule type="cellIs" dxfId="1950" priority="2902" stopIfTrue="1" operator="lessThan">
      <formula>7</formula>
    </cfRule>
  </conditionalFormatting>
  <conditionalFormatting sqref="M651">
    <cfRule type="cellIs" dxfId="1949" priority="4703" stopIfTrue="1" operator="lessThan">
      <formula>7</formula>
    </cfRule>
  </conditionalFormatting>
  <conditionalFormatting sqref="M651:M653">
    <cfRule type="cellIs" dxfId="1948" priority="4695" stopIfTrue="1" operator="between">
      <formula>7</formula>
      <formula>14</formula>
    </cfRule>
  </conditionalFormatting>
  <conditionalFormatting sqref="M651:M738">
    <cfRule type="cellIs" dxfId="1947" priority="2" stopIfTrue="1" operator="greaterThanOrEqual">
      <formula>15</formula>
    </cfRule>
  </conditionalFormatting>
  <conditionalFormatting sqref="M652:M653">
    <cfRule type="cellIs" dxfId="1946" priority="4696" stopIfTrue="1" operator="lessThan">
      <formula>7</formula>
    </cfRule>
  </conditionalFormatting>
  <conditionalFormatting sqref="M654">
    <cfRule type="cellIs" dxfId="1945" priority="600" stopIfTrue="1" operator="between">
      <formula>7</formula>
      <formula>14</formula>
    </cfRule>
    <cfRule type="cellIs" dxfId="1944" priority="601" stopIfTrue="1" operator="lessThan">
      <formula>7</formula>
    </cfRule>
  </conditionalFormatting>
  <conditionalFormatting sqref="M655">
    <cfRule type="cellIs" dxfId="1943" priority="598" stopIfTrue="1" operator="lessThan">
      <formula>7</formula>
    </cfRule>
    <cfRule type="cellIs" dxfId="1942" priority="597" stopIfTrue="1" operator="between">
      <formula>7</formula>
      <formula>14</formula>
    </cfRule>
  </conditionalFormatting>
  <conditionalFormatting sqref="M656">
    <cfRule type="cellIs" dxfId="1941" priority="3747" stopIfTrue="1" operator="lessThan">
      <formula>7</formula>
    </cfRule>
    <cfRule type="cellIs" dxfId="1940" priority="3746" stopIfTrue="1" operator="between">
      <formula>7</formula>
      <formula>14</formula>
    </cfRule>
  </conditionalFormatting>
  <conditionalFormatting sqref="M657">
    <cfRule type="cellIs" dxfId="1939" priority="594" stopIfTrue="1" operator="between">
      <formula>7</formula>
      <formula>14</formula>
    </cfRule>
    <cfRule type="cellIs" dxfId="1938" priority="595" stopIfTrue="1" operator="lessThan">
      <formula>7</formula>
    </cfRule>
  </conditionalFormatting>
  <conditionalFormatting sqref="M658:M659">
    <cfRule type="cellIs" dxfId="1937" priority="4795" stopIfTrue="1" operator="lessThan">
      <formula>7</formula>
    </cfRule>
  </conditionalFormatting>
  <conditionalFormatting sqref="M658:M661">
    <cfRule type="cellIs" dxfId="1936" priority="3739" stopIfTrue="1" operator="between">
      <formula>7</formula>
      <formula>14</formula>
    </cfRule>
  </conditionalFormatting>
  <conditionalFormatting sqref="M660">
    <cfRule type="cellIs" dxfId="1935" priority="4689" stopIfTrue="1" operator="lessThan">
      <formula>7</formula>
    </cfRule>
  </conditionalFormatting>
  <conditionalFormatting sqref="M661">
    <cfRule type="cellIs" dxfId="1934" priority="3740" stopIfTrue="1" operator="lessThan">
      <formula>7</formula>
    </cfRule>
  </conditionalFormatting>
  <conditionalFormatting sqref="M662">
    <cfRule type="cellIs" dxfId="1933" priority="544" stopIfTrue="1" operator="between">
      <formula>7</formula>
      <formula>14</formula>
    </cfRule>
    <cfRule type="cellIs" dxfId="1932" priority="545" stopIfTrue="1" operator="lessThan">
      <formula>7</formula>
    </cfRule>
  </conditionalFormatting>
  <conditionalFormatting sqref="M663">
    <cfRule type="cellIs" dxfId="1931" priority="3733" stopIfTrue="1" operator="lessThan">
      <formula>7</formula>
    </cfRule>
    <cfRule type="cellIs" dxfId="1930" priority="3732" stopIfTrue="1" operator="between">
      <formula>7</formula>
      <formula>14</formula>
    </cfRule>
  </conditionalFormatting>
  <conditionalFormatting sqref="M664:M666">
    <cfRule type="cellIs" dxfId="1929" priority="1476" stopIfTrue="1" operator="between">
      <formula>7</formula>
      <formula>14</formula>
    </cfRule>
    <cfRule type="cellIs" dxfId="1928" priority="1477" stopIfTrue="1" operator="lessThan">
      <formula>7</formula>
    </cfRule>
  </conditionalFormatting>
  <conditionalFormatting sqref="M667">
    <cfRule type="cellIs" dxfId="1927" priority="3725" stopIfTrue="1" operator="between">
      <formula>7</formula>
      <formula>14</formula>
    </cfRule>
    <cfRule type="cellIs" dxfId="1926" priority="3726" stopIfTrue="1" operator="lessThan">
      <formula>7</formula>
    </cfRule>
  </conditionalFormatting>
  <conditionalFormatting sqref="M669">
    <cfRule type="cellIs" dxfId="1925" priority="3718" stopIfTrue="1" operator="between">
      <formula>7</formula>
      <formula>14</formula>
    </cfRule>
    <cfRule type="cellIs" dxfId="1924" priority="3719" stopIfTrue="1" operator="lessThan">
      <formula>7</formula>
    </cfRule>
  </conditionalFormatting>
  <conditionalFormatting sqref="M670">
    <cfRule type="cellIs" dxfId="1923" priority="11" stopIfTrue="1" operator="between">
      <formula>7</formula>
      <formula>14</formula>
    </cfRule>
    <cfRule type="cellIs" dxfId="1922" priority="12" stopIfTrue="1" operator="lessThan">
      <formula>7</formula>
    </cfRule>
  </conditionalFormatting>
  <conditionalFormatting sqref="M671">
    <cfRule type="cellIs" dxfId="1921" priority="4" stopIfTrue="1" operator="lessThan">
      <formula>7</formula>
    </cfRule>
    <cfRule type="cellIs" dxfId="1920" priority="3" stopIfTrue="1" operator="between">
      <formula>7</formula>
      <formula>14</formula>
    </cfRule>
  </conditionalFormatting>
  <conditionalFormatting sqref="M672">
    <cfRule type="cellIs" dxfId="1919" priority="3712" stopIfTrue="1" operator="lessThan">
      <formula>7</formula>
    </cfRule>
    <cfRule type="cellIs" dxfId="1918" priority="3711" stopIfTrue="1" operator="between">
      <formula>7</formula>
      <formula>14</formula>
    </cfRule>
  </conditionalFormatting>
  <conditionalFormatting sqref="M674">
    <cfRule type="cellIs" dxfId="1917" priority="3705" stopIfTrue="1" operator="lessThan">
      <formula>7</formula>
    </cfRule>
    <cfRule type="cellIs" dxfId="1916" priority="3704" stopIfTrue="1" operator="between">
      <formula>7</formula>
      <formula>14</formula>
    </cfRule>
  </conditionalFormatting>
  <conditionalFormatting sqref="M676">
    <cfRule type="cellIs" dxfId="1915" priority="4745" stopIfTrue="1" operator="between">
      <formula>7</formula>
      <formula>14</formula>
    </cfRule>
    <cfRule type="cellIs" dxfId="1914" priority="4746" stopIfTrue="1" operator="lessThan">
      <formula>7</formula>
    </cfRule>
  </conditionalFormatting>
  <conditionalFormatting sqref="M678">
    <cfRule type="cellIs" dxfId="1913" priority="3698" stopIfTrue="1" operator="lessThan">
      <formula>7</formula>
    </cfRule>
    <cfRule type="cellIs" dxfId="1912" priority="3697" stopIfTrue="1" operator="between">
      <formula>7</formula>
      <formula>14</formula>
    </cfRule>
  </conditionalFormatting>
  <conditionalFormatting sqref="M679">
    <cfRule type="cellIs" dxfId="1911" priority="187" stopIfTrue="1" operator="lessThan">
      <formula>7</formula>
    </cfRule>
    <cfRule type="cellIs" dxfId="1910" priority="186" stopIfTrue="1" operator="between">
      <formula>7</formula>
      <formula>14</formula>
    </cfRule>
  </conditionalFormatting>
  <conditionalFormatting sqref="M680">
    <cfRule type="cellIs" dxfId="1909" priority="180" stopIfTrue="1" operator="lessThan">
      <formula>7</formula>
    </cfRule>
    <cfRule type="cellIs" dxfId="1908" priority="179" stopIfTrue="1" operator="between">
      <formula>7</formula>
      <formula>14</formula>
    </cfRule>
  </conditionalFormatting>
  <conditionalFormatting sqref="M681">
    <cfRule type="cellIs" dxfId="1907" priority="76" stopIfTrue="1" operator="lessThan">
      <formula>7</formula>
    </cfRule>
    <cfRule type="cellIs" dxfId="1906" priority="75" stopIfTrue="1" operator="between">
      <formula>7</formula>
      <formula>14</formula>
    </cfRule>
  </conditionalFormatting>
  <conditionalFormatting sqref="M682:M683">
    <cfRule type="cellIs" dxfId="1905" priority="1420" stopIfTrue="1" operator="between">
      <formula>7</formula>
      <formula>14</formula>
    </cfRule>
    <cfRule type="cellIs" dxfId="1904" priority="1421" stopIfTrue="1" operator="lessThan">
      <formula>7</formula>
    </cfRule>
  </conditionalFormatting>
  <conditionalFormatting sqref="M684">
    <cfRule type="cellIs" dxfId="1903" priority="1413" stopIfTrue="1" operator="lessThan">
      <formula>7</formula>
    </cfRule>
    <cfRule type="cellIs" dxfId="1902" priority="1412" stopIfTrue="1" operator="between">
      <formula>7</formula>
      <formula>14</formula>
    </cfRule>
  </conditionalFormatting>
  <conditionalFormatting sqref="M685:M687 M689:M690">
    <cfRule type="cellIs" dxfId="1901" priority="2263" stopIfTrue="1" operator="between">
      <formula>7</formula>
      <formula>14</formula>
    </cfRule>
    <cfRule type="cellIs" dxfId="1900" priority="2264" stopIfTrue="1" operator="lessThan">
      <formula>7</formula>
    </cfRule>
  </conditionalFormatting>
  <conditionalFormatting sqref="M688 M677 M675 M673 M668">
    <cfRule type="cellIs" dxfId="1899" priority="591" stopIfTrue="1" operator="between">
      <formula>7</formula>
      <formula>14</formula>
    </cfRule>
    <cfRule type="cellIs" dxfId="1898" priority="592" stopIfTrue="1" operator="lessThan">
      <formula>7</formula>
    </cfRule>
  </conditionalFormatting>
  <conditionalFormatting sqref="M691">
    <cfRule type="cellIs" dxfId="1897" priority="2256" stopIfTrue="1" operator="between">
      <formula>7</formula>
      <formula>14</formula>
    </cfRule>
    <cfRule type="cellIs" dxfId="1896" priority="2257" stopIfTrue="1" operator="lessThan">
      <formula>7</formula>
    </cfRule>
  </conditionalFormatting>
  <conditionalFormatting sqref="M692">
    <cfRule type="cellIs" dxfId="1895" priority="278" stopIfTrue="1" operator="lessThan">
      <formula>7</formula>
    </cfRule>
    <cfRule type="cellIs" dxfId="1894" priority="277" stopIfTrue="1" operator="between">
      <formula>7</formula>
      <formula>14</formula>
    </cfRule>
  </conditionalFormatting>
  <conditionalFormatting sqref="M697:M698">
    <cfRule type="cellIs" dxfId="1893" priority="3691" stopIfTrue="1" operator="lessThan">
      <formula>7</formula>
    </cfRule>
  </conditionalFormatting>
  <conditionalFormatting sqref="M697:M703">
    <cfRule type="cellIs" dxfId="1892" priority="3669" stopIfTrue="1" operator="between">
      <formula>7</formula>
      <formula>14</formula>
    </cfRule>
  </conditionalFormatting>
  <conditionalFormatting sqref="M699:M700">
    <cfRule type="cellIs" dxfId="1891" priority="3684" stopIfTrue="1" operator="lessThan">
      <formula>7</formula>
    </cfRule>
  </conditionalFormatting>
  <conditionalFormatting sqref="M701:M702">
    <cfRule type="cellIs" dxfId="1890" priority="3677" stopIfTrue="1" operator="lessThan">
      <formula>7</formula>
    </cfRule>
  </conditionalFormatting>
  <conditionalFormatting sqref="M703">
    <cfRule type="cellIs" dxfId="1889" priority="3670" stopIfTrue="1" operator="lessThan">
      <formula>7</formula>
    </cfRule>
  </conditionalFormatting>
  <conditionalFormatting sqref="M704">
    <cfRule type="cellIs" dxfId="1888" priority="2089" stopIfTrue="1" operator="between">
      <formula>7</formula>
      <formula>14</formula>
    </cfRule>
    <cfRule type="cellIs" dxfId="1887" priority="2090" stopIfTrue="1" operator="lessThan">
      <formula>7</formula>
    </cfRule>
  </conditionalFormatting>
  <conditionalFormatting sqref="M705">
    <cfRule type="cellIs" dxfId="1886" priority="3663" stopIfTrue="1" operator="lessThan">
      <formula>7</formula>
    </cfRule>
  </conditionalFormatting>
  <conditionalFormatting sqref="M705:M708">
    <cfRule type="cellIs" dxfId="1885" priority="3648" stopIfTrue="1" operator="between">
      <formula>7</formula>
      <formula>14</formula>
    </cfRule>
  </conditionalFormatting>
  <conditionalFormatting sqref="M706">
    <cfRule type="cellIs" dxfId="1884" priority="3656" stopIfTrue="1" operator="lessThan">
      <formula>7</formula>
    </cfRule>
  </conditionalFormatting>
  <conditionalFormatting sqref="M707">
    <cfRule type="cellIs" dxfId="1883" priority="4740" stopIfTrue="1" operator="lessThan">
      <formula>7</formula>
    </cfRule>
  </conditionalFormatting>
  <conditionalFormatting sqref="M708">
    <cfRule type="cellIs" dxfId="1882" priority="3649" stopIfTrue="1" operator="lessThan">
      <formula>7</formula>
    </cfRule>
  </conditionalFormatting>
  <conditionalFormatting sqref="M709">
    <cfRule type="cellIs" dxfId="1881" priority="2065" stopIfTrue="1" operator="between">
      <formula>7</formula>
      <formula>14</formula>
    </cfRule>
    <cfRule type="cellIs" dxfId="1880" priority="2066" stopIfTrue="1" operator="lessThan">
      <formula>7</formula>
    </cfRule>
  </conditionalFormatting>
  <conditionalFormatting sqref="M710">
    <cfRule type="cellIs" dxfId="1879" priority="3642" stopIfTrue="1" operator="lessThan">
      <formula>7</formula>
    </cfRule>
    <cfRule type="cellIs" dxfId="1878" priority="3641" stopIfTrue="1" operator="between">
      <formula>7</formula>
      <formula>14</formula>
    </cfRule>
  </conditionalFormatting>
  <conditionalFormatting sqref="M711">
    <cfRule type="cellIs" dxfId="1877" priority="2057" stopIfTrue="1" operator="between">
      <formula>7</formula>
      <formula>14</formula>
    </cfRule>
    <cfRule type="cellIs" dxfId="1876" priority="2058" stopIfTrue="1" operator="lessThan">
      <formula>7</formula>
    </cfRule>
  </conditionalFormatting>
  <conditionalFormatting sqref="M712">
    <cfRule type="cellIs" dxfId="1875" priority="3635" stopIfTrue="1" operator="lessThan">
      <formula>7</formula>
    </cfRule>
    <cfRule type="cellIs" dxfId="1874" priority="3634" stopIfTrue="1" operator="between">
      <formula>7</formula>
      <formula>14</formula>
    </cfRule>
  </conditionalFormatting>
  <conditionalFormatting sqref="M713">
    <cfRule type="cellIs" dxfId="1873" priority="2049" stopIfTrue="1" operator="between">
      <formula>7</formula>
      <formula>14</formula>
    </cfRule>
    <cfRule type="cellIs" dxfId="1872" priority="2050" stopIfTrue="1" operator="lessThan">
      <formula>7</formula>
    </cfRule>
  </conditionalFormatting>
  <conditionalFormatting sqref="M714">
    <cfRule type="cellIs" dxfId="1871" priority="3628" stopIfTrue="1" operator="lessThan">
      <formula>7</formula>
    </cfRule>
    <cfRule type="cellIs" dxfId="1870" priority="3627" stopIfTrue="1" operator="between">
      <formula>7</formula>
      <formula>14</formula>
    </cfRule>
  </conditionalFormatting>
  <conditionalFormatting sqref="M715">
    <cfRule type="cellIs" dxfId="1869" priority="2042" stopIfTrue="1" operator="lessThan">
      <formula>7</formula>
    </cfRule>
    <cfRule type="cellIs" dxfId="1868" priority="2041" stopIfTrue="1" operator="between">
      <formula>7</formula>
      <formula>14</formula>
    </cfRule>
  </conditionalFormatting>
  <conditionalFormatting sqref="M716">
    <cfRule type="cellIs" dxfId="1867" priority="3621" stopIfTrue="1" operator="lessThan">
      <formula>7</formula>
    </cfRule>
    <cfRule type="cellIs" dxfId="1866" priority="3620" stopIfTrue="1" operator="between">
      <formula>7</formula>
      <formula>14</formula>
    </cfRule>
  </conditionalFormatting>
  <conditionalFormatting sqref="M717">
    <cfRule type="cellIs" dxfId="1865" priority="2033" stopIfTrue="1" operator="between">
      <formula>7</formula>
      <formula>14</formula>
    </cfRule>
    <cfRule type="cellIs" dxfId="1864" priority="2034" stopIfTrue="1" operator="lessThan">
      <formula>7</formula>
    </cfRule>
  </conditionalFormatting>
  <conditionalFormatting sqref="M718:M719 M725 M730 M721 M727">
    <cfRule type="cellIs" dxfId="1863" priority="2249" stopIfTrue="1" operator="between">
      <formula>7</formula>
      <formula>14</formula>
    </cfRule>
    <cfRule type="cellIs" dxfId="1862" priority="2250" stopIfTrue="1" operator="lessThan">
      <formula>7</formula>
    </cfRule>
  </conditionalFormatting>
  <conditionalFormatting sqref="M720">
    <cfRule type="cellIs" dxfId="1861" priority="2026" stopIfTrue="1" operator="lessThan">
      <formula>7</formula>
    </cfRule>
    <cfRule type="cellIs" dxfId="1860" priority="2025" stopIfTrue="1" operator="between">
      <formula>7</formula>
      <formula>14</formula>
    </cfRule>
  </conditionalFormatting>
  <conditionalFormatting sqref="M722">
    <cfRule type="cellIs" dxfId="1859" priority="2018" stopIfTrue="1" operator="lessThan">
      <formula>7</formula>
    </cfRule>
    <cfRule type="cellIs" dxfId="1858" priority="2017" stopIfTrue="1" operator="between">
      <formula>7</formula>
      <formula>14</formula>
    </cfRule>
  </conditionalFormatting>
  <conditionalFormatting sqref="M723">
    <cfRule type="cellIs" dxfId="1857" priority="2242" stopIfTrue="1" operator="between">
      <formula>7</formula>
      <formula>14</formula>
    </cfRule>
    <cfRule type="cellIs" dxfId="1856" priority="2243" stopIfTrue="1" operator="lessThan">
      <formula>7</formula>
    </cfRule>
  </conditionalFormatting>
  <conditionalFormatting sqref="M724">
    <cfRule type="cellIs" dxfId="1855" priority="2010" stopIfTrue="1" operator="lessThan">
      <formula>7</formula>
    </cfRule>
    <cfRule type="cellIs" dxfId="1854" priority="2009" stopIfTrue="1" operator="between">
      <formula>7</formula>
      <formula>14</formula>
    </cfRule>
  </conditionalFormatting>
  <conditionalFormatting sqref="M726">
    <cfRule type="cellIs" dxfId="1853" priority="2001" stopIfTrue="1" operator="between">
      <formula>7</formula>
      <formula>14</formula>
    </cfRule>
    <cfRule type="cellIs" dxfId="1852" priority="2002" stopIfTrue="1" operator="lessThan">
      <formula>7</formula>
    </cfRule>
  </conditionalFormatting>
  <conditionalFormatting sqref="M728">
    <cfRule type="cellIs" dxfId="1851" priority="1994" stopIfTrue="1" operator="lessThan">
      <formula>7</formula>
    </cfRule>
    <cfRule type="cellIs" dxfId="1850" priority="1993" stopIfTrue="1" operator="between">
      <formula>7</formula>
      <formula>14</formula>
    </cfRule>
  </conditionalFormatting>
  <conditionalFormatting sqref="M729">
    <cfRule type="cellIs" dxfId="1849" priority="2236" stopIfTrue="1" operator="lessThan">
      <formula>7</formula>
    </cfRule>
    <cfRule type="cellIs" dxfId="1848" priority="2235" stopIfTrue="1" operator="between">
      <formula>7</formula>
      <formula>14</formula>
    </cfRule>
  </conditionalFormatting>
  <conditionalFormatting sqref="M731">
    <cfRule type="cellIs" dxfId="1847" priority="1985" stopIfTrue="1" operator="between">
      <formula>7</formula>
      <formula>14</formula>
    </cfRule>
    <cfRule type="cellIs" dxfId="1846" priority="1986" stopIfTrue="1" operator="lessThan">
      <formula>7</formula>
    </cfRule>
  </conditionalFormatting>
  <conditionalFormatting sqref="M732">
    <cfRule type="cellIs" dxfId="1845" priority="3613" stopIfTrue="1" operator="between">
      <formula>7</formula>
      <formula>14</formula>
    </cfRule>
    <cfRule type="cellIs" dxfId="1844" priority="3614" stopIfTrue="1" operator="lessThan">
      <formula>7</formula>
    </cfRule>
  </conditionalFormatting>
  <conditionalFormatting sqref="M733">
    <cfRule type="cellIs" dxfId="1843" priority="1977" stopIfTrue="1" operator="between">
      <formula>7</formula>
      <formula>14</formula>
    </cfRule>
    <cfRule type="cellIs" dxfId="1842" priority="1978" stopIfTrue="1" operator="lessThan">
      <formula>7</formula>
    </cfRule>
  </conditionalFormatting>
  <conditionalFormatting sqref="M734">
    <cfRule type="cellIs" dxfId="1841" priority="3606" stopIfTrue="1" operator="between">
      <formula>7</formula>
      <formula>14</formula>
    </cfRule>
    <cfRule type="cellIs" dxfId="1840" priority="3607" stopIfTrue="1" operator="lessThan">
      <formula>7</formula>
    </cfRule>
  </conditionalFormatting>
  <conditionalFormatting sqref="M735">
    <cfRule type="cellIs" dxfId="1839" priority="1970" stopIfTrue="1" operator="lessThan">
      <formula>7</formula>
    </cfRule>
    <cfRule type="cellIs" dxfId="1838" priority="1969" stopIfTrue="1" operator="between">
      <formula>7</formula>
      <formula>14</formula>
    </cfRule>
  </conditionalFormatting>
  <conditionalFormatting sqref="M736">
    <cfRule type="cellIs" dxfId="1837" priority="4672" stopIfTrue="1" operator="lessThan">
      <formula>7</formula>
    </cfRule>
    <cfRule type="cellIs" dxfId="1836" priority="4671" stopIfTrue="1" operator="between">
      <formula>7</formula>
      <formula>14</formula>
    </cfRule>
  </conditionalFormatting>
  <conditionalFormatting sqref="M737">
    <cfRule type="cellIs" dxfId="1835" priority="1960" stopIfTrue="1" operator="between">
      <formula>7</formula>
      <formula>14</formula>
    </cfRule>
    <cfRule type="cellIs" dxfId="1834" priority="1961" stopIfTrue="1" operator="lessThan">
      <formula>7</formula>
    </cfRule>
  </conditionalFormatting>
  <conditionalFormatting sqref="M738">
    <cfRule type="cellIs" dxfId="1833" priority="1954" stopIfTrue="1" operator="lessThan">
      <formula>7</formula>
    </cfRule>
    <cfRule type="cellIs" dxfId="1832" priority="1953" stopIfTrue="1" operator="between">
      <formula>7</formula>
      <formula>14</formula>
    </cfRule>
  </conditionalFormatting>
  <conditionalFormatting sqref="M740">
    <cfRule type="cellIs" dxfId="1831" priority="3592" stopIfTrue="1" operator="between">
      <formula>7</formula>
      <formula>14</formula>
    </cfRule>
    <cfRule type="cellIs" dxfId="1830" priority="3593" stopIfTrue="1" operator="lessThan">
      <formula>7</formula>
    </cfRule>
  </conditionalFormatting>
  <conditionalFormatting sqref="M740:M785">
    <cfRule type="cellIs" dxfId="1829" priority="58" stopIfTrue="1" operator="greaterThanOrEqual">
      <formula>15</formula>
    </cfRule>
  </conditionalFormatting>
  <conditionalFormatting sqref="M741">
    <cfRule type="cellIs" dxfId="1828" priority="1945" stopIfTrue="1" operator="between">
      <formula>7</formula>
      <formula>14</formula>
    </cfRule>
    <cfRule type="cellIs" dxfId="1827" priority="1946" stopIfTrue="1" operator="lessThan">
      <formula>7</formula>
    </cfRule>
  </conditionalFormatting>
  <conditionalFormatting sqref="M742">
    <cfRule type="cellIs" dxfId="1826" priority="3586" stopIfTrue="1" operator="lessThan">
      <formula>7</formula>
    </cfRule>
    <cfRule type="cellIs" dxfId="1825" priority="3585" stopIfTrue="1" operator="between">
      <formula>7</formula>
      <formula>14</formula>
    </cfRule>
  </conditionalFormatting>
  <conditionalFormatting sqref="M743">
    <cfRule type="cellIs" dxfId="1824" priority="1937" stopIfTrue="1" operator="between">
      <formula>7</formula>
      <formula>14</formula>
    </cfRule>
    <cfRule type="cellIs" dxfId="1823" priority="1938" stopIfTrue="1" operator="lessThan">
      <formula>7</formula>
    </cfRule>
  </conditionalFormatting>
  <conditionalFormatting sqref="M744">
    <cfRule type="cellIs" dxfId="1822" priority="4764" stopIfTrue="1" operator="lessThan">
      <formula>7</formula>
    </cfRule>
  </conditionalFormatting>
  <conditionalFormatting sqref="M744:M745">
    <cfRule type="cellIs" dxfId="1821" priority="4736" stopIfTrue="1" operator="between">
      <formula>7</formula>
      <formula>14</formula>
    </cfRule>
  </conditionalFormatting>
  <conditionalFormatting sqref="M745">
    <cfRule type="cellIs" dxfId="1820" priority="4737" stopIfTrue="1" operator="lessThan">
      <formula>7</formula>
    </cfRule>
  </conditionalFormatting>
  <conditionalFormatting sqref="M746">
    <cfRule type="cellIs" dxfId="1819" priority="1930" stopIfTrue="1" operator="lessThan">
      <formula>7</formula>
    </cfRule>
    <cfRule type="cellIs" dxfId="1818" priority="1929" stopIfTrue="1" operator="between">
      <formula>7</formula>
      <formula>14</formula>
    </cfRule>
  </conditionalFormatting>
  <conditionalFormatting sqref="M747">
    <cfRule type="cellIs" dxfId="1817" priority="3578" stopIfTrue="1" operator="between">
      <formula>7</formula>
      <formula>14</formula>
    </cfRule>
    <cfRule type="cellIs" dxfId="1816" priority="3579" stopIfTrue="1" operator="lessThan">
      <formula>7</formula>
    </cfRule>
  </conditionalFormatting>
  <conditionalFormatting sqref="M748">
    <cfRule type="cellIs" dxfId="1815" priority="1921" stopIfTrue="1" operator="between">
      <formula>7</formula>
      <formula>14</formula>
    </cfRule>
    <cfRule type="cellIs" dxfId="1814" priority="1922" stopIfTrue="1" operator="lessThan">
      <formula>7</formula>
    </cfRule>
  </conditionalFormatting>
  <conditionalFormatting sqref="M749">
    <cfRule type="cellIs" dxfId="1813" priority="4748" stopIfTrue="1" operator="between">
      <formula>7</formula>
      <formula>14</formula>
    </cfRule>
    <cfRule type="cellIs" dxfId="1812" priority="4749" stopIfTrue="1" operator="lessThan">
      <formula>7</formula>
    </cfRule>
  </conditionalFormatting>
  <conditionalFormatting sqref="M750">
    <cfRule type="cellIs" dxfId="1811" priority="1913" stopIfTrue="1" operator="between">
      <formula>7</formula>
      <formula>14</formula>
    </cfRule>
    <cfRule type="cellIs" dxfId="1810" priority="1914" stopIfTrue="1" operator="lessThan">
      <formula>7</formula>
    </cfRule>
  </conditionalFormatting>
  <conditionalFormatting sqref="M751">
    <cfRule type="cellIs" dxfId="1809" priority="3572" stopIfTrue="1" operator="lessThan">
      <formula>7</formula>
    </cfRule>
    <cfRule type="cellIs" dxfId="1808" priority="3571" stopIfTrue="1" operator="between">
      <formula>7</formula>
      <formula>14</formula>
    </cfRule>
  </conditionalFormatting>
  <conditionalFormatting sqref="M752">
    <cfRule type="cellIs" dxfId="1807" priority="1905" stopIfTrue="1" operator="between">
      <formula>7</formula>
      <formula>14</formula>
    </cfRule>
    <cfRule type="cellIs" dxfId="1806" priority="1906" stopIfTrue="1" operator="lessThan">
      <formula>7</formula>
    </cfRule>
  </conditionalFormatting>
  <conditionalFormatting sqref="M753">
    <cfRule type="cellIs" dxfId="1805" priority="3564" stopIfTrue="1" operator="between">
      <formula>7</formula>
      <formula>14</formula>
    </cfRule>
    <cfRule type="cellIs" dxfId="1804" priority="3565" stopIfTrue="1" operator="lessThan">
      <formula>7</formula>
    </cfRule>
  </conditionalFormatting>
  <conditionalFormatting sqref="M754">
    <cfRule type="cellIs" dxfId="1803" priority="1898" stopIfTrue="1" operator="lessThan">
      <formula>7</formula>
    </cfRule>
    <cfRule type="cellIs" dxfId="1802" priority="1897" stopIfTrue="1" operator="between">
      <formula>7</formula>
      <formula>14</formula>
    </cfRule>
  </conditionalFormatting>
  <conditionalFormatting sqref="M755">
    <cfRule type="cellIs" dxfId="1801" priority="3558" stopIfTrue="1" operator="lessThan">
      <formula>7</formula>
    </cfRule>
    <cfRule type="cellIs" dxfId="1800" priority="3557" stopIfTrue="1" operator="between">
      <formula>7</formula>
      <formula>14</formula>
    </cfRule>
  </conditionalFormatting>
  <conditionalFormatting sqref="M756">
    <cfRule type="cellIs" dxfId="1799" priority="1889" stopIfTrue="1" operator="between">
      <formula>7</formula>
      <formula>14</formula>
    </cfRule>
    <cfRule type="cellIs" dxfId="1798" priority="1890" stopIfTrue="1" operator="lessThan">
      <formula>7</formula>
    </cfRule>
  </conditionalFormatting>
  <conditionalFormatting sqref="M757">
    <cfRule type="cellIs" dxfId="1797" priority="3550" stopIfTrue="1" operator="between">
      <formula>7</formula>
      <formula>14</formula>
    </cfRule>
    <cfRule type="cellIs" dxfId="1796" priority="3551" stopIfTrue="1" operator="lessThan">
      <formula>7</formula>
    </cfRule>
  </conditionalFormatting>
  <conditionalFormatting sqref="M758">
    <cfRule type="cellIs" dxfId="1795" priority="1881" stopIfTrue="1" operator="between">
      <formula>7</formula>
      <formula>14</formula>
    </cfRule>
    <cfRule type="cellIs" dxfId="1794" priority="1882" stopIfTrue="1" operator="lessThan">
      <formula>7</formula>
    </cfRule>
  </conditionalFormatting>
  <conditionalFormatting sqref="M759">
    <cfRule type="cellIs" dxfId="1793" priority="3543" stopIfTrue="1" operator="between">
      <formula>7</formula>
      <formula>14</formula>
    </cfRule>
    <cfRule type="cellIs" dxfId="1792" priority="3544" stopIfTrue="1" operator="lessThan">
      <formula>7</formula>
    </cfRule>
  </conditionalFormatting>
  <conditionalFormatting sqref="M760">
    <cfRule type="cellIs" dxfId="1791" priority="1873" stopIfTrue="1" operator="between">
      <formula>7</formula>
      <formula>14</formula>
    </cfRule>
    <cfRule type="cellIs" dxfId="1790" priority="1874" stopIfTrue="1" operator="lessThan">
      <formula>7</formula>
    </cfRule>
  </conditionalFormatting>
  <conditionalFormatting sqref="M761">
    <cfRule type="cellIs" dxfId="1789" priority="4734" stopIfTrue="1" operator="lessThan">
      <formula>7</formula>
    </cfRule>
  </conditionalFormatting>
  <conditionalFormatting sqref="M761:M764">
    <cfRule type="cellIs" dxfId="1788" priority="4657" stopIfTrue="1" operator="between">
      <formula>7</formula>
      <formula>14</formula>
    </cfRule>
  </conditionalFormatting>
  <conditionalFormatting sqref="M762">
    <cfRule type="cellIs" dxfId="1787" priority="4665" stopIfTrue="1" operator="lessThan">
      <formula>7</formula>
    </cfRule>
  </conditionalFormatting>
  <conditionalFormatting sqref="M763">
    <cfRule type="cellIs" dxfId="1786" priority="4731" stopIfTrue="1" operator="lessThan">
      <formula>7</formula>
    </cfRule>
  </conditionalFormatting>
  <conditionalFormatting sqref="M764">
    <cfRule type="cellIs" dxfId="1785" priority="4658" stopIfTrue="1" operator="lessThan">
      <formula>7</formula>
    </cfRule>
  </conditionalFormatting>
  <conditionalFormatting sqref="M765">
    <cfRule type="cellIs" dxfId="1784" priority="1866" stopIfTrue="1" operator="lessThan">
      <formula>7</formula>
    </cfRule>
    <cfRule type="cellIs" dxfId="1783" priority="1865" stopIfTrue="1" operator="between">
      <formula>7</formula>
      <formula>14</formula>
    </cfRule>
  </conditionalFormatting>
  <conditionalFormatting sqref="M766">
    <cfRule type="cellIs" dxfId="1782" priority="4743" stopIfTrue="1" operator="lessThan">
      <formula>7</formula>
    </cfRule>
  </conditionalFormatting>
  <conditionalFormatting sqref="M766:M771">
    <cfRule type="cellIs" dxfId="1781" priority="4643" stopIfTrue="1" operator="between">
      <formula>7</formula>
      <formula>14</formula>
    </cfRule>
  </conditionalFormatting>
  <conditionalFormatting sqref="M767">
    <cfRule type="cellIs" dxfId="1780" priority="4651" stopIfTrue="1" operator="lessThan">
      <formula>7</formula>
    </cfRule>
  </conditionalFormatting>
  <conditionalFormatting sqref="M768">
    <cfRule type="cellIs" dxfId="1779" priority="4686" stopIfTrue="1" operator="lessThan">
      <formula>7</formula>
    </cfRule>
  </conditionalFormatting>
  <conditionalFormatting sqref="M769">
    <cfRule type="cellIs" dxfId="1778" priority="4679" stopIfTrue="1" operator="lessThan">
      <formula>7</formula>
    </cfRule>
  </conditionalFormatting>
  <conditionalFormatting sqref="M770">
    <cfRule type="cellIs" dxfId="1777" priority="4728" stopIfTrue="1" operator="lessThan">
      <formula>7</formula>
    </cfRule>
  </conditionalFormatting>
  <conditionalFormatting sqref="M771">
    <cfRule type="cellIs" dxfId="1776" priority="4644" stopIfTrue="1" operator="lessThan">
      <formula>7</formula>
    </cfRule>
  </conditionalFormatting>
  <conditionalFormatting sqref="M772">
    <cfRule type="cellIs" dxfId="1775" priority="107" stopIfTrue="1" operator="lessThan">
      <formula>7</formula>
    </cfRule>
    <cfRule type="cellIs" dxfId="1774" priority="106" stopIfTrue="1" operator="between">
      <formula>7</formula>
      <formula>14</formula>
    </cfRule>
  </conditionalFormatting>
  <conditionalFormatting sqref="M773">
    <cfRule type="cellIs" dxfId="1773" priority="99" stopIfTrue="1" operator="between">
      <formula>7</formula>
      <formula>14</formula>
    </cfRule>
    <cfRule type="cellIs" dxfId="1772" priority="100" stopIfTrue="1" operator="lessThan">
      <formula>7</formula>
    </cfRule>
  </conditionalFormatting>
  <conditionalFormatting sqref="M774">
    <cfRule type="cellIs" dxfId="1771" priority="68" stopIfTrue="1" operator="lessThan">
      <formula>7</formula>
    </cfRule>
    <cfRule type="cellIs" dxfId="1770" priority="67" stopIfTrue="1" operator="between">
      <formula>7</formula>
      <formula>14</formula>
    </cfRule>
  </conditionalFormatting>
  <conditionalFormatting sqref="M775">
    <cfRule type="cellIs" dxfId="1769" priority="1292" stopIfTrue="1" operator="between">
      <formula>7</formula>
      <formula>14</formula>
    </cfRule>
    <cfRule type="cellIs" dxfId="1768" priority="1293" stopIfTrue="1" operator="lessThan">
      <formula>7</formula>
    </cfRule>
  </conditionalFormatting>
  <conditionalFormatting sqref="M776">
    <cfRule type="cellIs" dxfId="1767" priority="1285" stopIfTrue="1" operator="between">
      <formula>7</formula>
      <formula>14</formula>
    </cfRule>
    <cfRule type="cellIs" dxfId="1766" priority="1286" stopIfTrue="1" operator="lessThan">
      <formula>7</formula>
    </cfRule>
  </conditionalFormatting>
  <conditionalFormatting sqref="M777">
    <cfRule type="cellIs" dxfId="1765" priority="59" stopIfTrue="1" operator="between">
      <formula>7</formula>
      <formula>14</formula>
    </cfRule>
    <cfRule type="cellIs" dxfId="1764" priority="60" stopIfTrue="1" operator="lessThan">
      <formula>7</formula>
    </cfRule>
  </conditionalFormatting>
  <conditionalFormatting sqref="M778">
    <cfRule type="cellIs" dxfId="1763" priority="1282" stopIfTrue="1" operator="between">
      <formula>7</formula>
      <formula>14</formula>
    </cfRule>
    <cfRule type="cellIs" dxfId="1762" priority="1283" stopIfTrue="1" operator="lessThan">
      <formula>7</formula>
    </cfRule>
  </conditionalFormatting>
  <conditionalFormatting sqref="M779">
    <cfRule type="cellIs" dxfId="1761" priority="1273" stopIfTrue="1" operator="lessThan">
      <formula>7</formula>
    </cfRule>
    <cfRule type="cellIs" dxfId="1760" priority="1272" stopIfTrue="1" operator="between">
      <formula>7</formula>
      <formula>14</formula>
    </cfRule>
  </conditionalFormatting>
  <conditionalFormatting sqref="M780">
    <cfRule type="cellIs" dxfId="1759" priority="1279" stopIfTrue="1" operator="between">
      <formula>7</formula>
      <formula>14</formula>
    </cfRule>
    <cfRule type="cellIs" dxfId="1758" priority="1280" stopIfTrue="1" operator="lessThan">
      <formula>7</formula>
    </cfRule>
  </conditionalFormatting>
  <conditionalFormatting sqref="M781">
    <cfRule type="cellIs" dxfId="1757" priority="1264" stopIfTrue="1" operator="between">
      <formula>7</formula>
      <formula>14</formula>
    </cfRule>
    <cfRule type="cellIs" dxfId="1756" priority="1265" stopIfTrue="1" operator="lessThan">
      <formula>7</formula>
    </cfRule>
  </conditionalFormatting>
  <conditionalFormatting sqref="M782">
    <cfRule type="cellIs" dxfId="1755" priority="3536" stopIfTrue="1" operator="between">
      <formula>7</formula>
      <formula>14</formula>
    </cfRule>
    <cfRule type="cellIs" dxfId="1754" priority="3537" stopIfTrue="1" operator="lessThan">
      <formula>7</formula>
    </cfRule>
  </conditionalFormatting>
  <conditionalFormatting sqref="M783">
    <cfRule type="cellIs" dxfId="1753" priority="1858" stopIfTrue="1" operator="lessThan">
      <formula>7</formula>
    </cfRule>
    <cfRule type="cellIs" dxfId="1752" priority="1857" stopIfTrue="1" operator="between">
      <formula>7</formula>
      <formula>14</formula>
    </cfRule>
  </conditionalFormatting>
  <conditionalFormatting sqref="M784">
    <cfRule type="cellIs" dxfId="1751" priority="3529" stopIfTrue="1" operator="between">
      <formula>7</formula>
      <formula>14</formula>
    </cfRule>
    <cfRule type="cellIs" dxfId="1750" priority="3530" stopIfTrue="1" operator="lessThan">
      <formula>7</formula>
    </cfRule>
  </conditionalFormatting>
  <conditionalFormatting sqref="M785">
    <cfRule type="cellIs" dxfId="1749" priority="1849" stopIfTrue="1" operator="between">
      <formula>7</formula>
      <formula>14</formula>
    </cfRule>
    <cfRule type="cellIs" dxfId="1748" priority="1850" stopIfTrue="1" operator="lessThan">
      <formula>7</formula>
    </cfRule>
  </conditionalFormatting>
  <conditionalFormatting sqref="M787">
    <cfRule type="cellIs" dxfId="1747" priority="3522" stopIfTrue="1" operator="between">
      <formula>7</formula>
      <formula>14</formula>
    </cfRule>
    <cfRule type="cellIs" dxfId="1746" priority="3523" stopIfTrue="1" operator="lessThan">
      <formula>7</formula>
    </cfRule>
  </conditionalFormatting>
  <conditionalFormatting sqref="M787:M882">
    <cfRule type="cellIs" dxfId="1745" priority="288" stopIfTrue="1" operator="greaterThanOrEqual">
      <formula>15</formula>
    </cfRule>
  </conditionalFormatting>
  <conditionalFormatting sqref="M788">
    <cfRule type="cellIs" dxfId="1744" priority="1842" stopIfTrue="1" operator="lessThan">
      <formula>7</formula>
    </cfRule>
    <cfRule type="cellIs" dxfId="1743" priority="1841" stopIfTrue="1" operator="between">
      <formula>7</formula>
      <formula>14</formula>
    </cfRule>
  </conditionalFormatting>
  <conditionalFormatting sqref="M789">
    <cfRule type="cellIs" dxfId="1742" priority="3516" stopIfTrue="1" operator="lessThan">
      <formula>7</formula>
    </cfRule>
    <cfRule type="cellIs" dxfId="1741" priority="3515" stopIfTrue="1" operator="between">
      <formula>7</formula>
      <formula>14</formula>
    </cfRule>
  </conditionalFormatting>
  <conditionalFormatting sqref="M790">
    <cfRule type="cellIs" dxfId="1740" priority="1833" stopIfTrue="1" operator="between">
      <formula>7</formula>
      <formula>14</formula>
    </cfRule>
    <cfRule type="cellIs" dxfId="1739" priority="1834" stopIfTrue="1" operator="lessThan">
      <formula>7</formula>
    </cfRule>
  </conditionalFormatting>
  <conditionalFormatting sqref="M791 M793 M795 M797">
    <cfRule type="cellIs" dxfId="1738" priority="3509" stopIfTrue="1" operator="lessThan">
      <formula>7</formula>
    </cfRule>
    <cfRule type="cellIs" dxfId="1737" priority="3508" stopIfTrue="1" operator="between">
      <formula>7</formula>
      <formula>14</formula>
    </cfRule>
  </conditionalFormatting>
  <conditionalFormatting sqref="M792">
    <cfRule type="cellIs" dxfId="1736" priority="1826" stopIfTrue="1" operator="lessThan">
      <formula>7</formula>
    </cfRule>
    <cfRule type="cellIs" dxfId="1735" priority="1825" stopIfTrue="1" operator="between">
      <formula>7</formula>
      <formula>14</formula>
    </cfRule>
  </conditionalFormatting>
  <conditionalFormatting sqref="M794">
    <cfRule type="cellIs" dxfId="1734" priority="1818" stopIfTrue="1" operator="lessThan">
      <formula>7</formula>
    </cfRule>
    <cfRule type="cellIs" dxfId="1733" priority="1817" stopIfTrue="1" operator="between">
      <formula>7</formula>
      <formula>14</formula>
    </cfRule>
  </conditionalFormatting>
  <conditionalFormatting sqref="M796">
    <cfRule type="cellIs" dxfId="1732" priority="1810" stopIfTrue="1" operator="lessThan">
      <formula>7</formula>
    </cfRule>
    <cfRule type="cellIs" dxfId="1731" priority="1809" stopIfTrue="1" operator="between">
      <formula>7</formula>
      <formula>14</formula>
    </cfRule>
  </conditionalFormatting>
  <conditionalFormatting sqref="M798">
    <cfRule type="cellIs" dxfId="1730" priority="1802" stopIfTrue="1" operator="lessThan">
      <formula>7</formula>
    </cfRule>
    <cfRule type="cellIs" dxfId="1729" priority="1801" stopIfTrue="1" operator="between">
      <formula>7</formula>
      <formula>14</formula>
    </cfRule>
  </conditionalFormatting>
  <conditionalFormatting sqref="M799">
    <cfRule type="cellIs" dxfId="1728" priority="3502" stopIfTrue="1" operator="lessThan">
      <formula>7</formula>
    </cfRule>
    <cfRule type="cellIs" dxfId="1727" priority="3501" stopIfTrue="1" operator="between">
      <formula>7</formula>
      <formula>14</formula>
    </cfRule>
  </conditionalFormatting>
  <conditionalFormatting sqref="M800">
    <cfRule type="cellIs" dxfId="1726" priority="1794" stopIfTrue="1" operator="lessThan">
      <formula>7</formula>
    </cfRule>
    <cfRule type="cellIs" dxfId="1725" priority="1793" stopIfTrue="1" operator="between">
      <formula>7</formula>
      <formula>14</formula>
    </cfRule>
  </conditionalFormatting>
  <conditionalFormatting sqref="M801">
    <cfRule type="cellIs" dxfId="1724" priority="3494" stopIfTrue="1" operator="between">
      <formula>7</formula>
      <formula>14</formula>
    </cfRule>
    <cfRule type="cellIs" dxfId="1723" priority="3495" stopIfTrue="1" operator="lessThan">
      <formula>7</formula>
    </cfRule>
  </conditionalFormatting>
  <conditionalFormatting sqref="M802">
    <cfRule type="cellIs" dxfId="1722" priority="1785" stopIfTrue="1" operator="between">
      <formula>7</formula>
      <formula>14</formula>
    </cfRule>
    <cfRule type="cellIs" dxfId="1721" priority="1786" stopIfTrue="1" operator="lessThan">
      <formula>7</formula>
    </cfRule>
  </conditionalFormatting>
  <conditionalFormatting sqref="M803">
    <cfRule type="cellIs" dxfId="1720" priority="4725" stopIfTrue="1" operator="lessThan">
      <formula>7</formula>
    </cfRule>
  </conditionalFormatting>
  <conditionalFormatting sqref="M803:M806">
    <cfRule type="cellIs" dxfId="1719" priority="4629" stopIfTrue="1" operator="between">
      <formula>7</formula>
      <formula>14</formula>
    </cfRule>
  </conditionalFormatting>
  <conditionalFormatting sqref="M804">
    <cfRule type="cellIs" dxfId="1718" priority="4637" stopIfTrue="1" operator="lessThan">
      <formula>7</formula>
    </cfRule>
  </conditionalFormatting>
  <conditionalFormatting sqref="M805">
    <cfRule type="cellIs" dxfId="1717" priority="4722" stopIfTrue="1" operator="lessThan">
      <formula>7</formula>
    </cfRule>
  </conditionalFormatting>
  <conditionalFormatting sqref="M806">
    <cfRule type="cellIs" dxfId="1716" priority="4630" stopIfTrue="1" operator="lessThan">
      <formula>7</formula>
    </cfRule>
  </conditionalFormatting>
  <conditionalFormatting sqref="M807">
    <cfRule type="cellIs" dxfId="1715" priority="1001" stopIfTrue="1" operator="lessThan">
      <formula>7</formula>
    </cfRule>
    <cfRule type="cellIs" dxfId="1714" priority="1000" stopIfTrue="1" operator="between">
      <formula>7</formula>
      <formula>14</formula>
    </cfRule>
  </conditionalFormatting>
  <conditionalFormatting sqref="M808">
    <cfRule type="cellIs" dxfId="1713" priority="993" stopIfTrue="1" operator="between">
      <formula>7</formula>
      <formula>14</formula>
    </cfRule>
    <cfRule type="cellIs" dxfId="1712" priority="994" stopIfTrue="1" operator="lessThan">
      <formula>7</formula>
    </cfRule>
  </conditionalFormatting>
  <conditionalFormatting sqref="M809">
    <cfRule type="cellIs" dxfId="1711" priority="975" stopIfTrue="1" operator="between">
      <formula>7</formula>
      <formula>14</formula>
    </cfRule>
    <cfRule type="cellIs" dxfId="1710" priority="976" stopIfTrue="1" operator="lessThan">
      <formula>7</formula>
    </cfRule>
  </conditionalFormatting>
  <conditionalFormatting sqref="M810">
    <cfRule type="cellIs" dxfId="1709" priority="961" stopIfTrue="1" operator="lessThan">
      <formula>7</formula>
    </cfRule>
    <cfRule type="cellIs" dxfId="1708" priority="960" stopIfTrue="1" operator="between">
      <formula>7</formula>
      <formula>14</formula>
    </cfRule>
  </conditionalFormatting>
  <conditionalFormatting sqref="M811">
    <cfRule type="cellIs" dxfId="1707" priority="968" stopIfTrue="1" operator="lessThan">
      <formula>7</formula>
    </cfRule>
    <cfRule type="cellIs" dxfId="1706" priority="967" stopIfTrue="1" operator="between">
      <formula>7</formula>
      <formula>14</formula>
    </cfRule>
  </conditionalFormatting>
  <conditionalFormatting sqref="M812">
    <cfRule type="cellIs" dxfId="1705" priority="953" stopIfTrue="1" operator="lessThan">
      <formula>7</formula>
    </cfRule>
    <cfRule type="cellIs" dxfId="1704" priority="952" stopIfTrue="1" operator="between">
      <formula>7</formula>
      <formula>14</formula>
    </cfRule>
  </conditionalFormatting>
  <conditionalFormatting sqref="M813:M814">
    <cfRule type="cellIs" dxfId="1703" priority="985" stopIfTrue="1" operator="between">
      <formula>7</formula>
      <formula>14</formula>
    </cfRule>
    <cfRule type="cellIs" dxfId="1702" priority="986" stopIfTrue="1" operator="lessThan">
      <formula>7</formula>
    </cfRule>
  </conditionalFormatting>
  <conditionalFormatting sqref="M815">
    <cfRule type="cellIs" dxfId="1701" priority="944" stopIfTrue="1" operator="between">
      <formula>7</formula>
      <formula>14</formula>
    </cfRule>
    <cfRule type="cellIs" dxfId="1700" priority="945" stopIfTrue="1" operator="lessThan">
      <formula>7</formula>
    </cfRule>
  </conditionalFormatting>
  <conditionalFormatting sqref="M816">
    <cfRule type="cellIs" dxfId="1699" priority="979" stopIfTrue="1" operator="lessThan">
      <formula>7</formula>
    </cfRule>
    <cfRule type="cellIs" dxfId="1698" priority="978" stopIfTrue="1" operator="between">
      <formula>7</formula>
      <formula>14</formula>
    </cfRule>
  </conditionalFormatting>
  <conditionalFormatting sqref="M817">
    <cfRule type="cellIs" dxfId="1697" priority="936" stopIfTrue="1" operator="between">
      <formula>7</formula>
      <formula>14</formula>
    </cfRule>
    <cfRule type="cellIs" dxfId="1696" priority="937" stopIfTrue="1" operator="lessThan">
      <formula>7</formula>
    </cfRule>
  </conditionalFormatting>
  <conditionalFormatting sqref="M818">
    <cfRule type="cellIs" dxfId="1695" priority="4719" stopIfTrue="1" operator="lessThan">
      <formula>7</formula>
    </cfRule>
  </conditionalFormatting>
  <conditionalFormatting sqref="M818:M819">
    <cfRule type="cellIs" dxfId="1694" priority="3487" stopIfTrue="1" operator="between">
      <formula>7</formula>
      <formula>14</formula>
    </cfRule>
  </conditionalFormatting>
  <conditionalFormatting sqref="M819">
    <cfRule type="cellIs" dxfId="1693" priority="3488" stopIfTrue="1" operator="lessThan">
      <formula>7</formula>
    </cfRule>
  </conditionalFormatting>
  <conditionalFormatting sqref="M820">
    <cfRule type="cellIs" dxfId="1692" priority="1778" stopIfTrue="1" operator="lessThan">
      <formula>7</formula>
    </cfRule>
    <cfRule type="cellIs" dxfId="1691" priority="1777" stopIfTrue="1" operator="between">
      <formula>7</formula>
      <formula>14</formula>
    </cfRule>
  </conditionalFormatting>
  <conditionalFormatting sqref="M821:M822">
    <cfRule type="cellIs" dxfId="1690" priority="897" stopIfTrue="1" operator="between">
      <formula>7</formula>
      <formula>14</formula>
    </cfRule>
    <cfRule type="cellIs" dxfId="1689" priority="898" stopIfTrue="1" operator="lessThan">
      <formula>7</formula>
    </cfRule>
  </conditionalFormatting>
  <conditionalFormatting sqref="M823">
    <cfRule type="cellIs" dxfId="1688" priority="853" stopIfTrue="1" operator="between">
      <formula>7</formula>
      <formula>14</formula>
    </cfRule>
    <cfRule type="cellIs" dxfId="1687" priority="854" stopIfTrue="1" operator="lessThan">
      <formula>7</formula>
    </cfRule>
  </conditionalFormatting>
  <conditionalFormatting sqref="M824">
    <cfRule type="cellIs" dxfId="1686" priority="890" stopIfTrue="1" operator="between">
      <formula>7</formula>
      <formula>14</formula>
    </cfRule>
    <cfRule type="cellIs" dxfId="1685" priority="891" stopIfTrue="1" operator="lessThan">
      <formula>7</formula>
    </cfRule>
  </conditionalFormatting>
  <conditionalFormatting sqref="M825">
    <cfRule type="cellIs" dxfId="1684" priority="3480" stopIfTrue="1" operator="between">
      <formula>7</formula>
      <formula>14</formula>
    </cfRule>
    <cfRule type="cellIs" dxfId="1683" priority="3481" stopIfTrue="1" operator="lessThan">
      <formula>7</formula>
    </cfRule>
  </conditionalFormatting>
  <conditionalFormatting sqref="M826">
    <cfRule type="cellIs" dxfId="1682" priority="1770" stopIfTrue="1" operator="lessThan">
      <formula>7</formula>
    </cfRule>
    <cfRule type="cellIs" dxfId="1681" priority="1769" stopIfTrue="1" operator="between">
      <formula>7</formula>
      <formula>14</formula>
    </cfRule>
  </conditionalFormatting>
  <conditionalFormatting sqref="M827">
    <cfRule type="cellIs" dxfId="1680" priority="3473" stopIfTrue="1" operator="between">
      <formula>7</formula>
      <formula>14</formula>
    </cfRule>
    <cfRule type="cellIs" dxfId="1679" priority="3474" stopIfTrue="1" operator="lessThan">
      <formula>7</formula>
    </cfRule>
  </conditionalFormatting>
  <conditionalFormatting sqref="M828">
    <cfRule type="cellIs" dxfId="1678" priority="1762" stopIfTrue="1" operator="lessThan">
      <formula>7</formula>
    </cfRule>
    <cfRule type="cellIs" dxfId="1677" priority="1761" stopIfTrue="1" operator="between">
      <formula>7</formula>
      <formula>14</formula>
    </cfRule>
  </conditionalFormatting>
  <conditionalFormatting sqref="M829">
    <cfRule type="cellIs" dxfId="1676" priority="4713" stopIfTrue="1" operator="lessThan">
      <formula>7</formula>
    </cfRule>
  </conditionalFormatting>
  <conditionalFormatting sqref="M829:M830">
    <cfRule type="cellIs" dxfId="1675" priority="4712" stopIfTrue="1" operator="between">
      <formula>7</formula>
      <formula>14</formula>
    </cfRule>
  </conditionalFormatting>
  <conditionalFormatting sqref="M830">
    <cfRule type="cellIs" dxfId="1674" priority="4716" stopIfTrue="1" operator="lessThan">
      <formula>7</formula>
    </cfRule>
  </conditionalFormatting>
  <conditionalFormatting sqref="M831 M833 M835 M837">
    <cfRule type="cellIs" dxfId="1673" priority="2229" stopIfTrue="1" operator="lessThan">
      <formula>7</formula>
    </cfRule>
    <cfRule type="cellIs" dxfId="1672" priority="2228" stopIfTrue="1" operator="between">
      <formula>7</formula>
      <formula>14</formula>
    </cfRule>
  </conditionalFormatting>
  <conditionalFormatting sqref="M832">
    <cfRule type="cellIs" dxfId="1671" priority="1753" stopIfTrue="1" operator="between">
      <formula>7</formula>
      <formula>14</formula>
    </cfRule>
    <cfRule type="cellIs" dxfId="1670" priority="1754" stopIfTrue="1" operator="lessThan">
      <formula>7</formula>
    </cfRule>
  </conditionalFormatting>
  <conditionalFormatting sqref="M834">
    <cfRule type="cellIs" dxfId="1669" priority="1745" stopIfTrue="1" operator="between">
      <formula>7</formula>
      <formula>14</formula>
    </cfRule>
    <cfRule type="cellIs" dxfId="1668" priority="1746" stopIfTrue="1" operator="lessThan">
      <formula>7</formula>
    </cfRule>
  </conditionalFormatting>
  <conditionalFormatting sqref="M836">
    <cfRule type="cellIs" dxfId="1667" priority="1738" stopIfTrue="1" operator="lessThan">
      <formula>7</formula>
    </cfRule>
    <cfRule type="cellIs" dxfId="1666" priority="1737" stopIfTrue="1" operator="between">
      <formula>7</formula>
      <formula>14</formula>
    </cfRule>
  </conditionalFormatting>
  <conditionalFormatting sqref="M838">
    <cfRule type="cellIs" dxfId="1665" priority="1729" stopIfTrue="1" operator="between">
      <formula>7</formula>
      <formula>14</formula>
    </cfRule>
    <cfRule type="cellIs" dxfId="1664" priority="1730" stopIfTrue="1" operator="lessThan">
      <formula>7</formula>
    </cfRule>
  </conditionalFormatting>
  <conditionalFormatting sqref="M839">
    <cfRule type="cellIs" dxfId="1663" priority="3467" stopIfTrue="1" operator="lessThan">
      <formula>7</formula>
    </cfRule>
    <cfRule type="cellIs" dxfId="1662" priority="3466" stopIfTrue="1" operator="between">
      <formula>7</formula>
      <formula>14</formula>
    </cfRule>
  </conditionalFormatting>
  <conditionalFormatting sqref="M840">
    <cfRule type="cellIs" dxfId="1661" priority="1721" stopIfTrue="1" operator="between">
      <formula>7</formula>
      <formula>14</formula>
    </cfRule>
    <cfRule type="cellIs" dxfId="1660" priority="1722" stopIfTrue="1" operator="lessThan">
      <formula>7</formula>
    </cfRule>
  </conditionalFormatting>
  <conditionalFormatting sqref="M841">
    <cfRule type="cellIs" dxfId="1659" priority="3388" stopIfTrue="1" operator="between">
      <formula>7</formula>
      <formula>14</formula>
    </cfRule>
    <cfRule type="cellIs" dxfId="1658" priority="3389" stopIfTrue="1" operator="lessThan">
      <formula>7</formula>
    </cfRule>
  </conditionalFormatting>
  <conditionalFormatting sqref="M842">
    <cfRule type="cellIs" dxfId="1657" priority="1713" stopIfTrue="1" operator="between">
      <formula>7</formula>
      <formula>14</formula>
    </cfRule>
    <cfRule type="cellIs" dxfId="1656" priority="1714" stopIfTrue="1" operator="lessThan">
      <formula>7</formula>
    </cfRule>
  </conditionalFormatting>
  <conditionalFormatting sqref="M843">
    <cfRule type="cellIs" dxfId="1655" priority="800" stopIfTrue="1" operator="lessThan">
      <formula>7</formula>
    </cfRule>
    <cfRule type="cellIs" dxfId="1654" priority="799" stopIfTrue="1" operator="between">
      <formula>7</formula>
      <formula>14</formula>
    </cfRule>
  </conditionalFormatting>
  <conditionalFormatting sqref="M844">
    <cfRule type="cellIs" dxfId="1653" priority="793" stopIfTrue="1" operator="lessThan">
      <formula>7</formula>
    </cfRule>
    <cfRule type="cellIs" dxfId="1652" priority="792" stopIfTrue="1" operator="between">
      <formula>7</formula>
      <formula>14</formula>
    </cfRule>
  </conditionalFormatting>
  <conditionalFormatting sqref="M845">
    <cfRule type="cellIs" dxfId="1651" priority="786" stopIfTrue="1" operator="lessThan">
      <formula>7</formula>
    </cfRule>
    <cfRule type="cellIs" dxfId="1650" priority="785" stopIfTrue="1" operator="between">
      <formula>7</formula>
      <formula>14</formula>
    </cfRule>
  </conditionalFormatting>
  <conditionalFormatting sqref="M846">
    <cfRule type="cellIs" dxfId="1649" priority="3460" stopIfTrue="1" operator="lessThan">
      <formula>7</formula>
    </cfRule>
    <cfRule type="cellIs" dxfId="1648" priority="3459" stopIfTrue="1" operator="between">
      <formula>7</formula>
      <formula>14</formula>
    </cfRule>
  </conditionalFormatting>
  <conditionalFormatting sqref="M847">
    <cfRule type="cellIs" dxfId="1647" priority="1706" stopIfTrue="1" operator="lessThan">
      <formula>7</formula>
    </cfRule>
    <cfRule type="cellIs" dxfId="1646" priority="1705" stopIfTrue="1" operator="between">
      <formula>7</formula>
      <formula>14</formula>
    </cfRule>
  </conditionalFormatting>
  <conditionalFormatting sqref="M848">
    <cfRule type="cellIs" dxfId="1645" priority="3381" stopIfTrue="1" operator="between">
      <formula>7</formula>
      <formula>14</formula>
    </cfRule>
    <cfRule type="cellIs" dxfId="1644" priority="3382" stopIfTrue="1" operator="lessThan">
      <formula>7</formula>
    </cfRule>
  </conditionalFormatting>
  <conditionalFormatting sqref="M849">
    <cfRule type="cellIs" dxfId="1643" priority="1698" stopIfTrue="1" operator="lessThan">
      <formula>7</formula>
    </cfRule>
    <cfRule type="cellIs" dxfId="1642" priority="1697" stopIfTrue="1" operator="between">
      <formula>7</formula>
      <formula>14</formula>
    </cfRule>
  </conditionalFormatting>
  <conditionalFormatting sqref="M850">
    <cfRule type="cellIs" dxfId="1641" priority="4710" stopIfTrue="1" operator="lessThan">
      <formula>7</formula>
    </cfRule>
  </conditionalFormatting>
  <conditionalFormatting sqref="M850:M851">
    <cfRule type="cellIs" dxfId="1640" priority="3452" stopIfTrue="1" operator="between">
      <formula>7</formula>
      <formula>14</formula>
    </cfRule>
  </conditionalFormatting>
  <conditionalFormatting sqref="M851">
    <cfRule type="cellIs" dxfId="1639" priority="3453" stopIfTrue="1" operator="lessThan">
      <formula>7</formula>
    </cfRule>
  </conditionalFormatting>
  <conditionalFormatting sqref="M852">
    <cfRule type="cellIs" dxfId="1638" priority="1689" stopIfTrue="1" operator="between">
      <formula>7</formula>
      <formula>14</formula>
    </cfRule>
    <cfRule type="cellIs" dxfId="1637" priority="1690" stopIfTrue="1" operator="lessThan">
      <formula>7</formula>
    </cfRule>
  </conditionalFormatting>
  <conditionalFormatting sqref="M853">
    <cfRule type="cellIs" dxfId="1636" priority="650" stopIfTrue="1" operator="lessThan">
      <formula>7</formula>
    </cfRule>
    <cfRule type="cellIs" dxfId="1635" priority="649" stopIfTrue="1" operator="between">
      <formula>7</formula>
      <formula>14</formula>
    </cfRule>
  </conditionalFormatting>
  <conditionalFormatting sqref="M854">
    <cfRule type="cellIs" dxfId="1634" priority="641" stopIfTrue="1" operator="between">
      <formula>7</formula>
      <formula>14</formula>
    </cfRule>
    <cfRule type="cellIs" dxfId="1633" priority="642" stopIfTrue="1" operator="lessThan">
      <formula>7</formula>
    </cfRule>
  </conditionalFormatting>
  <conditionalFormatting sqref="M855">
    <cfRule type="cellIs" dxfId="1632" priority="638" stopIfTrue="1" operator="between">
      <formula>7</formula>
      <formula>14</formula>
    </cfRule>
    <cfRule type="cellIs" dxfId="1631" priority="639" stopIfTrue="1" operator="lessThan">
      <formula>7</formula>
    </cfRule>
  </conditionalFormatting>
  <conditionalFormatting sqref="M856">
    <cfRule type="cellIs" dxfId="1630" priority="630" stopIfTrue="1" operator="between">
      <formula>7</formula>
      <formula>14</formula>
    </cfRule>
    <cfRule type="cellIs" dxfId="1629" priority="631" stopIfTrue="1" operator="lessThan">
      <formula>7</formula>
    </cfRule>
  </conditionalFormatting>
  <conditionalFormatting sqref="M857">
    <cfRule type="cellIs" dxfId="1628" priority="627" stopIfTrue="1" operator="between">
      <formula>7</formula>
      <formula>14</formula>
    </cfRule>
    <cfRule type="cellIs" dxfId="1627" priority="628" stopIfTrue="1" operator="lessThan">
      <formula>7</formula>
    </cfRule>
  </conditionalFormatting>
  <conditionalFormatting sqref="M858">
    <cfRule type="cellIs" dxfId="1626" priority="612" stopIfTrue="1" operator="between">
      <formula>7</formula>
      <formula>14</formula>
    </cfRule>
    <cfRule type="cellIs" dxfId="1625" priority="613" stopIfTrue="1" operator="lessThan">
      <formula>7</formula>
    </cfRule>
  </conditionalFormatting>
  <conditionalFormatting sqref="M859">
    <cfRule type="cellIs" dxfId="1624" priority="619" stopIfTrue="1" operator="between">
      <formula>7</formula>
      <formula>14</formula>
    </cfRule>
    <cfRule type="cellIs" dxfId="1623" priority="620" stopIfTrue="1" operator="lessThan">
      <formula>7</formula>
    </cfRule>
  </conditionalFormatting>
  <conditionalFormatting sqref="M860">
    <cfRule type="cellIs" dxfId="1622" priority="605" stopIfTrue="1" operator="lessThan">
      <formula>7</formula>
    </cfRule>
    <cfRule type="cellIs" dxfId="1621" priority="604" stopIfTrue="1" operator="between">
      <formula>7</formula>
      <formula>14</formula>
    </cfRule>
  </conditionalFormatting>
  <conditionalFormatting sqref="M861">
    <cfRule type="cellIs" dxfId="1620" priority="3445" stopIfTrue="1" operator="between">
      <formula>7</formula>
      <formula>14</formula>
    </cfRule>
    <cfRule type="cellIs" dxfId="1619" priority="3446" stopIfTrue="1" operator="lessThan">
      <formula>7</formula>
    </cfRule>
  </conditionalFormatting>
  <conditionalFormatting sqref="M862">
    <cfRule type="cellIs" dxfId="1618" priority="1682" stopIfTrue="1" operator="lessThan">
      <formula>7</formula>
    </cfRule>
    <cfRule type="cellIs" dxfId="1617" priority="1681" stopIfTrue="1" operator="between">
      <formula>7</formula>
      <formula>14</formula>
    </cfRule>
  </conditionalFormatting>
  <conditionalFormatting sqref="M863 M865">
    <cfRule type="cellIs" dxfId="1616" priority="376" stopIfTrue="1" operator="between">
      <formula>7</formula>
      <formula>14</formula>
    </cfRule>
    <cfRule type="cellIs" dxfId="1615" priority="377" stopIfTrue="1" operator="lessThan">
      <formula>7</formula>
    </cfRule>
  </conditionalFormatting>
  <conditionalFormatting sqref="M864">
    <cfRule type="cellIs" dxfId="1614" priority="345" stopIfTrue="1" operator="between">
      <formula>7</formula>
      <formula>14</formula>
    </cfRule>
    <cfRule type="cellIs" dxfId="1613" priority="346" stopIfTrue="1" operator="lessThan">
      <formula>7</formula>
    </cfRule>
  </conditionalFormatting>
  <conditionalFormatting sqref="M866">
    <cfRule type="cellIs" dxfId="1612" priority="338" stopIfTrue="1" operator="lessThan">
      <formula>7</formula>
    </cfRule>
    <cfRule type="cellIs" dxfId="1611" priority="337" stopIfTrue="1" operator="between">
      <formula>7</formula>
      <formula>14</formula>
    </cfRule>
  </conditionalFormatting>
  <conditionalFormatting sqref="M867 M869">
    <cfRule type="cellIs" dxfId="1610" priority="369" stopIfTrue="1" operator="lessThan">
      <formula>7</formula>
    </cfRule>
    <cfRule type="cellIs" dxfId="1609" priority="368" stopIfTrue="1" operator="between">
      <formula>7</formula>
      <formula>14</formula>
    </cfRule>
  </conditionalFormatting>
  <conditionalFormatting sqref="M868">
    <cfRule type="cellIs" dxfId="1608" priority="329" stopIfTrue="1" operator="between">
      <formula>7</formula>
      <formula>14</formula>
    </cfRule>
    <cfRule type="cellIs" dxfId="1607" priority="330" stopIfTrue="1" operator="lessThan">
      <formula>7</formula>
    </cfRule>
  </conditionalFormatting>
  <conditionalFormatting sqref="M870">
    <cfRule type="cellIs" dxfId="1606" priority="306" stopIfTrue="1" operator="lessThan">
      <formula>7</formula>
    </cfRule>
    <cfRule type="cellIs" dxfId="1605" priority="305" stopIfTrue="1" operator="between">
      <formula>7</formula>
      <formula>14</formula>
    </cfRule>
  </conditionalFormatting>
  <conditionalFormatting sqref="M871 M873">
    <cfRule type="cellIs" dxfId="1604" priority="361" stopIfTrue="1" operator="lessThan">
      <formula>7</formula>
    </cfRule>
    <cfRule type="cellIs" dxfId="1603" priority="360" stopIfTrue="1" operator="between">
      <formula>7</formula>
      <formula>14</formula>
    </cfRule>
  </conditionalFormatting>
  <conditionalFormatting sqref="M872">
    <cfRule type="cellIs" dxfId="1602" priority="321" stopIfTrue="1" operator="between">
      <formula>7</formula>
      <formula>14</formula>
    </cfRule>
    <cfRule type="cellIs" dxfId="1601" priority="322" stopIfTrue="1" operator="lessThan">
      <formula>7</formula>
    </cfRule>
  </conditionalFormatting>
  <conditionalFormatting sqref="M874">
    <cfRule type="cellIs" dxfId="1600" priority="297" stopIfTrue="1" operator="between">
      <formula>7</formula>
      <formula>14</formula>
    </cfRule>
    <cfRule type="cellIs" dxfId="1599" priority="298" stopIfTrue="1" operator="lessThan">
      <formula>7</formula>
    </cfRule>
  </conditionalFormatting>
  <conditionalFormatting sqref="M875 M877">
    <cfRule type="cellIs" dxfId="1598" priority="353" stopIfTrue="1" operator="lessThan">
      <formula>7</formula>
    </cfRule>
    <cfRule type="cellIs" dxfId="1597" priority="352" stopIfTrue="1" operator="between">
      <formula>7</formula>
      <formula>14</formula>
    </cfRule>
  </conditionalFormatting>
  <conditionalFormatting sqref="M876">
    <cfRule type="cellIs" dxfId="1596" priority="314" stopIfTrue="1" operator="lessThan">
      <formula>7</formula>
    </cfRule>
    <cfRule type="cellIs" dxfId="1595" priority="313" stopIfTrue="1" operator="between">
      <formula>7</formula>
      <formula>14</formula>
    </cfRule>
  </conditionalFormatting>
  <conditionalFormatting sqref="M878">
    <cfRule type="cellIs" dxfId="1594" priority="290" stopIfTrue="1" operator="lessThan">
      <formula>7</formula>
    </cfRule>
    <cfRule type="cellIs" dxfId="1593" priority="289" stopIfTrue="1" operator="between">
      <formula>7</formula>
      <formula>14</formula>
    </cfRule>
  </conditionalFormatting>
  <conditionalFormatting sqref="M879">
    <cfRule type="cellIs" dxfId="1592" priority="2222" stopIfTrue="1" operator="lessThan">
      <formula>7</formula>
    </cfRule>
    <cfRule type="cellIs" dxfId="1591" priority="2221" stopIfTrue="1" operator="between">
      <formula>7</formula>
      <formula>14</formula>
    </cfRule>
  </conditionalFormatting>
  <conditionalFormatting sqref="M880">
    <cfRule type="cellIs" dxfId="1590" priority="1674" stopIfTrue="1" operator="lessThan">
      <formula>7</formula>
    </cfRule>
    <cfRule type="cellIs" dxfId="1589" priority="1673" stopIfTrue="1" operator="between">
      <formula>7</formula>
      <formula>14</formula>
    </cfRule>
  </conditionalFormatting>
  <conditionalFormatting sqref="M881">
    <cfRule type="cellIs" dxfId="1588" priority="2214" stopIfTrue="1" operator="between">
      <formula>7</formula>
      <formula>14</formula>
    </cfRule>
    <cfRule type="cellIs" dxfId="1587" priority="2215" stopIfTrue="1" operator="lessThan">
      <formula>7</formula>
    </cfRule>
  </conditionalFormatting>
  <conditionalFormatting sqref="M882">
    <cfRule type="cellIs" dxfId="1586" priority="1666" stopIfTrue="1" operator="lessThan">
      <formula>7</formula>
    </cfRule>
    <cfRule type="cellIs" dxfId="1585" priority="1665" stopIfTrue="1" operator="between">
      <formula>7</formula>
      <formula>14</formula>
    </cfRule>
  </conditionalFormatting>
  <conditionalFormatting sqref="M885:M893 M896:M897 M899:M902 M913:M924 M933:M936 M938:M958 M965:M966 M1000:M1001 M1004:M1007 M1014">
    <cfRule type="cellIs" dxfId="1584" priority="4578" stopIfTrue="1" operator="between">
      <formula>7</formula>
      <formula>14</formula>
    </cfRule>
  </conditionalFormatting>
  <conditionalFormatting sqref="M885:M893 M938:M958 M933:M936 M913:M924 M1000:M1001 M896:M897 M965:M966 M1004:M1007 M1014 M899:M902">
    <cfRule type="cellIs" dxfId="1583" priority="4579" stopIfTrue="1" operator="lessThan">
      <formula>7</formula>
    </cfRule>
  </conditionalFormatting>
  <conditionalFormatting sqref="M885:M936">
    <cfRule type="cellIs" dxfId="1582" priority="18" stopIfTrue="1" operator="greaterThanOrEqual">
      <formula>15</formula>
    </cfRule>
  </conditionalFormatting>
  <conditionalFormatting sqref="M894:M895">
    <cfRule type="cellIs" dxfId="1581" priority="1484" stopIfTrue="1" operator="between">
      <formula>7</formula>
      <formula>14</formula>
    </cfRule>
    <cfRule type="cellIs" dxfId="1580" priority="1485" stopIfTrue="1" operator="lessThan">
      <formula>7</formula>
    </cfRule>
  </conditionalFormatting>
  <conditionalFormatting sqref="M898">
    <cfRule type="cellIs" dxfId="1579" priority="19" stopIfTrue="1" operator="between">
      <formula>7</formula>
      <formula>14</formula>
    </cfRule>
    <cfRule type="cellIs" dxfId="1578" priority="20" stopIfTrue="1" operator="lessThan">
      <formula>7</formula>
    </cfRule>
  </conditionalFormatting>
  <conditionalFormatting sqref="M903">
    <cfRule type="cellIs" dxfId="1577" priority="171" stopIfTrue="1" operator="lessThan">
      <formula>7</formula>
    </cfRule>
    <cfRule type="cellIs" dxfId="1576" priority="170" stopIfTrue="1" operator="between">
      <formula>7</formula>
      <formula>14</formula>
    </cfRule>
  </conditionalFormatting>
  <conditionalFormatting sqref="M904">
    <cfRule type="cellIs" dxfId="1575" priority="164" stopIfTrue="1" operator="lessThan">
      <formula>7</formula>
    </cfRule>
    <cfRule type="cellIs" dxfId="1574" priority="163" stopIfTrue="1" operator="between">
      <formula>7</formula>
      <formula>14</formula>
    </cfRule>
  </conditionalFormatting>
  <conditionalFormatting sqref="M905">
    <cfRule type="cellIs" dxfId="1573" priority="1431" stopIfTrue="1" operator="between">
      <formula>7</formula>
      <formula>14</formula>
    </cfRule>
    <cfRule type="cellIs" dxfId="1572" priority="1432" stopIfTrue="1" operator="lessThan">
      <formula>7</formula>
    </cfRule>
  </conditionalFormatting>
  <conditionalFormatting sqref="M906">
    <cfRule type="cellIs" dxfId="1571" priority="1424" stopIfTrue="1" operator="lessThan">
      <formula>7</formula>
    </cfRule>
    <cfRule type="cellIs" dxfId="1570" priority="1423" stopIfTrue="1" operator="between">
      <formula>7</formula>
      <formula>14</formula>
    </cfRule>
  </conditionalFormatting>
  <conditionalFormatting sqref="M907:M909 M911:M912">
    <cfRule type="cellIs" dxfId="1569" priority="2187" stopIfTrue="1" operator="lessThan">
      <formula>7</formula>
    </cfRule>
    <cfRule type="cellIs" dxfId="1568" priority="2186" stopIfTrue="1" operator="between">
      <formula>7</formula>
      <formula>14</formula>
    </cfRule>
  </conditionalFormatting>
  <conditionalFormatting sqref="M910">
    <cfRule type="cellIs" dxfId="1567" priority="2179" stopIfTrue="1" operator="between">
      <formula>7</formula>
      <formula>14</formula>
    </cfRule>
    <cfRule type="cellIs" dxfId="1566" priority="2180" stopIfTrue="1" operator="lessThan">
      <formula>7</formula>
    </cfRule>
  </conditionalFormatting>
  <conditionalFormatting sqref="M925:M927 M929:M930 M932">
    <cfRule type="cellIs" dxfId="1565" priority="2208" stopIfTrue="1" operator="lessThan">
      <formula>7</formula>
    </cfRule>
    <cfRule type="cellIs" dxfId="1564" priority="2207" stopIfTrue="1" operator="between">
      <formula>7</formula>
      <formula>14</formula>
    </cfRule>
  </conditionalFormatting>
  <conditionalFormatting sqref="M928">
    <cfRule type="cellIs" dxfId="1563" priority="2200" stopIfTrue="1" operator="between">
      <formula>7</formula>
      <formula>14</formula>
    </cfRule>
    <cfRule type="cellIs" dxfId="1562" priority="2201" stopIfTrue="1" operator="lessThan">
      <formula>7</formula>
    </cfRule>
  </conditionalFormatting>
  <conditionalFormatting sqref="M931">
    <cfRule type="cellIs" dxfId="1561" priority="2193" stopIfTrue="1" operator="between">
      <formula>7</formula>
      <formula>14</formula>
    </cfRule>
    <cfRule type="cellIs" dxfId="1560" priority="2194" stopIfTrue="1" operator="lessThan">
      <formula>7</formula>
    </cfRule>
  </conditionalFormatting>
  <conditionalFormatting sqref="M938:M966">
    <cfRule type="cellIs" dxfId="1559" priority="82" stopIfTrue="1" operator="greaterThanOrEqual">
      <formula>15</formula>
    </cfRule>
  </conditionalFormatting>
  <conditionalFormatting sqref="M959">
    <cfRule type="cellIs" dxfId="1558" priority="90" stopIfTrue="1" operator="between">
      <formula>7</formula>
      <formula>14</formula>
    </cfRule>
    <cfRule type="cellIs" dxfId="1557" priority="91" stopIfTrue="1" operator="lessThan">
      <formula>7</formula>
    </cfRule>
  </conditionalFormatting>
  <conditionalFormatting sqref="M960">
    <cfRule type="cellIs" dxfId="1556" priority="83" stopIfTrue="1" operator="between">
      <formula>7</formula>
      <formula>14</formula>
    </cfRule>
    <cfRule type="cellIs" dxfId="1555" priority="84" stopIfTrue="1" operator="lessThan">
      <formula>7</formula>
    </cfRule>
  </conditionalFormatting>
  <conditionalFormatting sqref="M961">
    <cfRule type="cellIs" dxfId="1554" priority="1318" stopIfTrue="1" operator="lessThan">
      <formula>7</formula>
    </cfRule>
    <cfRule type="cellIs" dxfId="1553" priority="1317" stopIfTrue="1" operator="between">
      <formula>7</formula>
      <formula>14</formula>
    </cfRule>
  </conditionalFormatting>
  <conditionalFormatting sqref="M962">
    <cfRule type="cellIs" dxfId="1552" priority="1311" stopIfTrue="1" operator="lessThan">
      <formula>7</formula>
    </cfRule>
    <cfRule type="cellIs" dxfId="1551" priority="1310" stopIfTrue="1" operator="between">
      <formula>7</formula>
      <formula>14</formula>
    </cfRule>
  </conditionalFormatting>
  <conditionalFormatting sqref="M963">
    <cfRule type="cellIs" dxfId="1550" priority="1308" stopIfTrue="1" operator="lessThan">
      <formula>7</formula>
    </cfRule>
    <cfRule type="cellIs" dxfId="1549" priority="1307" stopIfTrue="1" operator="between">
      <formula>7</formula>
      <formula>14</formula>
    </cfRule>
  </conditionalFormatting>
  <conditionalFormatting sqref="M964">
    <cfRule type="cellIs" dxfId="1548" priority="1304" stopIfTrue="1" operator="between">
      <formula>7</formula>
      <formula>14</formula>
    </cfRule>
    <cfRule type="cellIs" dxfId="1547" priority="1305" stopIfTrue="1" operator="lessThan">
      <formula>7</formula>
    </cfRule>
  </conditionalFormatting>
  <conditionalFormatting sqref="M968:M1024">
    <cfRule type="cellIs" dxfId="1546" priority="383" stopIfTrue="1" operator="greaterThanOrEqual">
      <formula>15</formula>
    </cfRule>
  </conditionalFormatting>
  <conditionalFormatting sqref="M980">
    <cfRule type="cellIs" dxfId="1545" priority="1256" stopIfTrue="1" operator="lessThan">
      <formula>7</formula>
    </cfRule>
    <cfRule type="cellIs" dxfId="1544" priority="1255" stopIfTrue="1" operator="between">
      <formula>7</formula>
      <formula>14</formula>
    </cfRule>
  </conditionalFormatting>
  <conditionalFormatting sqref="M981">
    <cfRule type="cellIs" dxfId="1543" priority="1249" stopIfTrue="1" operator="lessThan">
      <formula>7</formula>
    </cfRule>
    <cfRule type="cellIs" dxfId="1542" priority="1248" stopIfTrue="1" operator="between">
      <formula>7</formula>
      <formula>14</formula>
    </cfRule>
  </conditionalFormatting>
  <conditionalFormatting sqref="M982">
    <cfRule type="cellIs" dxfId="1541" priority="1230" stopIfTrue="1" operator="between">
      <formula>7</formula>
      <formula>14</formula>
    </cfRule>
    <cfRule type="cellIs" dxfId="1540" priority="1231" stopIfTrue="1" operator="lessThan">
      <formula>7</formula>
    </cfRule>
  </conditionalFormatting>
  <conditionalFormatting sqref="M983">
    <cfRule type="cellIs" dxfId="1539" priority="1222" stopIfTrue="1" operator="between">
      <formula>7</formula>
      <formula>14</formula>
    </cfRule>
    <cfRule type="cellIs" dxfId="1538" priority="1223" stopIfTrue="1" operator="lessThan">
      <formula>7</formula>
    </cfRule>
  </conditionalFormatting>
  <conditionalFormatting sqref="M984:M985">
    <cfRule type="cellIs" dxfId="1537" priority="1241" stopIfTrue="1" operator="lessThan">
      <formula>7</formula>
    </cfRule>
    <cfRule type="cellIs" dxfId="1536" priority="1240" stopIfTrue="1" operator="between">
      <formula>7</formula>
      <formula>14</formula>
    </cfRule>
  </conditionalFormatting>
  <conditionalFormatting sqref="M986">
    <cfRule type="cellIs" dxfId="1535" priority="1234" stopIfTrue="1" operator="lessThan">
      <formula>7</formula>
    </cfRule>
    <cfRule type="cellIs" dxfId="1534" priority="1233" stopIfTrue="1" operator="between">
      <formula>7</formula>
      <formula>14</formula>
    </cfRule>
  </conditionalFormatting>
  <conditionalFormatting sqref="M989:M990">
    <cfRule type="cellIs" dxfId="1533" priority="912" stopIfTrue="1" operator="between">
      <formula>7</formula>
      <formula>14</formula>
    </cfRule>
    <cfRule type="cellIs" dxfId="1532" priority="913" stopIfTrue="1" operator="lessThan">
      <formula>7</formula>
    </cfRule>
  </conditionalFormatting>
  <conditionalFormatting sqref="M991">
    <cfRule type="cellIs" dxfId="1531" priority="906" stopIfTrue="1" operator="lessThan">
      <formula>7</formula>
    </cfRule>
    <cfRule type="cellIs" dxfId="1530" priority="905" stopIfTrue="1" operator="between">
      <formula>7</formula>
      <formula>14</formula>
    </cfRule>
  </conditionalFormatting>
  <conditionalFormatting sqref="M996:M999">
    <cfRule type="cellIs" dxfId="1529" priority="2172" stopIfTrue="1" operator="between">
      <formula>7</formula>
      <formula>14</formula>
    </cfRule>
    <cfRule type="cellIs" dxfId="1528" priority="2173" stopIfTrue="1" operator="lessThan">
      <formula>7</formula>
    </cfRule>
  </conditionalFormatting>
  <conditionalFormatting sqref="M1002">
    <cfRule type="cellIs" dxfId="1527" priority="830" stopIfTrue="1" operator="lessThan">
      <formula>7</formula>
    </cfRule>
    <cfRule type="cellIs" dxfId="1526" priority="829" stopIfTrue="1" operator="between">
      <formula>7</formula>
      <formula>14</formula>
    </cfRule>
  </conditionalFormatting>
  <conditionalFormatting sqref="M1003">
    <cfRule type="cellIs" dxfId="1525" priority="822" stopIfTrue="1" operator="between">
      <formula>7</formula>
      <formula>14</formula>
    </cfRule>
    <cfRule type="cellIs" dxfId="1524" priority="823" stopIfTrue="1" operator="lessThan">
      <formula>7</formula>
    </cfRule>
  </conditionalFormatting>
  <conditionalFormatting sqref="M1008">
    <cfRule type="cellIs" dxfId="1523" priority="682" stopIfTrue="1" operator="between">
      <formula>7</formula>
      <formula>14</formula>
    </cfRule>
    <cfRule type="cellIs" dxfId="1522" priority="683" stopIfTrue="1" operator="lessThan">
      <formula>7</formula>
    </cfRule>
  </conditionalFormatting>
  <conditionalFormatting sqref="M1009">
    <cfRule type="cellIs" dxfId="1521" priority="674" stopIfTrue="1" operator="between">
      <formula>7</formula>
      <formula>14</formula>
    </cfRule>
    <cfRule type="cellIs" dxfId="1520" priority="675" stopIfTrue="1" operator="lessThan">
      <formula>7</formula>
    </cfRule>
  </conditionalFormatting>
  <conditionalFormatting sqref="M1010">
    <cfRule type="cellIs" dxfId="1519" priority="671" stopIfTrue="1" operator="between">
      <formula>7</formula>
      <formula>14</formula>
    </cfRule>
    <cfRule type="cellIs" dxfId="1518" priority="672" stopIfTrue="1" operator="lessThan">
      <formula>7</formula>
    </cfRule>
  </conditionalFormatting>
  <conditionalFormatting sqref="M1011">
    <cfRule type="cellIs" dxfId="1517" priority="663" stopIfTrue="1" operator="between">
      <formula>7</formula>
      <formula>14</formula>
    </cfRule>
    <cfRule type="cellIs" dxfId="1516" priority="664" stopIfTrue="1" operator="lessThan">
      <formula>7</formula>
    </cfRule>
  </conditionalFormatting>
  <conditionalFormatting sqref="M1012">
    <cfRule type="cellIs" dxfId="1515" priority="660" stopIfTrue="1" operator="between">
      <formula>7</formula>
      <formula>14</formula>
    </cfRule>
    <cfRule type="cellIs" dxfId="1514" priority="661" stopIfTrue="1" operator="lessThan">
      <formula>7</formula>
    </cfRule>
  </conditionalFormatting>
  <conditionalFormatting sqref="M1013">
    <cfRule type="cellIs" dxfId="1513" priority="653" stopIfTrue="1" operator="lessThan">
      <formula>7</formula>
    </cfRule>
    <cfRule type="cellIs" dxfId="1512" priority="652" stopIfTrue="1" operator="between">
      <formula>7</formula>
      <formula>14</formula>
    </cfRule>
  </conditionalFormatting>
  <conditionalFormatting sqref="M1015:M1016">
    <cfRule type="cellIs" dxfId="1511" priority="409" stopIfTrue="1" operator="lessThan">
      <formula>7</formula>
    </cfRule>
    <cfRule type="cellIs" dxfId="1510" priority="408" stopIfTrue="1" operator="between">
      <formula>7</formula>
      <formula>14</formula>
    </cfRule>
  </conditionalFormatting>
  <conditionalFormatting sqref="M1017:M1018">
    <cfRule type="cellIs" dxfId="1509" priority="400" stopIfTrue="1" operator="between">
      <formula>7</formula>
      <formula>14</formula>
    </cfRule>
    <cfRule type="cellIs" dxfId="1508" priority="401" stopIfTrue="1" operator="lessThan">
      <formula>7</formula>
    </cfRule>
  </conditionalFormatting>
  <conditionalFormatting sqref="M1019:M1020">
    <cfRule type="cellIs" dxfId="1507" priority="392" stopIfTrue="1" operator="between">
      <formula>7</formula>
      <formula>14</formula>
    </cfRule>
    <cfRule type="cellIs" dxfId="1506" priority="393" stopIfTrue="1" operator="lessThan">
      <formula>7</formula>
    </cfRule>
  </conditionalFormatting>
  <conditionalFormatting sqref="M1021:M1022">
    <cfRule type="cellIs" dxfId="1505" priority="385" stopIfTrue="1" operator="lessThan">
      <formula>7</formula>
    </cfRule>
    <cfRule type="cellIs" dxfId="1504" priority="384" stopIfTrue="1" operator="between">
      <formula>7</formula>
      <formula>14</formula>
    </cfRule>
  </conditionalFormatting>
  <conditionalFormatting sqref="M1023">
    <cfRule type="cellIs" dxfId="1503" priority="2165" stopIfTrue="1" operator="between">
      <formula>7</formula>
      <formula>14</formula>
    </cfRule>
    <cfRule type="cellIs" dxfId="1502" priority="2166" stopIfTrue="1" operator="lessThan">
      <formula>7</formula>
    </cfRule>
  </conditionalFormatting>
  <conditionalFormatting sqref="M1024">
    <cfRule type="cellIs" dxfId="1501" priority="2158" stopIfTrue="1" operator="between">
      <formula>7</formula>
      <formula>14</formula>
    </cfRule>
    <cfRule type="cellIs" dxfId="1500" priority="2159" stopIfTrue="1" operator="lessThan">
      <formula>7</formula>
    </cfRule>
  </conditionalFormatting>
  <conditionalFormatting sqref="Q6:Q8">
    <cfRule type="cellIs" dxfId="1499" priority="5448" stopIfTrue="1" operator="between">
      <formula>50</formula>
      <formula>59.9999</formula>
    </cfRule>
    <cfRule type="cellIs" dxfId="1498" priority="5449" stopIfTrue="1" operator="lessThanOrEqual">
      <formula>50</formula>
    </cfRule>
  </conditionalFormatting>
  <conditionalFormatting sqref="Q6:Q12">
    <cfRule type="cellIs" dxfId="1497" priority="5440" stopIfTrue="1" operator="between">
      <formula>60</formula>
      <formula>69.999999</formula>
    </cfRule>
  </conditionalFormatting>
  <conditionalFormatting sqref="Q6:Q59">
    <cfRule type="cellIs" dxfId="1496" priority="45" stopIfTrue="1" operator="greaterThanOrEqual">
      <formula>70</formula>
    </cfRule>
  </conditionalFormatting>
  <conditionalFormatting sqref="Q9:Q11">
    <cfRule type="cellIs" dxfId="1495" priority="5441" stopIfTrue="1" operator="between">
      <formula>50</formula>
      <formula>59.9999</formula>
    </cfRule>
    <cfRule type="cellIs" dxfId="1494" priority="5442" stopIfTrue="1" operator="lessThanOrEqual">
      <formula>50</formula>
    </cfRule>
  </conditionalFormatting>
  <conditionalFormatting sqref="Q12">
    <cfRule type="cellIs" dxfId="1493" priority="5574" stopIfTrue="1" operator="between">
      <formula>50</formula>
      <formula>59.9999</formula>
    </cfRule>
    <cfRule type="cellIs" dxfId="1492" priority="5575" stopIfTrue="1" operator="lessThanOrEqual">
      <formula>50</formula>
    </cfRule>
  </conditionalFormatting>
  <conditionalFormatting sqref="Q13 Q15:Q18 Q32:Q33 Q165 Q170:Q172 Q174:Q175 Q231:Q236 Q693:Q696">
    <cfRule type="cellIs" dxfId="1491" priority="5581" stopIfTrue="1" operator="between">
      <formula>50</formula>
      <formula>59.9999</formula>
    </cfRule>
    <cfRule type="cellIs" dxfId="1490" priority="5580" stopIfTrue="1" operator="between">
      <formula>60</formula>
      <formula>69.999999</formula>
    </cfRule>
    <cfRule type="cellIs" dxfId="1489" priority="5582" stopIfTrue="1" operator="lessThanOrEqual">
      <formula>50</formula>
    </cfRule>
  </conditionalFormatting>
  <conditionalFormatting sqref="Q14">
    <cfRule type="cellIs" dxfId="1488" priority="5433" stopIfTrue="1" operator="between">
      <formula>60</formula>
      <formula>69.999999</formula>
    </cfRule>
    <cfRule type="cellIs" dxfId="1487" priority="5434" stopIfTrue="1" operator="between">
      <formula>50</formula>
      <formula>59.9999</formula>
    </cfRule>
    <cfRule type="cellIs" dxfId="1486" priority="5435" stopIfTrue="1" operator="lessThanOrEqual">
      <formula>50</formula>
    </cfRule>
  </conditionalFormatting>
  <conditionalFormatting sqref="Q19:Q20 Q22">
    <cfRule type="cellIs" dxfId="1485" priority="5559" stopIfTrue="1" operator="between">
      <formula>50</formula>
      <formula>59.9999</formula>
    </cfRule>
    <cfRule type="cellIs" dxfId="1484" priority="5560" stopIfTrue="1" operator="lessThanOrEqual">
      <formula>50</formula>
    </cfRule>
  </conditionalFormatting>
  <conditionalFormatting sqref="Q19:Q31">
    <cfRule type="cellIs" dxfId="1483" priority="46" stopIfTrue="1" operator="between">
      <formula>60</formula>
      <formula>69.999999</formula>
    </cfRule>
  </conditionalFormatting>
  <conditionalFormatting sqref="Q21">
    <cfRule type="cellIs" dxfId="1482" priority="48" stopIfTrue="1" operator="lessThanOrEqual">
      <formula>50</formula>
    </cfRule>
    <cfRule type="cellIs" dxfId="1481" priority="47" stopIfTrue="1" operator="between">
      <formula>50</formula>
      <formula>59.9999</formula>
    </cfRule>
  </conditionalFormatting>
  <conditionalFormatting sqref="Q23">
    <cfRule type="cellIs" dxfId="1480" priority="5332" stopIfTrue="1" operator="lessThanOrEqual">
      <formula>50</formula>
    </cfRule>
    <cfRule type="cellIs" dxfId="1479" priority="5331" stopIfTrue="1" operator="between">
      <formula>50</formula>
      <formula>59.9999</formula>
    </cfRule>
  </conditionalFormatting>
  <conditionalFormatting sqref="Q24">
    <cfRule type="cellIs" dxfId="1478" priority="5564" stopIfTrue="1" operator="lessThanOrEqual">
      <formula>50</formula>
    </cfRule>
    <cfRule type="cellIs" dxfId="1477" priority="5563" stopIfTrue="1" operator="between">
      <formula>50</formula>
      <formula>59.9999</formula>
    </cfRule>
  </conditionalFormatting>
  <conditionalFormatting sqref="Q25">
    <cfRule type="cellIs" dxfId="1476" priority="5324" stopIfTrue="1" operator="between">
      <formula>50</formula>
      <formula>59.9999</formula>
    </cfRule>
    <cfRule type="cellIs" dxfId="1475" priority="5325" stopIfTrue="1" operator="lessThanOrEqual">
      <formula>50</formula>
    </cfRule>
  </conditionalFormatting>
  <conditionalFormatting sqref="Q26">
    <cfRule type="cellIs" dxfId="1474" priority="270" stopIfTrue="1" operator="between">
      <formula>50</formula>
      <formula>59.9999</formula>
    </cfRule>
    <cfRule type="cellIs" dxfId="1473" priority="271" stopIfTrue="1" operator="lessThanOrEqual">
      <formula>50</formula>
    </cfRule>
  </conditionalFormatting>
  <conditionalFormatting sqref="Q27">
    <cfRule type="cellIs" dxfId="1472" priority="264" stopIfTrue="1" operator="lessThanOrEqual">
      <formula>50</formula>
    </cfRule>
    <cfRule type="cellIs" dxfId="1471" priority="263" stopIfTrue="1" operator="between">
      <formula>50</formula>
      <formula>59.9999</formula>
    </cfRule>
  </conditionalFormatting>
  <conditionalFormatting sqref="Q28:Q29">
    <cfRule type="cellIs" dxfId="1470" priority="1659" stopIfTrue="1" operator="lessThanOrEqual">
      <formula>50</formula>
    </cfRule>
    <cfRule type="cellIs" dxfId="1469" priority="1658" stopIfTrue="1" operator="between">
      <formula>50</formula>
      <formula>59.9999</formula>
    </cfRule>
  </conditionalFormatting>
  <conditionalFormatting sqref="Q30:Q31">
    <cfRule type="cellIs" dxfId="1468" priority="2379" stopIfTrue="1" operator="between">
      <formula>50</formula>
      <formula>59.9999</formula>
    </cfRule>
    <cfRule type="cellIs" dxfId="1467" priority="2380" stopIfTrue="1" operator="lessThanOrEqual">
      <formula>50</formula>
    </cfRule>
  </conditionalFormatting>
  <conditionalFormatting sqref="Q34:Q35">
    <cfRule type="cellIs" dxfId="1466" priority="2393" stopIfTrue="1" operator="lessThanOrEqual">
      <formula>50</formula>
    </cfRule>
    <cfRule type="cellIs" dxfId="1465" priority="2392" stopIfTrue="1" operator="between">
      <formula>50</formula>
      <formula>59.9999</formula>
    </cfRule>
  </conditionalFormatting>
  <conditionalFormatting sqref="Q34:Q59">
    <cfRule type="cellIs" dxfId="1464" priority="2391" stopIfTrue="1" operator="between">
      <formula>60</formula>
      <formula>69.999999</formula>
    </cfRule>
  </conditionalFormatting>
  <conditionalFormatting sqref="Q36">
    <cfRule type="cellIs" dxfId="1463" priority="5421" stopIfTrue="1" operator="between">
      <formula>50</formula>
      <formula>59.9999</formula>
    </cfRule>
    <cfRule type="cellIs" dxfId="1462" priority="5422" stopIfTrue="1" operator="lessThanOrEqual">
      <formula>50</formula>
    </cfRule>
  </conditionalFormatting>
  <conditionalFormatting sqref="Q37">
    <cfRule type="cellIs" dxfId="1461" priority="5318" stopIfTrue="1" operator="lessThanOrEqual">
      <formula>50</formula>
    </cfRule>
    <cfRule type="cellIs" dxfId="1460" priority="5317" stopIfTrue="1" operator="between">
      <formula>50</formula>
      <formula>59.9999</formula>
    </cfRule>
  </conditionalFormatting>
  <conditionalFormatting sqref="Q38">
    <cfRule type="cellIs" dxfId="1459" priority="5415" stopIfTrue="1" operator="lessThanOrEqual">
      <formula>50</formula>
    </cfRule>
    <cfRule type="cellIs" dxfId="1458" priority="5414" stopIfTrue="1" operator="between">
      <formula>50</formula>
      <formula>59.9999</formula>
    </cfRule>
  </conditionalFormatting>
  <conditionalFormatting sqref="Q39">
    <cfRule type="cellIs" dxfId="1457" priority="5310" stopIfTrue="1" operator="between">
      <formula>50</formula>
      <formula>59.9999</formula>
    </cfRule>
    <cfRule type="cellIs" dxfId="1456" priority="5311" stopIfTrue="1" operator="lessThanOrEqual">
      <formula>50</formula>
    </cfRule>
  </conditionalFormatting>
  <conditionalFormatting sqref="Q40">
    <cfRule type="cellIs" dxfId="1455" priority="5407" stopIfTrue="1" operator="between">
      <formula>50</formula>
      <formula>59.9999</formula>
    </cfRule>
    <cfRule type="cellIs" dxfId="1454" priority="5408" stopIfTrue="1" operator="lessThanOrEqual">
      <formula>50</formula>
    </cfRule>
  </conditionalFormatting>
  <conditionalFormatting sqref="Q41">
    <cfRule type="cellIs" dxfId="1453" priority="5304" stopIfTrue="1" operator="lessThanOrEqual">
      <formula>50</formula>
    </cfRule>
    <cfRule type="cellIs" dxfId="1452" priority="5303" stopIfTrue="1" operator="between">
      <formula>50</formula>
      <formula>59.9999</formula>
    </cfRule>
  </conditionalFormatting>
  <conditionalFormatting sqref="Q42 Q44">
    <cfRule type="cellIs" dxfId="1451" priority="5568" stopIfTrue="1" operator="lessThanOrEqual">
      <formula>50</formula>
    </cfRule>
    <cfRule type="cellIs" dxfId="1450" priority="5567" stopIfTrue="1" operator="between">
      <formula>50</formula>
      <formula>59.9999</formula>
    </cfRule>
  </conditionalFormatting>
  <conditionalFormatting sqref="Q43">
    <cfRule type="cellIs" dxfId="1449" priority="5296" stopIfTrue="1" operator="between">
      <formula>50</formula>
      <formula>59.9999</formula>
    </cfRule>
    <cfRule type="cellIs" dxfId="1448" priority="5297" stopIfTrue="1" operator="lessThanOrEqual">
      <formula>50</formula>
    </cfRule>
  </conditionalFormatting>
  <conditionalFormatting sqref="Q45">
    <cfRule type="cellIs" dxfId="1447" priority="5289" stopIfTrue="1" operator="between">
      <formula>50</formula>
      <formula>59.9999</formula>
    </cfRule>
    <cfRule type="cellIs" dxfId="1446" priority="5290" stopIfTrue="1" operator="lessThanOrEqual">
      <formula>50</formula>
    </cfRule>
  </conditionalFormatting>
  <conditionalFormatting sqref="Q46">
    <cfRule type="cellIs" dxfId="1445" priority="5282" stopIfTrue="1" operator="between">
      <formula>50</formula>
      <formula>59.9999</formula>
    </cfRule>
    <cfRule type="cellIs" dxfId="1444" priority="5283" stopIfTrue="1" operator="lessThanOrEqual">
      <formula>50</formula>
    </cfRule>
  </conditionalFormatting>
  <conditionalFormatting sqref="Q47">
    <cfRule type="cellIs" dxfId="1443" priority="5276" stopIfTrue="1" operator="lessThanOrEqual">
      <formula>50</formula>
    </cfRule>
    <cfRule type="cellIs" dxfId="1442" priority="5275" stopIfTrue="1" operator="between">
      <formula>50</formula>
      <formula>59.9999</formula>
    </cfRule>
  </conditionalFormatting>
  <conditionalFormatting sqref="Q48:Q49">
    <cfRule type="cellIs" dxfId="1441" priority="2400" stopIfTrue="1" operator="lessThanOrEqual">
      <formula>50</formula>
    </cfRule>
    <cfRule type="cellIs" dxfId="1440" priority="2399" stopIfTrue="1" operator="between">
      <formula>50</formula>
      <formula>59.9999</formula>
    </cfRule>
  </conditionalFormatting>
  <conditionalFormatting sqref="Q50">
    <cfRule type="cellIs" dxfId="1439" priority="2413" stopIfTrue="1" operator="between">
      <formula>50</formula>
      <formula>59.9999</formula>
    </cfRule>
    <cfRule type="cellIs" dxfId="1438" priority="2414" stopIfTrue="1" operator="lessThanOrEqual">
      <formula>50</formula>
    </cfRule>
  </conditionalFormatting>
  <conditionalFormatting sqref="Q51">
    <cfRule type="cellIs" dxfId="1437" priority="2406" stopIfTrue="1" operator="between">
      <formula>50</formula>
      <formula>59.9999</formula>
    </cfRule>
    <cfRule type="cellIs" dxfId="1436" priority="2407" stopIfTrue="1" operator="lessThanOrEqual">
      <formula>50</formula>
    </cfRule>
  </conditionalFormatting>
  <conditionalFormatting sqref="Q52:Q53">
    <cfRule type="cellIs" dxfId="1435" priority="2421" stopIfTrue="1" operator="lessThanOrEqual">
      <formula>50</formula>
    </cfRule>
    <cfRule type="cellIs" dxfId="1434" priority="2420" stopIfTrue="1" operator="between">
      <formula>50</formula>
      <formula>59.9999</formula>
    </cfRule>
  </conditionalFormatting>
  <conditionalFormatting sqref="Q54">
    <cfRule type="cellIs" dxfId="1433" priority="2425" stopIfTrue="1" operator="lessThanOrEqual">
      <formula>50</formula>
    </cfRule>
    <cfRule type="cellIs" dxfId="1432" priority="2424" stopIfTrue="1" operator="between">
      <formula>50</formula>
      <formula>59.9999</formula>
    </cfRule>
  </conditionalFormatting>
  <conditionalFormatting sqref="Q55">
    <cfRule type="cellIs" dxfId="1431" priority="2429" stopIfTrue="1" operator="lessThanOrEqual">
      <formula>50</formula>
    </cfRule>
    <cfRule type="cellIs" dxfId="1430" priority="2428" stopIfTrue="1" operator="between">
      <formula>50</formula>
      <formula>59.9999</formula>
    </cfRule>
  </conditionalFormatting>
  <conditionalFormatting sqref="Q56">
    <cfRule type="cellIs" dxfId="1429" priority="5358" stopIfTrue="1" operator="lessThanOrEqual">
      <formula>50</formula>
    </cfRule>
    <cfRule type="cellIs" dxfId="1428" priority="5357" stopIfTrue="1" operator="between">
      <formula>50</formula>
      <formula>59.9999</formula>
    </cfRule>
  </conditionalFormatting>
  <conditionalFormatting sqref="Q57">
    <cfRule type="cellIs" dxfId="1427" priority="5268" stopIfTrue="1" operator="between">
      <formula>50</formula>
      <formula>59.9999</formula>
    </cfRule>
    <cfRule type="cellIs" dxfId="1426" priority="5269" stopIfTrue="1" operator="lessThanOrEqual">
      <formula>50</formula>
    </cfRule>
  </conditionalFormatting>
  <conditionalFormatting sqref="Q58">
    <cfRule type="cellIs" dxfId="1425" priority="5261" stopIfTrue="1" operator="between">
      <formula>50</formula>
      <formula>59.9999</formula>
    </cfRule>
    <cfRule type="cellIs" dxfId="1424" priority="5262" stopIfTrue="1" operator="lessThanOrEqual">
      <formula>50</formula>
    </cfRule>
  </conditionalFormatting>
  <conditionalFormatting sqref="Q59">
    <cfRule type="cellIs" dxfId="1423" priority="5255" stopIfTrue="1" operator="lessThanOrEqual">
      <formula>50</formula>
    </cfRule>
    <cfRule type="cellIs" dxfId="1422" priority="5254" stopIfTrue="1" operator="between">
      <formula>50</formula>
      <formula>59.9999</formula>
    </cfRule>
  </conditionalFormatting>
  <conditionalFormatting sqref="Q61">
    <cfRule type="cellIs" dxfId="1421" priority="5401" stopIfTrue="1" operator="lessThanOrEqual">
      <formula>50</formula>
    </cfRule>
    <cfRule type="cellIs" dxfId="1420" priority="5400" stopIfTrue="1" operator="between">
      <formula>50</formula>
      <formula>59.9999</formula>
    </cfRule>
  </conditionalFormatting>
  <conditionalFormatting sqref="Q61:Q89">
    <cfRule type="cellIs" dxfId="1419" priority="245" stopIfTrue="1" operator="greaterThanOrEqual">
      <formula>70</formula>
    </cfRule>
    <cfRule type="cellIs" dxfId="1418" priority="246" stopIfTrue="1" operator="between">
      <formula>60</formula>
      <formula>69.999999</formula>
    </cfRule>
  </conditionalFormatting>
  <conditionalFormatting sqref="Q62">
    <cfRule type="cellIs" dxfId="1417" priority="5505" stopIfTrue="1" operator="lessThanOrEqual">
      <formula>50</formula>
    </cfRule>
    <cfRule type="cellIs" dxfId="1416" priority="5504" stopIfTrue="1" operator="between">
      <formula>50</formula>
      <formula>59.9999</formula>
    </cfRule>
  </conditionalFormatting>
  <conditionalFormatting sqref="Q63">
    <cfRule type="cellIs" dxfId="1415" priority="5548" stopIfTrue="1" operator="lessThanOrEqual">
      <formula>50</formula>
    </cfRule>
    <cfRule type="cellIs" dxfId="1414" priority="5547" stopIfTrue="1" operator="between">
      <formula>50</formula>
      <formula>59.9999</formula>
    </cfRule>
  </conditionalFormatting>
  <conditionalFormatting sqref="Q64 Q66">
    <cfRule type="cellIs" dxfId="1413" priority="5556" stopIfTrue="1" operator="lessThanOrEqual">
      <formula>50</formula>
    </cfRule>
    <cfRule type="cellIs" dxfId="1412" priority="5555" stopIfTrue="1" operator="between">
      <formula>50</formula>
      <formula>59.9999</formula>
    </cfRule>
  </conditionalFormatting>
  <conditionalFormatting sqref="Q65">
    <cfRule type="cellIs" dxfId="1411" priority="5247" stopIfTrue="1" operator="between">
      <formula>50</formula>
      <formula>59.9999</formula>
    </cfRule>
    <cfRule type="cellIs" dxfId="1410" priority="5248" stopIfTrue="1" operator="lessThanOrEqual">
      <formula>50</formula>
    </cfRule>
  </conditionalFormatting>
  <conditionalFormatting sqref="Q67">
    <cfRule type="cellIs" dxfId="1409" priority="5241" stopIfTrue="1" operator="lessThanOrEqual">
      <formula>50</formula>
    </cfRule>
    <cfRule type="cellIs" dxfId="1408" priority="5240" stopIfTrue="1" operator="between">
      <formula>50</formula>
      <formula>59.9999</formula>
    </cfRule>
  </conditionalFormatting>
  <conditionalFormatting sqref="Q68 Q70">
    <cfRule type="cellIs" dxfId="1407" priority="5509" stopIfTrue="1" operator="lessThanOrEqual">
      <formula>50</formula>
    </cfRule>
    <cfRule type="cellIs" dxfId="1406" priority="5508" stopIfTrue="1" operator="between">
      <formula>50</formula>
      <formula>59.9999</formula>
    </cfRule>
  </conditionalFormatting>
  <conditionalFormatting sqref="Q69">
    <cfRule type="cellIs" dxfId="1405" priority="5233" stopIfTrue="1" operator="between">
      <formula>50</formula>
      <formula>59.9999</formula>
    </cfRule>
    <cfRule type="cellIs" dxfId="1404" priority="5234" stopIfTrue="1" operator="lessThanOrEqual">
      <formula>50</formula>
    </cfRule>
  </conditionalFormatting>
  <conditionalFormatting sqref="Q71">
    <cfRule type="cellIs" dxfId="1403" priority="5226" stopIfTrue="1" operator="between">
      <formula>50</formula>
      <formula>59.9999</formula>
    </cfRule>
    <cfRule type="cellIs" dxfId="1402" priority="5227" stopIfTrue="1" operator="lessThanOrEqual">
      <formula>50</formula>
    </cfRule>
  </conditionalFormatting>
  <conditionalFormatting sqref="Q72 Q74">
    <cfRule type="cellIs" dxfId="1401" priority="5516" stopIfTrue="1" operator="between">
      <formula>50</formula>
      <formula>59.9999</formula>
    </cfRule>
    <cfRule type="cellIs" dxfId="1400" priority="5517" stopIfTrue="1" operator="lessThanOrEqual">
      <formula>50</formula>
    </cfRule>
  </conditionalFormatting>
  <conditionalFormatting sqref="Q73">
    <cfRule type="cellIs" dxfId="1399" priority="5219" stopIfTrue="1" operator="between">
      <formula>50</formula>
      <formula>59.9999</formula>
    </cfRule>
    <cfRule type="cellIs" dxfId="1398" priority="5220" stopIfTrue="1" operator="lessThanOrEqual">
      <formula>50</formula>
    </cfRule>
  </conditionalFormatting>
  <conditionalFormatting sqref="Q75">
    <cfRule type="cellIs" dxfId="1397" priority="5213" stopIfTrue="1" operator="lessThanOrEqual">
      <formula>50</formula>
    </cfRule>
    <cfRule type="cellIs" dxfId="1396" priority="5212" stopIfTrue="1" operator="between">
      <formula>50</formula>
      <formula>59.9999</formula>
    </cfRule>
  </conditionalFormatting>
  <conditionalFormatting sqref="Q76 Q80 Q78">
    <cfRule type="cellIs" dxfId="1395" priority="5532" stopIfTrue="1" operator="lessThanOrEqual">
      <formula>50</formula>
    </cfRule>
    <cfRule type="cellIs" dxfId="1394" priority="5531" stopIfTrue="1" operator="between">
      <formula>50</formula>
      <formula>59.9999</formula>
    </cfRule>
  </conditionalFormatting>
  <conditionalFormatting sqref="Q77">
    <cfRule type="cellIs" dxfId="1393" priority="5205" stopIfTrue="1" operator="between">
      <formula>50</formula>
      <formula>59.9999</formula>
    </cfRule>
    <cfRule type="cellIs" dxfId="1392" priority="5206" stopIfTrue="1" operator="lessThanOrEqual">
      <formula>50</formula>
    </cfRule>
  </conditionalFormatting>
  <conditionalFormatting sqref="Q79">
    <cfRule type="cellIs" dxfId="1391" priority="5348" stopIfTrue="1" operator="lessThanOrEqual">
      <formula>50</formula>
    </cfRule>
    <cfRule type="cellIs" dxfId="1390" priority="5347" stopIfTrue="1" operator="between">
      <formula>50</formula>
      <formula>59.9999</formula>
    </cfRule>
  </conditionalFormatting>
  <conditionalFormatting sqref="Q81">
    <cfRule type="cellIs" dxfId="1389" priority="5199" stopIfTrue="1" operator="lessThanOrEqual">
      <formula>50</formula>
    </cfRule>
    <cfRule type="cellIs" dxfId="1388" priority="5198" stopIfTrue="1" operator="between">
      <formula>50</formula>
      <formula>59.9999</formula>
    </cfRule>
  </conditionalFormatting>
  <conditionalFormatting sqref="Q82">
    <cfRule type="cellIs" dxfId="1387" priority="254" stopIfTrue="1" operator="between">
      <formula>50</formula>
      <formula>59.9999</formula>
    </cfRule>
    <cfRule type="cellIs" dxfId="1386" priority="255" stopIfTrue="1" operator="lessThanOrEqual">
      <formula>50</formula>
    </cfRule>
  </conditionalFormatting>
  <conditionalFormatting sqref="Q83">
    <cfRule type="cellIs" dxfId="1385" priority="248" stopIfTrue="1" operator="lessThanOrEqual">
      <formula>50</formula>
    </cfRule>
    <cfRule type="cellIs" dxfId="1384" priority="247" stopIfTrue="1" operator="between">
      <formula>50</formula>
      <formula>59.9999</formula>
    </cfRule>
  </conditionalFormatting>
  <conditionalFormatting sqref="Q84">
    <cfRule type="cellIs" dxfId="1383" priority="1651" stopIfTrue="1" operator="between">
      <formula>50</formula>
      <formula>59.9999</formula>
    </cfRule>
    <cfRule type="cellIs" dxfId="1382" priority="1652" stopIfTrue="1" operator="lessThanOrEqual">
      <formula>50</formula>
    </cfRule>
  </conditionalFormatting>
  <conditionalFormatting sqref="Q85">
    <cfRule type="cellIs" dxfId="1381" priority="1644" stopIfTrue="1" operator="between">
      <formula>50</formula>
      <formula>59.9999</formula>
    </cfRule>
    <cfRule type="cellIs" dxfId="1380" priority="1645" stopIfTrue="1" operator="lessThanOrEqual">
      <formula>50</formula>
    </cfRule>
  </conditionalFormatting>
  <conditionalFormatting sqref="Q86:Q87">
    <cfRule type="cellIs" dxfId="1379" priority="571" stopIfTrue="1" operator="between">
      <formula>50</formula>
      <formula>59.9999</formula>
    </cfRule>
    <cfRule type="cellIs" dxfId="1378" priority="572" stopIfTrue="1" operator="lessThanOrEqual">
      <formula>50</formula>
    </cfRule>
  </conditionalFormatting>
  <conditionalFormatting sqref="Q88">
    <cfRule type="cellIs" dxfId="1377" priority="5539" stopIfTrue="1" operator="between">
      <formula>50</formula>
      <formula>59.9999</formula>
    </cfRule>
    <cfRule type="cellIs" dxfId="1376" priority="5540" stopIfTrue="1" operator="lessThanOrEqual">
      <formula>50</formula>
    </cfRule>
  </conditionalFormatting>
  <conditionalFormatting sqref="Q89">
    <cfRule type="cellIs" dxfId="1375" priority="5191" stopIfTrue="1" operator="between">
      <formula>50</formula>
      <formula>59.9999</formula>
    </cfRule>
    <cfRule type="cellIs" dxfId="1374" priority="5192" stopIfTrue="1" operator="lessThanOrEqual">
      <formula>50</formula>
    </cfRule>
  </conditionalFormatting>
  <conditionalFormatting sqref="Q91:Q94">
    <cfRule type="cellIs" dxfId="1373" priority="5544" stopIfTrue="1" operator="lessThanOrEqual">
      <formula>50</formula>
    </cfRule>
    <cfRule type="cellIs" dxfId="1372" priority="5543" stopIfTrue="1" operator="between">
      <formula>50</formula>
      <formula>59.9999</formula>
    </cfRule>
  </conditionalFormatting>
  <conditionalFormatting sqref="Q91:Q145">
    <cfRule type="cellIs" dxfId="1371" priority="515" stopIfTrue="1" operator="between">
      <formula>60</formula>
      <formula>69.999999</formula>
    </cfRule>
    <cfRule type="cellIs" dxfId="1370" priority="514" stopIfTrue="1" operator="greaterThanOrEqual">
      <formula>70</formula>
    </cfRule>
  </conditionalFormatting>
  <conditionalFormatting sqref="Q95:Q96">
    <cfRule type="cellIs" dxfId="1369" priority="2149" stopIfTrue="1" operator="lessThanOrEqual">
      <formula>50</formula>
    </cfRule>
    <cfRule type="cellIs" dxfId="1368" priority="2148" stopIfTrue="1" operator="between">
      <formula>50</formula>
      <formula>59.9999</formula>
    </cfRule>
  </conditionalFormatting>
  <conditionalFormatting sqref="Q97 Q99">
    <cfRule type="cellIs" dxfId="1367" priority="5551" stopIfTrue="1" operator="between">
      <formula>50</formula>
      <formula>59.9999</formula>
    </cfRule>
    <cfRule type="cellIs" dxfId="1366" priority="5552" stopIfTrue="1" operator="lessThanOrEqual">
      <formula>50</formula>
    </cfRule>
  </conditionalFormatting>
  <conditionalFormatting sqref="Q98">
    <cfRule type="cellIs" dxfId="1365" priority="5185" stopIfTrue="1" operator="lessThanOrEqual">
      <formula>50</formula>
    </cfRule>
    <cfRule type="cellIs" dxfId="1364" priority="5184" stopIfTrue="1" operator="between">
      <formula>50</formula>
      <formula>59.9999</formula>
    </cfRule>
  </conditionalFormatting>
  <conditionalFormatting sqref="Q100">
    <cfRule type="cellIs" dxfId="1363" priority="5177" stopIfTrue="1" operator="between">
      <formula>50</formula>
      <formula>59.9999</formula>
    </cfRule>
    <cfRule type="cellIs" dxfId="1362" priority="5178" stopIfTrue="1" operator="lessThanOrEqual">
      <formula>50</formula>
    </cfRule>
  </conditionalFormatting>
  <conditionalFormatting sqref="Q101 Q110">
    <cfRule type="cellIs" dxfId="1361" priority="5512" stopIfTrue="1" operator="between">
      <formula>50</formula>
      <formula>59.9999</formula>
    </cfRule>
    <cfRule type="cellIs" dxfId="1360" priority="5513" stopIfTrue="1" operator="lessThanOrEqual">
      <formula>50</formula>
    </cfRule>
  </conditionalFormatting>
  <conditionalFormatting sqref="Q102">
    <cfRule type="cellIs" dxfId="1359" priority="5170" stopIfTrue="1" operator="between">
      <formula>50</formula>
      <formula>59.9999</formula>
    </cfRule>
    <cfRule type="cellIs" dxfId="1358" priority="5171" stopIfTrue="1" operator="lessThanOrEqual">
      <formula>50</formula>
    </cfRule>
  </conditionalFormatting>
  <conditionalFormatting sqref="Q103">
    <cfRule type="cellIs" dxfId="1357" priority="1631" stopIfTrue="1" operator="between">
      <formula>50</formula>
      <formula>59.9999</formula>
    </cfRule>
    <cfRule type="cellIs" dxfId="1356" priority="1632" stopIfTrue="1" operator="lessThanOrEqual">
      <formula>50</formula>
    </cfRule>
  </conditionalFormatting>
  <conditionalFormatting sqref="Q104">
    <cfRule type="cellIs" dxfId="1355" priority="1625" stopIfTrue="1" operator="lessThanOrEqual">
      <formula>50</formula>
    </cfRule>
    <cfRule type="cellIs" dxfId="1354" priority="1624" stopIfTrue="1" operator="between">
      <formula>50</formula>
      <formula>59.9999</formula>
    </cfRule>
  </conditionalFormatting>
  <conditionalFormatting sqref="Q105:Q106">
    <cfRule type="cellIs" dxfId="1353" priority="1598" stopIfTrue="1" operator="between">
      <formula>50</formula>
      <formula>59.9999</formula>
    </cfRule>
    <cfRule type="cellIs" dxfId="1352" priority="1599" stopIfTrue="1" operator="lessThanOrEqual">
      <formula>50</formula>
    </cfRule>
  </conditionalFormatting>
  <conditionalFormatting sqref="Q107:Q108">
    <cfRule type="cellIs" dxfId="1351" priority="1617" stopIfTrue="1" operator="lessThanOrEqual">
      <formula>50</formula>
    </cfRule>
    <cfRule type="cellIs" dxfId="1350" priority="1616" stopIfTrue="1" operator="between">
      <formula>50</formula>
      <formula>59.9999</formula>
    </cfRule>
  </conditionalFormatting>
  <conditionalFormatting sqref="Q109">
    <cfRule type="cellIs" dxfId="1349" priority="1609" stopIfTrue="1" operator="between">
      <formula>50</formula>
      <formula>59.9999</formula>
    </cfRule>
    <cfRule type="cellIs" dxfId="1348" priority="1610" stopIfTrue="1" operator="lessThanOrEqual">
      <formula>50</formula>
    </cfRule>
  </conditionalFormatting>
  <conditionalFormatting sqref="Q111">
    <cfRule type="cellIs" dxfId="1347" priority="5163" stopIfTrue="1" operator="between">
      <formula>50</formula>
      <formula>59.9999</formula>
    </cfRule>
    <cfRule type="cellIs" dxfId="1346" priority="5164" stopIfTrue="1" operator="lessThanOrEqual">
      <formula>50</formula>
    </cfRule>
  </conditionalFormatting>
  <conditionalFormatting sqref="Q112:Q113">
    <cfRule type="cellIs" dxfId="1345" priority="1590" stopIfTrue="1" operator="between">
      <formula>50</formula>
      <formula>59.9999</formula>
    </cfRule>
    <cfRule type="cellIs" dxfId="1344" priority="1591" stopIfTrue="1" operator="lessThanOrEqual">
      <formula>50</formula>
    </cfRule>
  </conditionalFormatting>
  <conditionalFormatting sqref="Q114">
    <cfRule type="cellIs" dxfId="1343" priority="1583" stopIfTrue="1" operator="between">
      <formula>50</formula>
      <formula>59.9999</formula>
    </cfRule>
    <cfRule type="cellIs" dxfId="1342" priority="1584" stopIfTrue="1" operator="lessThanOrEqual">
      <formula>50</formula>
    </cfRule>
  </conditionalFormatting>
  <conditionalFormatting sqref="Q117:Q118">
    <cfRule type="cellIs" dxfId="1341" priority="5501" stopIfTrue="1" operator="lessThanOrEqual">
      <formula>50</formula>
    </cfRule>
    <cfRule type="cellIs" dxfId="1340" priority="5500" stopIfTrue="1" operator="between">
      <formula>50</formula>
      <formula>59.9999</formula>
    </cfRule>
  </conditionalFormatting>
  <conditionalFormatting sqref="Q119:Q122">
    <cfRule type="cellIs" dxfId="1339" priority="2373" stopIfTrue="1" operator="lessThanOrEqual">
      <formula>50</formula>
    </cfRule>
    <cfRule type="cellIs" dxfId="1338" priority="2372" stopIfTrue="1" operator="between">
      <formula>50</formula>
      <formula>59.9999</formula>
    </cfRule>
  </conditionalFormatting>
  <conditionalFormatting sqref="Q123 Q115:Q116">
    <cfRule type="cellIs" dxfId="1337" priority="5520" stopIfTrue="1" operator="between">
      <formula>50</formula>
      <formula>59.9999</formula>
    </cfRule>
    <cfRule type="cellIs" dxfId="1336" priority="5521" stopIfTrue="1" operator="lessThanOrEqual">
      <formula>50</formula>
    </cfRule>
  </conditionalFormatting>
  <conditionalFormatting sqref="Q124">
    <cfRule type="cellIs" dxfId="1335" priority="3434" stopIfTrue="1" operator="between">
      <formula>50</formula>
      <formula>59.9999</formula>
    </cfRule>
    <cfRule type="cellIs" dxfId="1334" priority="3435" stopIfTrue="1" operator="lessThanOrEqual">
      <formula>50</formula>
    </cfRule>
  </conditionalFormatting>
  <conditionalFormatting sqref="Q125">
    <cfRule type="cellIs" dxfId="1333" priority="1561" stopIfTrue="1" operator="lessThanOrEqual">
      <formula>50</formula>
    </cfRule>
    <cfRule type="cellIs" dxfId="1332" priority="1560" stopIfTrue="1" operator="between">
      <formula>50</formula>
      <formula>59.9999</formula>
    </cfRule>
  </conditionalFormatting>
  <conditionalFormatting sqref="Q126">
    <cfRule type="cellIs" dxfId="1331" priority="1554" stopIfTrue="1" operator="lessThanOrEqual">
      <formula>50</formula>
    </cfRule>
    <cfRule type="cellIs" dxfId="1330" priority="1553" stopIfTrue="1" operator="between">
      <formula>50</formula>
      <formula>59.9999</formula>
    </cfRule>
  </conditionalFormatting>
  <conditionalFormatting sqref="Q127 Q129">
    <cfRule type="cellIs" dxfId="1329" priority="5527" stopIfTrue="1" operator="between">
      <formula>50</formula>
      <formula>59.9999</formula>
    </cfRule>
    <cfRule type="cellIs" dxfId="1328" priority="5528" stopIfTrue="1" operator="lessThanOrEqual">
      <formula>50</formula>
    </cfRule>
  </conditionalFormatting>
  <conditionalFormatting sqref="Q128">
    <cfRule type="cellIs" dxfId="1327" priority="3427" stopIfTrue="1" operator="between">
      <formula>50</formula>
      <formula>59.9999</formula>
    </cfRule>
    <cfRule type="cellIs" dxfId="1326" priority="3428" stopIfTrue="1" operator="lessThanOrEqual">
      <formula>50</formula>
    </cfRule>
  </conditionalFormatting>
  <conditionalFormatting sqref="Q130">
    <cfRule type="cellIs" dxfId="1325" priority="5156" stopIfTrue="1" operator="between">
      <formula>50</formula>
      <formula>59.9999</formula>
    </cfRule>
    <cfRule type="cellIs" dxfId="1324" priority="5157" stopIfTrue="1" operator="lessThanOrEqual">
      <formula>50</formula>
    </cfRule>
  </conditionalFormatting>
  <conditionalFormatting sqref="Q131:Q132">
    <cfRule type="cellIs" dxfId="1323" priority="1542" stopIfTrue="1" operator="between">
      <formula>50</formula>
      <formula>59.9999</formula>
    </cfRule>
    <cfRule type="cellIs" dxfId="1322" priority="1543" stopIfTrue="1" operator="lessThanOrEqual">
      <formula>50</formula>
    </cfRule>
  </conditionalFormatting>
  <conditionalFormatting sqref="Q133:Q134">
    <cfRule type="cellIs" dxfId="1321" priority="1531" stopIfTrue="1" operator="between">
      <formula>50</formula>
      <formula>59.9999</formula>
    </cfRule>
    <cfRule type="cellIs" dxfId="1320" priority="1532" stopIfTrue="1" operator="lessThanOrEqual">
      <formula>50</formula>
    </cfRule>
  </conditionalFormatting>
  <conditionalFormatting sqref="Q135:Q136">
    <cfRule type="cellIs" dxfId="1319" priority="1520" stopIfTrue="1" operator="between">
      <formula>50</formula>
      <formula>59.9999</formula>
    </cfRule>
    <cfRule type="cellIs" dxfId="1318" priority="1521" stopIfTrue="1" operator="lessThanOrEqual">
      <formula>50</formula>
    </cfRule>
  </conditionalFormatting>
  <conditionalFormatting sqref="Q137:Q138">
    <cfRule type="cellIs" dxfId="1317" priority="541" stopIfTrue="1" operator="lessThanOrEqual">
      <formula>50</formula>
    </cfRule>
    <cfRule type="cellIs" dxfId="1316" priority="540" stopIfTrue="1" operator="between">
      <formula>50</formula>
      <formula>59.9999</formula>
    </cfRule>
  </conditionalFormatting>
  <conditionalFormatting sqref="Q139:Q140">
    <cfRule type="cellIs" dxfId="1315" priority="532" stopIfTrue="1" operator="between">
      <formula>50</formula>
      <formula>59.9999</formula>
    </cfRule>
    <cfRule type="cellIs" dxfId="1314" priority="533" stopIfTrue="1" operator="lessThanOrEqual">
      <formula>50</formula>
    </cfRule>
  </conditionalFormatting>
  <conditionalFormatting sqref="Q141:Q142">
    <cfRule type="cellIs" dxfId="1313" priority="525" stopIfTrue="1" operator="lessThanOrEqual">
      <formula>50</formula>
    </cfRule>
    <cfRule type="cellIs" dxfId="1312" priority="524" stopIfTrue="1" operator="between">
      <formula>50</formula>
      <formula>59.9999</formula>
    </cfRule>
  </conditionalFormatting>
  <conditionalFormatting sqref="Q143:Q144">
    <cfRule type="cellIs" dxfId="1311" priority="517" stopIfTrue="1" operator="lessThanOrEqual">
      <formula>50</formula>
    </cfRule>
    <cfRule type="cellIs" dxfId="1310" priority="516" stopIfTrue="1" operator="between">
      <formula>50</formula>
      <formula>59.9999</formula>
    </cfRule>
  </conditionalFormatting>
  <conditionalFormatting sqref="Q145">
    <cfRule type="cellIs" dxfId="1309" priority="5536" stopIfTrue="1" operator="lessThanOrEqual">
      <formula>50</formula>
    </cfRule>
    <cfRule type="cellIs" dxfId="1308" priority="5535" stopIfTrue="1" operator="between">
      <formula>50</formula>
      <formula>59.9999</formula>
    </cfRule>
  </conditionalFormatting>
  <conditionalFormatting sqref="Q148">
    <cfRule type="cellIs" dxfId="1307" priority="2755" stopIfTrue="1" operator="between">
      <formula>50</formula>
      <formula>59.9999</formula>
    </cfRule>
    <cfRule type="cellIs" dxfId="1306" priority="2756" stopIfTrue="1" operator="lessThanOrEqual">
      <formula>50</formula>
    </cfRule>
  </conditionalFormatting>
  <conditionalFormatting sqref="Q148:Q164">
    <cfRule type="cellIs" dxfId="1305" priority="38" stopIfTrue="1" operator="between">
      <formula>60</formula>
      <formula>69.999999</formula>
    </cfRule>
  </conditionalFormatting>
  <conditionalFormatting sqref="Q148:Q199">
    <cfRule type="cellIs" dxfId="1304" priority="37" stopIfTrue="1" operator="greaterThanOrEqual">
      <formula>70</formula>
    </cfRule>
  </conditionalFormatting>
  <conditionalFormatting sqref="Q149:Q151 Q156">
    <cfRule type="cellIs" dxfId="1303" priority="2749" stopIfTrue="1" operator="lessThanOrEqual">
      <formula>50</formula>
    </cfRule>
    <cfRule type="cellIs" dxfId="1302" priority="2748" stopIfTrue="1" operator="between">
      <formula>50</formula>
      <formula>59.9999</formula>
    </cfRule>
  </conditionalFormatting>
  <conditionalFormatting sqref="Q152">
    <cfRule type="cellIs" dxfId="1301" priority="2877" stopIfTrue="1" operator="between">
      <formula>50</formula>
      <formula>59.9999</formula>
    </cfRule>
    <cfRule type="cellIs" dxfId="1300" priority="2878" stopIfTrue="1" operator="lessThanOrEqual">
      <formula>50</formula>
    </cfRule>
  </conditionalFormatting>
  <conditionalFormatting sqref="Q153 Q155">
    <cfRule type="cellIs" dxfId="1299" priority="2885" stopIfTrue="1" operator="lessThanOrEqual">
      <formula>50</formula>
    </cfRule>
    <cfRule type="cellIs" dxfId="1298" priority="2884" stopIfTrue="1" operator="between">
      <formula>50</formula>
      <formula>59.9999</formula>
    </cfRule>
  </conditionalFormatting>
  <conditionalFormatting sqref="Q154">
    <cfRule type="cellIs" dxfId="1297" priority="2741" stopIfTrue="1" operator="between">
      <formula>50</formula>
      <formula>59.9999</formula>
    </cfRule>
    <cfRule type="cellIs" dxfId="1296" priority="2742" stopIfTrue="1" operator="lessThanOrEqual">
      <formula>50</formula>
    </cfRule>
  </conditionalFormatting>
  <conditionalFormatting sqref="Q157:Q158">
    <cfRule type="cellIs" dxfId="1295" priority="1513" stopIfTrue="1" operator="lessThanOrEqual">
      <formula>50</formula>
    </cfRule>
    <cfRule type="cellIs" dxfId="1294" priority="1512" stopIfTrue="1" operator="between">
      <formula>50</formula>
      <formula>59.9999</formula>
    </cfRule>
  </conditionalFormatting>
  <conditionalFormatting sqref="Q159:Q160 Q162">
    <cfRule type="cellIs" dxfId="1293" priority="2863" stopIfTrue="1" operator="lessThanOrEqual">
      <formula>50</formula>
    </cfRule>
    <cfRule type="cellIs" dxfId="1292" priority="2862" stopIfTrue="1" operator="between">
      <formula>50</formula>
      <formula>59.9999</formula>
    </cfRule>
  </conditionalFormatting>
  <conditionalFormatting sqref="Q161">
    <cfRule type="cellIs" dxfId="1291" priority="39" stopIfTrue="1" operator="between">
      <formula>50</formula>
      <formula>59.9999</formula>
    </cfRule>
    <cfRule type="cellIs" dxfId="1290" priority="40" stopIfTrue="1" operator="lessThanOrEqual">
      <formula>50</formula>
    </cfRule>
  </conditionalFormatting>
  <conditionalFormatting sqref="Q163">
    <cfRule type="cellIs" dxfId="1289" priority="2645" stopIfTrue="1" operator="between">
      <formula>50</formula>
      <formula>59.9999</formula>
    </cfRule>
    <cfRule type="cellIs" dxfId="1288" priority="2646" stopIfTrue="1" operator="lessThanOrEqual">
      <formula>50</formula>
    </cfRule>
  </conditionalFormatting>
  <conditionalFormatting sqref="Q164">
    <cfRule type="cellIs" dxfId="1287" priority="2866" stopIfTrue="1" operator="between">
      <formula>50</formula>
      <formula>59.9999</formula>
    </cfRule>
    <cfRule type="cellIs" dxfId="1286" priority="2867" stopIfTrue="1" operator="lessThanOrEqual">
      <formula>50</formula>
    </cfRule>
  </conditionalFormatting>
  <conditionalFormatting sqref="Q166">
    <cfRule type="cellIs" dxfId="1285" priority="239" stopIfTrue="1" operator="lessThanOrEqual">
      <formula>50</formula>
    </cfRule>
    <cfRule type="cellIs" dxfId="1284" priority="238" stopIfTrue="1" operator="between">
      <formula>50</formula>
      <formula>59.9999</formula>
    </cfRule>
  </conditionalFormatting>
  <conditionalFormatting sqref="Q166:Q169">
    <cfRule type="cellIs" dxfId="1283" priority="230" stopIfTrue="1" operator="between">
      <formula>60</formula>
      <formula>69.999999</formula>
    </cfRule>
  </conditionalFormatting>
  <conditionalFormatting sqref="Q167">
    <cfRule type="cellIs" dxfId="1282" priority="232" stopIfTrue="1" operator="lessThanOrEqual">
      <formula>50</formula>
    </cfRule>
    <cfRule type="cellIs" dxfId="1281" priority="231" stopIfTrue="1" operator="between">
      <formula>50</formula>
      <formula>59.9999</formula>
    </cfRule>
  </conditionalFormatting>
  <conditionalFormatting sqref="Q168:Q169">
    <cfRule type="cellIs" dxfId="1280" priority="1461" stopIfTrue="1" operator="lessThanOrEqual">
      <formula>50</formula>
    </cfRule>
    <cfRule type="cellIs" dxfId="1279" priority="1460" stopIfTrue="1" operator="between">
      <formula>50</formula>
      <formula>59.9999</formula>
    </cfRule>
  </conditionalFormatting>
  <conditionalFormatting sqref="Q173">
    <cfRule type="cellIs" dxfId="1278" priority="2456" stopIfTrue="1" operator="between">
      <formula>50</formula>
      <formula>59.9999</formula>
    </cfRule>
    <cfRule type="cellIs" dxfId="1277" priority="2455" stopIfTrue="1" operator="between">
      <formula>60</formula>
      <formula>69.999999</formula>
    </cfRule>
    <cfRule type="cellIs" dxfId="1276" priority="2457" stopIfTrue="1" operator="lessThanOrEqual">
      <formula>50</formula>
    </cfRule>
  </conditionalFormatting>
  <conditionalFormatting sqref="Q176">
    <cfRule type="cellIs" dxfId="1275" priority="2728" stopIfTrue="1" operator="between">
      <formula>50</formula>
      <formula>59.9999</formula>
    </cfRule>
    <cfRule type="cellIs" dxfId="1274" priority="2729" stopIfTrue="1" operator="lessThanOrEqual">
      <formula>50</formula>
    </cfRule>
  </conditionalFormatting>
  <conditionalFormatting sqref="Q176:Q199">
    <cfRule type="cellIs" dxfId="1273" priority="2441" stopIfTrue="1" operator="between">
      <formula>60</formula>
      <formula>69.999999</formula>
    </cfRule>
  </conditionalFormatting>
  <conditionalFormatting sqref="Q177">
    <cfRule type="cellIs" dxfId="1272" priority="2639" stopIfTrue="1" operator="lessThanOrEqual">
      <formula>50</formula>
    </cfRule>
    <cfRule type="cellIs" dxfId="1271" priority="2638" stopIfTrue="1" operator="between">
      <formula>50</formula>
      <formula>59.9999</formula>
    </cfRule>
  </conditionalFormatting>
  <conditionalFormatting sqref="Q178">
    <cfRule type="cellIs" dxfId="1270" priority="2722" stopIfTrue="1" operator="lessThanOrEqual">
      <formula>50</formula>
    </cfRule>
    <cfRule type="cellIs" dxfId="1269" priority="2721" stopIfTrue="1" operator="between">
      <formula>50</formula>
      <formula>59.9999</formula>
    </cfRule>
  </conditionalFormatting>
  <conditionalFormatting sqref="Q179">
    <cfRule type="cellIs" dxfId="1268" priority="2632" stopIfTrue="1" operator="lessThanOrEqual">
      <formula>50</formula>
    </cfRule>
    <cfRule type="cellIs" dxfId="1267" priority="2631" stopIfTrue="1" operator="between">
      <formula>50</formula>
      <formula>59.9999</formula>
    </cfRule>
  </conditionalFormatting>
  <conditionalFormatting sqref="Q180">
    <cfRule type="cellIs" dxfId="1266" priority="2715" stopIfTrue="1" operator="lessThanOrEqual">
      <formula>50</formula>
    </cfRule>
    <cfRule type="cellIs" dxfId="1265" priority="2714" stopIfTrue="1" operator="between">
      <formula>50</formula>
      <formula>59.9999</formula>
    </cfRule>
  </conditionalFormatting>
  <conditionalFormatting sqref="Q181">
    <cfRule type="cellIs" dxfId="1264" priority="2624" stopIfTrue="1" operator="between">
      <formula>50</formula>
      <formula>59.9999</formula>
    </cfRule>
    <cfRule type="cellIs" dxfId="1263" priority="2625" stopIfTrue="1" operator="lessThanOrEqual">
      <formula>50</formula>
    </cfRule>
  </conditionalFormatting>
  <conditionalFormatting sqref="Q182 Q184">
    <cfRule type="cellIs" dxfId="1262" priority="2870" stopIfTrue="1" operator="between">
      <formula>50</formula>
      <formula>59.9999</formula>
    </cfRule>
    <cfRule type="cellIs" dxfId="1261" priority="2871" stopIfTrue="1" operator="lessThanOrEqual">
      <formula>50</formula>
    </cfRule>
  </conditionalFormatting>
  <conditionalFormatting sqref="Q183">
    <cfRule type="cellIs" dxfId="1260" priority="2618" stopIfTrue="1" operator="lessThanOrEqual">
      <formula>50</formula>
    </cfRule>
    <cfRule type="cellIs" dxfId="1259" priority="2617" stopIfTrue="1" operator="between">
      <formula>50</formula>
      <formula>59.9999</formula>
    </cfRule>
  </conditionalFormatting>
  <conditionalFormatting sqref="Q185">
    <cfRule type="cellIs" dxfId="1258" priority="2610" stopIfTrue="1" operator="between">
      <formula>50</formula>
      <formula>59.9999</formula>
    </cfRule>
    <cfRule type="cellIs" dxfId="1257" priority="2611" stopIfTrue="1" operator="lessThanOrEqual">
      <formula>50</formula>
    </cfRule>
  </conditionalFormatting>
  <conditionalFormatting sqref="Q186">
    <cfRule type="cellIs" dxfId="1256" priority="2603" stopIfTrue="1" operator="between">
      <formula>50</formula>
      <formula>59.9999</formula>
    </cfRule>
    <cfRule type="cellIs" dxfId="1255" priority="2604" stopIfTrue="1" operator="lessThanOrEqual">
      <formula>50</formula>
    </cfRule>
  </conditionalFormatting>
  <conditionalFormatting sqref="Q187:Q190 Q192:Q193 Q195:Q196">
    <cfRule type="cellIs" dxfId="1254" priority="2597" stopIfTrue="1" operator="lessThanOrEqual">
      <formula>50</formula>
    </cfRule>
    <cfRule type="cellIs" dxfId="1253" priority="2596" stopIfTrue="1" operator="between">
      <formula>50</formula>
      <formula>59.9999</formula>
    </cfRule>
  </conditionalFormatting>
  <conditionalFormatting sqref="Q191">
    <cfRule type="cellIs" dxfId="1252" priority="2449" stopIfTrue="1" operator="between">
      <formula>50</formula>
      <formula>59.9999</formula>
    </cfRule>
    <cfRule type="cellIs" dxfId="1251" priority="2450" stopIfTrue="1" operator="lessThanOrEqual">
      <formula>50</formula>
    </cfRule>
  </conditionalFormatting>
  <conditionalFormatting sqref="Q194">
    <cfRule type="cellIs" dxfId="1250" priority="2443" stopIfTrue="1" operator="lessThanOrEqual">
      <formula>50</formula>
    </cfRule>
    <cfRule type="cellIs" dxfId="1249" priority="2442" stopIfTrue="1" operator="between">
      <formula>50</formula>
      <formula>59.9999</formula>
    </cfRule>
  </conditionalFormatting>
  <conditionalFormatting sqref="Q197">
    <cfRule type="cellIs" dxfId="1248" priority="2590" stopIfTrue="1" operator="lessThanOrEqual">
      <formula>50</formula>
    </cfRule>
    <cfRule type="cellIs" dxfId="1247" priority="2589" stopIfTrue="1" operator="between">
      <formula>50</formula>
      <formula>59.9999</formula>
    </cfRule>
  </conditionalFormatting>
  <conditionalFormatting sqref="Q198">
    <cfRule type="cellIs" dxfId="1246" priority="2582" stopIfTrue="1" operator="between">
      <formula>50</formula>
      <formula>59.9999</formula>
    </cfRule>
    <cfRule type="cellIs" dxfId="1245" priority="2583" stopIfTrue="1" operator="lessThanOrEqual">
      <formula>50</formula>
    </cfRule>
  </conditionalFormatting>
  <conditionalFormatting sqref="Q199">
    <cfRule type="cellIs" dxfId="1244" priority="2576" stopIfTrue="1" operator="lessThanOrEqual">
      <formula>50</formula>
    </cfRule>
    <cfRule type="cellIs" dxfId="1243" priority="2575" stopIfTrue="1" operator="between">
      <formula>50</formula>
      <formula>59.9999</formula>
    </cfRule>
  </conditionalFormatting>
  <conditionalFormatting sqref="Q201">
    <cfRule type="cellIs" dxfId="1242" priority="2707" stopIfTrue="1" operator="between">
      <formula>50</formula>
      <formula>59.9999</formula>
    </cfRule>
    <cfRule type="cellIs" dxfId="1241" priority="2708" stopIfTrue="1" operator="lessThanOrEqual">
      <formula>50</formula>
    </cfRule>
  </conditionalFormatting>
  <conditionalFormatting sqref="Q201:Q229">
    <cfRule type="cellIs" dxfId="1240" priority="149" stopIfTrue="1" operator="greaterThanOrEqual">
      <formula>70</formula>
    </cfRule>
    <cfRule type="cellIs" dxfId="1239" priority="150" stopIfTrue="1" operator="between">
      <formula>60</formula>
      <formula>69.999999</formula>
    </cfRule>
  </conditionalFormatting>
  <conditionalFormatting sqref="Q202">
    <cfRule type="cellIs" dxfId="1238" priority="2811" stopIfTrue="1" operator="between">
      <formula>50</formula>
      <formula>59.9999</formula>
    </cfRule>
    <cfRule type="cellIs" dxfId="1237" priority="2812" stopIfTrue="1" operator="lessThanOrEqual">
      <formula>50</formula>
    </cfRule>
  </conditionalFormatting>
  <conditionalFormatting sqref="Q203">
    <cfRule type="cellIs" dxfId="1236" priority="2851" stopIfTrue="1" operator="lessThanOrEqual">
      <formula>50</formula>
    </cfRule>
    <cfRule type="cellIs" dxfId="1235" priority="2850" stopIfTrue="1" operator="between">
      <formula>50</formula>
      <formula>59.9999</formula>
    </cfRule>
  </conditionalFormatting>
  <conditionalFormatting sqref="Q204 Q206">
    <cfRule type="cellIs" dxfId="1234" priority="2858" stopIfTrue="1" operator="between">
      <formula>50</formula>
      <formula>59.9999</formula>
    </cfRule>
    <cfRule type="cellIs" dxfId="1233" priority="2859" stopIfTrue="1" operator="lessThanOrEqual">
      <formula>50</formula>
    </cfRule>
  </conditionalFormatting>
  <conditionalFormatting sqref="Q205">
    <cfRule type="cellIs" dxfId="1232" priority="2569" stopIfTrue="1" operator="lessThanOrEqual">
      <formula>50</formula>
    </cfRule>
    <cfRule type="cellIs" dxfId="1231" priority="2568" stopIfTrue="1" operator="between">
      <formula>50</formula>
      <formula>59.9999</formula>
    </cfRule>
  </conditionalFormatting>
  <conditionalFormatting sqref="Q207">
    <cfRule type="cellIs" dxfId="1230" priority="2562" stopIfTrue="1" operator="lessThanOrEqual">
      <formula>50</formula>
    </cfRule>
    <cfRule type="cellIs" dxfId="1229" priority="2561" stopIfTrue="1" operator="between">
      <formula>50</formula>
      <formula>59.9999</formula>
    </cfRule>
  </conditionalFormatting>
  <conditionalFormatting sqref="Q208 Q210">
    <cfRule type="cellIs" dxfId="1228" priority="2816" stopIfTrue="1" operator="lessThanOrEqual">
      <formula>50</formula>
    </cfRule>
    <cfRule type="cellIs" dxfId="1227" priority="2815" stopIfTrue="1" operator="between">
      <formula>50</formula>
      <formula>59.9999</formula>
    </cfRule>
  </conditionalFormatting>
  <conditionalFormatting sqref="Q209">
    <cfRule type="cellIs" dxfId="1226" priority="2554" stopIfTrue="1" operator="between">
      <formula>50</formula>
      <formula>59.9999</formula>
    </cfRule>
    <cfRule type="cellIs" dxfId="1225" priority="2555" stopIfTrue="1" operator="lessThanOrEqual">
      <formula>50</formula>
    </cfRule>
  </conditionalFormatting>
  <conditionalFormatting sqref="Q211">
    <cfRule type="cellIs" dxfId="1224" priority="2547" stopIfTrue="1" operator="between">
      <formula>50</formula>
      <formula>59.9999</formula>
    </cfRule>
    <cfRule type="cellIs" dxfId="1223" priority="2548" stopIfTrue="1" operator="lessThanOrEqual">
      <formula>50</formula>
    </cfRule>
  </conditionalFormatting>
  <conditionalFormatting sqref="Q212 Q214">
    <cfRule type="cellIs" dxfId="1222" priority="2823" stopIfTrue="1" operator="between">
      <formula>50</formula>
      <formula>59.9999</formula>
    </cfRule>
    <cfRule type="cellIs" dxfId="1221" priority="2824" stopIfTrue="1" operator="lessThanOrEqual">
      <formula>50</formula>
    </cfRule>
  </conditionalFormatting>
  <conditionalFormatting sqref="Q213">
    <cfRule type="cellIs" dxfId="1220" priority="2541" stopIfTrue="1" operator="lessThanOrEqual">
      <formula>50</formula>
    </cfRule>
    <cfRule type="cellIs" dxfId="1219" priority="2540" stopIfTrue="1" operator="between">
      <formula>50</formula>
      <formula>59.9999</formula>
    </cfRule>
  </conditionalFormatting>
  <conditionalFormatting sqref="Q215">
    <cfRule type="cellIs" dxfId="1218" priority="2533" stopIfTrue="1" operator="between">
      <formula>50</formula>
      <formula>59.9999</formula>
    </cfRule>
    <cfRule type="cellIs" dxfId="1217" priority="2534" stopIfTrue="1" operator="lessThanOrEqual">
      <formula>50</formula>
    </cfRule>
  </conditionalFormatting>
  <conditionalFormatting sqref="Q216 Q220 Q218">
    <cfRule type="cellIs" dxfId="1216" priority="2839" stopIfTrue="1" operator="lessThanOrEqual">
      <formula>50</formula>
    </cfRule>
    <cfRule type="cellIs" dxfId="1215" priority="2838" stopIfTrue="1" operator="between">
      <formula>50</formula>
      <formula>59.9999</formula>
    </cfRule>
  </conditionalFormatting>
  <conditionalFormatting sqref="Q217">
    <cfRule type="cellIs" dxfId="1214" priority="2526" stopIfTrue="1" operator="between">
      <formula>50</formula>
      <formula>59.9999</formula>
    </cfRule>
    <cfRule type="cellIs" dxfId="1213" priority="2527" stopIfTrue="1" operator="lessThanOrEqual">
      <formula>50</formula>
    </cfRule>
  </conditionalFormatting>
  <conditionalFormatting sqref="Q219">
    <cfRule type="cellIs" dxfId="1212" priority="2661" stopIfTrue="1" operator="between">
      <formula>50</formula>
      <formula>59.9999</formula>
    </cfRule>
    <cfRule type="cellIs" dxfId="1211" priority="2662" stopIfTrue="1" operator="lessThanOrEqual">
      <formula>50</formula>
    </cfRule>
  </conditionalFormatting>
  <conditionalFormatting sqref="Q221">
    <cfRule type="cellIs" dxfId="1210" priority="2519" stopIfTrue="1" operator="between">
      <formula>50</formula>
      <formula>59.9999</formula>
    </cfRule>
    <cfRule type="cellIs" dxfId="1209" priority="2520" stopIfTrue="1" operator="lessThanOrEqual">
      <formula>50</formula>
    </cfRule>
  </conditionalFormatting>
  <conditionalFormatting sqref="Q222">
    <cfRule type="cellIs" dxfId="1208" priority="158" stopIfTrue="1" operator="between">
      <formula>50</formula>
      <formula>59.9999</formula>
    </cfRule>
    <cfRule type="cellIs" dxfId="1207" priority="159" stopIfTrue="1" operator="lessThanOrEqual">
      <formula>50</formula>
    </cfRule>
  </conditionalFormatting>
  <conditionalFormatting sqref="Q223">
    <cfRule type="cellIs" dxfId="1206" priority="151" stopIfTrue="1" operator="between">
      <formula>50</formula>
      <formula>59.9999</formula>
    </cfRule>
    <cfRule type="cellIs" dxfId="1205" priority="152" stopIfTrue="1" operator="lessThanOrEqual">
      <formula>50</formula>
    </cfRule>
  </conditionalFormatting>
  <conditionalFormatting sqref="Q224">
    <cfRule type="cellIs" dxfId="1204" priority="1396" stopIfTrue="1" operator="between">
      <formula>50</formula>
      <formula>59.9999</formula>
    </cfRule>
    <cfRule type="cellIs" dxfId="1203" priority="1397" stopIfTrue="1" operator="lessThanOrEqual">
      <formula>50</formula>
    </cfRule>
  </conditionalFormatting>
  <conditionalFormatting sqref="Q225">
    <cfRule type="cellIs" dxfId="1202" priority="1389" stopIfTrue="1" operator="between">
      <formula>50</formula>
      <formula>59.9999</formula>
    </cfRule>
    <cfRule type="cellIs" dxfId="1201" priority="1390" stopIfTrue="1" operator="lessThanOrEqual">
      <formula>50</formula>
    </cfRule>
  </conditionalFormatting>
  <conditionalFormatting sqref="Q226:Q227">
    <cfRule type="cellIs" dxfId="1200" priority="568" stopIfTrue="1" operator="lessThanOrEqual">
      <formula>50</formula>
    </cfRule>
    <cfRule type="cellIs" dxfId="1199" priority="567" stopIfTrue="1" operator="between">
      <formula>50</formula>
      <formula>59.9999</formula>
    </cfRule>
  </conditionalFormatting>
  <conditionalFormatting sqref="Q228">
    <cfRule type="cellIs" dxfId="1198" priority="2846" stopIfTrue="1" operator="between">
      <formula>50</formula>
      <formula>59.9999</formula>
    </cfRule>
    <cfRule type="cellIs" dxfId="1197" priority="2847" stopIfTrue="1" operator="lessThanOrEqual">
      <formula>50</formula>
    </cfRule>
  </conditionalFormatting>
  <conditionalFormatting sqref="Q229">
    <cfRule type="cellIs" dxfId="1196" priority="2512" stopIfTrue="1" operator="between">
      <formula>50</formula>
      <formula>59.9999</formula>
    </cfRule>
    <cfRule type="cellIs" dxfId="1195" priority="2513" stopIfTrue="1" operator="lessThanOrEqual">
      <formula>50</formula>
    </cfRule>
  </conditionalFormatting>
  <conditionalFormatting sqref="Q231:Q287">
    <cfRule type="cellIs" dxfId="1194" priority="482" stopIfTrue="1" operator="greaterThanOrEqual">
      <formula>70</formula>
    </cfRule>
  </conditionalFormatting>
  <conditionalFormatting sqref="Q237 Q239">
    <cfRule type="cellIs" dxfId="1193" priority="2855" stopIfTrue="1" operator="lessThanOrEqual">
      <formula>50</formula>
    </cfRule>
    <cfRule type="cellIs" dxfId="1192" priority="2854" stopIfTrue="1" operator="between">
      <formula>50</formula>
      <formula>59.9999</formula>
    </cfRule>
  </conditionalFormatting>
  <conditionalFormatting sqref="Q237:Q287">
    <cfRule type="cellIs" dxfId="1191" priority="483" stopIfTrue="1" operator="between">
      <formula>60</formula>
      <formula>69.999999</formula>
    </cfRule>
  </conditionalFormatting>
  <conditionalFormatting sqref="Q238">
    <cfRule type="cellIs" dxfId="1190" priority="2506" stopIfTrue="1" operator="lessThanOrEqual">
      <formula>50</formula>
    </cfRule>
    <cfRule type="cellIs" dxfId="1189" priority="2505" stopIfTrue="1" operator="between">
      <formula>50</formula>
      <formula>59.9999</formula>
    </cfRule>
  </conditionalFormatting>
  <conditionalFormatting sqref="Q240">
    <cfRule type="cellIs" dxfId="1188" priority="2499" stopIfTrue="1" operator="lessThanOrEqual">
      <formula>50</formula>
    </cfRule>
    <cfRule type="cellIs" dxfId="1187" priority="2498" stopIfTrue="1" operator="between">
      <formula>50</formula>
      <formula>59.9999</formula>
    </cfRule>
  </conditionalFormatting>
  <conditionalFormatting sqref="Q241 Q250">
    <cfRule type="cellIs" dxfId="1186" priority="2819" stopIfTrue="1" operator="between">
      <formula>50</formula>
      <formula>59.9999</formula>
    </cfRule>
    <cfRule type="cellIs" dxfId="1185" priority="2820" stopIfTrue="1" operator="lessThanOrEqual">
      <formula>50</formula>
    </cfRule>
  </conditionalFormatting>
  <conditionalFormatting sqref="Q242">
    <cfRule type="cellIs" dxfId="1184" priority="2491" stopIfTrue="1" operator="between">
      <formula>50</formula>
      <formula>59.9999</formula>
    </cfRule>
    <cfRule type="cellIs" dxfId="1183" priority="2492" stopIfTrue="1" operator="lessThanOrEqual">
      <formula>50</formula>
    </cfRule>
  </conditionalFormatting>
  <conditionalFormatting sqref="Q243">
    <cfRule type="cellIs" dxfId="1182" priority="1069" stopIfTrue="1" operator="between">
      <formula>50</formula>
      <formula>59.9999</formula>
    </cfRule>
    <cfRule type="cellIs" dxfId="1181" priority="1070" stopIfTrue="1" operator="lessThanOrEqual">
      <formula>50</formula>
    </cfRule>
  </conditionalFormatting>
  <conditionalFormatting sqref="Q244">
    <cfRule type="cellIs" dxfId="1180" priority="1062" stopIfTrue="1" operator="between">
      <formula>50</formula>
      <formula>59.9999</formula>
    </cfRule>
    <cfRule type="cellIs" dxfId="1179" priority="1063" stopIfTrue="1" operator="lessThanOrEqual">
      <formula>50</formula>
    </cfRule>
  </conditionalFormatting>
  <conditionalFormatting sqref="Q245:Q246">
    <cfRule type="cellIs" dxfId="1178" priority="1037" stopIfTrue="1" operator="lessThanOrEqual">
      <formula>50</formula>
    </cfRule>
    <cfRule type="cellIs" dxfId="1177" priority="1036" stopIfTrue="1" operator="between">
      <formula>50</formula>
      <formula>59.9999</formula>
    </cfRule>
  </conditionalFormatting>
  <conditionalFormatting sqref="Q247:Q248">
    <cfRule type="cellIs" dxfId="1176" priority="1055" stopIfTrue="1" operator="lessThanOrEqual">
      <formula>50</formula>
    </cfRule>
    <cfRule type="cellIs" dxfId="1175" priority="1054" stopIfTrue="1" operator="between">
      <formula>50</formula>
      <formula>59.9999</formula>
    </cfRule>
  </conditionalFormatting>
  <conditionalFormatting sqref="Q249">
    <cfRule type="cellIs" dxfId="1174" priority="1048" stopIfTrue="1" operator="lessThanOrEqual">
      <formula>50</formula>
    </cfRule>
    <cfRule type="cellIs" dxfId="1173" priority="1047" stopIfTrue="1" operator="between">
      <formula>50</formula>
      <formula>59.9999</formula>
    </cfRule>
  </conditionalFormatting>
  <conditionalFormatting sqref="Q251">
    <cfRule type="cellIs" dxfId="1172" priority="2485" stopIfTrue="1" operator="lessThanOrEqual">
      <formula>50</formula>
    </cfRule>
    <cfRule type="cellIs" dxfId="1171" priority="2484" stopIfTrue="1" operator="between">
      <formula>50</formula>
      <formula>59.9999</formula>
    </cfRule>
  </conditionalFormatting>
  <conditionalFormatting sqref="Q252:Q253">
    <cfRule type="cellIs" dxfId="1170" priority="932" stopIfTrue="1" operator="lessThanOrEqual">
      <formula>50</formula>
    </cfRule>
    <cfRule type="cellIs" dxfId="1169" priority="931" stopIfTrue="1" operator="between">
      <formula>50</formula>
      <formula>59.9999</formula>
    </cfRule>
  </conditionalFormatting>
  <conditionalFormatting sqref="Q254">
    <cfRule type="cellIs" dxfId="1168" priority="925" stopIfTrue="1" operator="lessThanOrEqual">
      <formula>50</formula>
    </cfRule>
    <cfRule type="cellIs" dxfId="1167" priority="924" stopIfTrue="1" operator="between">
      <formula>50</formula>
      <formula>59.9999</formula>
    </cfRule>
  </conditionalFormatting>
  <conditionalFormatting sqref="Q257:Q262">
    <cfRule type="cellIs" dxfId="1166" priority="2808" stopIfTrue="1" operator="lessThanOrEqual">
      <formula>50</formula>
    </cfRule>
    <cfRule type="cellIs" dxfId="1165" priority="2807" stopIfTrue="1" operator="between">
      <formula>50</formula>
      <formula>59.9999</formula>
    </cfRule>
  </conditionalFormatting>
  <conditionalFormatting sqref="Q263 Q255:Q256">
    <cfRule type="cellIs" dxfId="1164" priority="2828" stopIfTrue="1" operator="lessThanOrEqual">
      <formula>50</formula>
    </cfRule>
    <cfRule type="cellIs" dxfId="1163" priority="2827" stopIfTrue="1" operator="between">
      <formula>50</formula>
      <formula>59.9999</formula>
    </cfRule>
  </conditionalFormatting>
  <conditionalFormatting sqref="Q264">
    <cfRule type="cellIs" dxfId="1162" priority="2471" stopIfTrue="1" operator="lessThanOrEqual">
      <formula>50</formula>
    </cfRule>
    <cfRule type="cellIs" dxfId="1161" priority="2470" stopIfTrue="1" operator="between">
      <formula>50</formula>
      <formula>59.9999</formula>
    </cfRule>
  </conditionalFormatting>
  <conditionalFormatting sqref="Q265">
    <cfRule type="cellIs" dxfId="1160" priority="1576" stopIfTrue="1" operator="lessThanOrEqual">
      <formula>50</formula>
    </cfRule>
    <cfRule type="cellIs" dxfId="1159" priority="1575" stopIfTrue="1" operator="between">
      <formula>50</formula>
      <formula>59.9999</formula>
    </cfRule>
  </conditionalFormatting>
  <conditionalFormatting sqref="Q266">
    <cfRule type="cellIs" dxfId="1158" priority="1569" stopIfTrue="1" operator="lessThanOrEqual">
      <formula>50</formula>
    </cfRule>
    <cfRule type="cellIs" dxfId="1157" priority="1568" stopIfTrue="1" operator="between">
      <formula>50</formula>
      <formula>59.9999</formula>
    </cfRule>
  </conditionalFormatting>
  <conditionalFormatting sqref="Q267 Q269">
    <cfRule type="cellIs" dxfId="1156" priority="2835" stopIfTrue="1" operator="lessThanOrEqual">
      <formula>50</formula>
    </cfRule>
    <cfRule type="cellIs" dxfId="1155" priority="2834" stopIfTrue="1" operator="between">
      <formula>50</formula>
      <formula>59.9999</formula>
    </cfRule>
  </conditionalFormatting>
  <conditionalFormatting sqref="Q268">
    <cfRule type="cellIs" dxfId="1154" priority="2463" stopIfTrue="1" operator="between">
      <formula>50</formula>
      <formula>59.9999</formula>
    </cfRule>
    <cfRule type="cellIs" dxfId="1153" priority="2464" stopIfTrue="1" operator="lessThanOrEqual">
      <formula>50</formula>
    </cfRule>
  </conditionalFormatting>
  <conditionalFormatting sqref="Q270">
    <cfRule type="cellIs" dxfId="1152" priority="2477" stopIfTrue="1" operator="between">
      <formula>50</formula>
      <formula>59.9999</formula>
    </cfRule>
    <cfRule type="cellIs" dxfId="1151" priority="2478" stopIfTrue="1" operator="lessThanOrEqual">
      <formula>50</formula>
    </cfRule>
  </conditionalFormatting>
  <conditionalFormatting sqref="Q271:Q272">
    <cfRule type="cellIs" dxfId="1150" priority="778" stopIfTrue="1" operator="lessThanOrEqual">
      <formula>50</formula>
    </cfRule>
    <cfRule type="cellIs" dxfId="1149" priority="777" stopIfTrue="1" operator="between">
      <formula>50</formula>
      <formula>59.9999</formula>
    </cfRule>
  </conditionalFormatting>
  <conditionalFormatting sqref="Q273:Q274">
    <cfRule type="cellIs" dxfId="1148" priority="766" stopIfTrue="1" operator="between">
      <formula>50</formula>
      <formula>59.9999</formula>
    </cfRule>
    <cfRule type="cellIs" dxfId="1147" priority="767" stopIfTrue="1" operator="lessThanOrEqual">
      <formula>50</formula>
    </cfRule>
  </conditionalFormatting>
  <conditionalFormatting sqref="Q275:Q276">
    <cfRule type="cellIs" dxfId="1146" priority="755" stopIfTrue="1" operator="between">
      <formula>50</formula>
      <formula>59.9999</formula>
    </cfRule>
    <cfRule type="cellIs" dxfId="1145" priority="756" stopIfTrue="1" operator="lessThanOrEqual">
      <formula>50</formula>
    </cfRule>
  </conditionalFormatting>
  <conditionalFormatting sqref="Q277 Q286">
    <cfRule type="cellIs" dxfId="1144" priority="2842" stopIfTrue="1" operator="between">
      <formula>50</formula>
      <formula>59.9999</formula>
    </cfRule>
    <cfRule type="cellIs" dxfId="1143" priority="2843" stopIfTrue="1" operator="lessThanOrEqual">
      <formula>50</formula>
    </cfRule>
  </conditionalFormatting>
  <conditionalFormatting sqref="Q278:Q279">
    <cfRule type="cellIs" dxfId="1142" priority="509" stopIfTrue="1" operator="lessThanOrEqual">
      <formula>50</formula>
    </cfRule>
    <cfRule type="cellIs" dxfId="1141" priority="508" stopIfTrue="1" operator="between">
      <formula>50</formula>
      <formula>59.9999</formula>
    </cfRule>
  </conditionalFormatting>
  <conditionalFormatting sqref="Q280:Q281">
    <cfRule type="cellIs" dxfId="1140" priority="501" stopIfTrue="1" operator="lessThanOrEqual">
      <formula>50</formula>
    </cfRule>
    <cfRule type="cellIs" dxfId="1139" priority="500" stopIfTrue="1" operator="between">
      <formula>50</formula>
      <formula>59.9999</formula>
    </cfRule>
  </conditionalFormatting>
  <conditionalFormatting sqref="Q282:Q283">
    <cfRule type="cellIs" dxfId="1138" priority="493" stopIfTrue="1" operator="lessThanOrEqual">
      <formula>50</formula>
    </cfRule>
    <cfRule type="cellIs" dxfId="1137" priority="492" stopIfTrue="1" operator="between">
      <formula>50</formula>
      <formula>59.9999</formula>
    </cfRule>
  </conditionalFormatting>
  <conditionalFormatting sqref="Q284:Q285">
    <cfRule type="cellIs" dxfId="1136" priority="484" stopIfTrue="1" operator="between">
      <formula>50</formula>
      <formula>59.9999</formula>
    </cfRule>
    <cfRule type="cellIs" dxfId="1135" priority="485" stopIfTrue="1" operator="lessThanOrEqual">
      <formula>50</formula>
    </cfRule>
  </conditionalFormatting>
  <conditionalFormatting sqref="Q287">
    <cfRule type="cellIs" dxfId="1134" priority="2435" stopIfTrue="1" operator="between">
      <formula>50</formula>
      <formula>59.9999</formula>
    </cfRule>
    <cfRule type="cellIs" dxfId="1133" priority="2436" stopIfTrue="1" operator="lessThanOrEqual">
      <formula>50</formula>
    </cfRule>
  </conditionalFormatting>
  <conditionalFormatting sqref="Q290">
    <cfRule type="cellIs" dxfId="1132" priority="5057" stopIfTrue="1" operator="between">
      <formula>50</formula>
      <formula>59.9999</formula>
    </cfRule>
    <cfRule type="cellIs" dxfId="1131" priority="5058" stopIfTrue="1" operator="lessThanOrEqual">
      <formula>50</formula>
    </cfRule>
  </conditionalFormatting>
  <conditionalFormatting sqref="Q290:Q341">
    <cfRule type="cellIs" dxfId="1130" priority="29" stopIfTrue="1" operator="greaterThanOrEqual">
      <formula>70</formula>
    </cfRule>
    <cfRule type="cellIs" dxfId="1129" priority="30" stopIfTrue="1" operator="between">
      <formula>60</formula>
      <formula>69.999999</formula>
    </cfRule>
  </conditionalFormatting>
  <conditionalFormatting sqref="Q291:Q293">
    <cfRule type="cellIs" dxfId="1128" priority="5051" stopIfTrue="1" operator="lessThanOrEqual">
      <formula>50</formula>
    </cfRule>
    <cfRule type="cellIs" dxfId="1127" priority="5050" stopIfTrue="1" operator="between">
      <formula>50</formula>
      <formula>59.9999</formula>
    </cfRule>
  </conditionalFormatting>
  <conditionalFormatting sqref="Q294">
    <cfRule type="cellIs" dxfId="1126" priority="4536" stopIfTrue="1" operator="lessThanOrEqual">
      <formula>50</formula>
    </cfRule>
    <cfRule type="cellIs" dxfId="1125" priority="4535" stopIfTrue="1" operator="between">
      <formula>50</formula>
      <formula>59.9999</formula>
    </cfRule>
  </conditionalFormatting>
  <conditionalFormatting sqref="Q295">
    <cfRule type="cellIs" dxfId="1124" priority="5149" stopIfTrue="1" operator="between">
      <formula>50</formula>
      <formula>59.9999</formula>
    </cfRule>
    <cfRule type="cellIs" dxfId="1123" priority="5150" stopIfTrue="1" operator="lessThanOrEqual">
      <formula>50</formula>
    </cfRule>
  </conditionalFormatting>
  <conditionalFormatting sqref="Q296">
    <cfRule type="cellIs" dxfId="1122" priority="5044" stopIfTrue="1" operator="lessThanOrEqual">
      <formula>50</formula>
    </cfRule>
    <cfRule type="cellIs" dxfId="1121" priority="5043" stopIfTrue="1" operator="between">
      <formula>50</formula>
      <formula>59.9999</formula>
    </cfRule>
  </conditionalFormatting>
  <conditionalFormatting sqref="Q297">
    <cfRule type="cellIs" dxfId="1120" priority="4529" stopIfTrue="1" operator="lessThanOrEqual">
      <formula>50</formula>
    </cfRule>
    <cfRule type="cellIs" dxfId="1119" priority="4528" stopIfTrue="1" operator="between">
      <formula>50</formula>
      <formula>59.9999</formula>
    </cfRule>
  </conditionalFormatting>
  <conditionalFormatting sqref="Q298">
    <cfRule type="cellIs" dxfId="1118" priority="4522" stopIfTrue="1" operator="lessThanOrEqual">
      <formula>50</formula>
    </cfRule>
    <cfRule type="cellIs" dxfId="1117" priority="4521" stopIfTrue="1" operator="between">
      <formula>50</formula>
      <formula>59.9999</formula>
    </cfRule>
  </conditionalFormatting>
  <conditionalFormatting sqref="Q299:Q300">
    <cfRule type="cellIs" dxfId="1116" priority="1505" stopIfTrue="1" operator="lessThanOrEqual">
      <formula>50</formula>
    </cfRule>
    <cfRule type="cellIs" dxfId="1115" priority="1504" stopIfTrue="1" operator="between">
      <formula>50</formula>
      <formula>59.9999</formula>
    </cfRule>
  </conditionalFormatting>
  <conditionalFormatting sqref="Q301">
    <cfRule type="cellIs" dxfId="1114" priority="4515" stopIfTrue="1" operator="lessThanOrEqual">
      <formula>50</formula>
    </cfRule>
    <cfRule type="cellIs" dxfId="1113" priority="4514" stopIfTrue="1" operator="between">
      <formula>50</formula>
      <formula>59.9999</formula>
    </cfRule>
  </conditionalFormatting>
  <conditionalFormatting sqref="Q302">
    <cfRule type="cellIs" dxfId="1112" priority="4508" stopIfTrue="1" operator="lessThanOrEqual">
      <formula>50</formula>
    </cfRule>
    <cfRule type="cellIs" dxfId="1111" priority="4507" stopIfTrue="1" operator="between">
      <formula>50</formula>
      <formula>59.9999</formula>
    </cfRule>
  </conditionalFormatting>
  <conditionalFormatting sqref="Q303">
    <cfRule type="cellIs" dxfId="1110" priority="32" stopIfTrue="1" operator="lessThanOrEqual">
      <formula>50</formula>
    </cfRule>
    <cfRule type="cellIs" dxfId="1109" priority="31" stopIfTrue="1" operator="between">
      <formula>50</formula>
      <formula>59.9999</formula>
    </cfRule>
  </conditionalFormatting>
  <conditionalFormatting sqref="Q304">
    <cfRule type="cellIs" dxfId="1108" priority="4501" stopIfTrue="1" operator="lessThanOrEqual">
      <formula>50</formula>
    </cfRule>
    <cfRule type="cellIs" dxfId="1107" priority="4500" stopIfTrue="1" operator="between">
      <formula>50</formula>
      <formula>59.9999</formula>
    </cfRule>
  </conditionalFormatting>
  <conditionalFormatting sqref="Q305">
    <cfRule type="cellIs" dxfId="1106" priority="4493" stopIfTrue="1" operator="between">
      <formula>50</formula>
      <formula>59.9999</formula>
    </cfRule>
    <cfRule type="cellIs" dxfId="1105" priority="4494" stopIfTrue="1" operator="lessThanOrEqual">
      <formula>50</formula>
    </cfRule>
  </conditionalFormatting>
  <conditionalFormatting sqref="Q306">
    <cfRule type="cellIs" dxfId="1104" priority="5139" stopIfTrue="1" operator="lessThanOrEqual">
      <formula>50</formula>
    </cfRule>
    <cfRule type="cellIs" dxfId="1103" priority="5138" stopIfTrue="1" operator="between">
      <formula>50</formula>
      <formula>59.9999</formula>
    </cfRule>
  </conditionalFormatting>
  <conditionalFormatting sqref="Q307">
    <cfRule type="cellIs" dxfId="1102" priority="4486" stopIfTrue="1" operator="between">
      <formula>50</formula>
      <formula>59.9999</formula>
    </cfRule>
    <cfRule type="cellIs" dxfId="1101" priority="4487" stopIfTrue="1" operator="lessThanOrEqual">
      <formula>50</formula>
    </cfRule>
  </conditionalFormatting>
  <conditionalFormatting sqref="Q308">
    <cfRule type="cellIs" dxfId="1100" priority="222" stopIfTrue="1" operator="between">
      <formula>50</formula>
      <formula>59.9999</formula>
    </cfRule>
    <cfRule type="cellIs" dxfId="1099" priority="223" stopIfTrue="1" operator="lessThanOrEqual">
      <formula>50</formula>
    </cfRule>
  </conditionalFormatting>
  <conditionalFormatting sqref="Q309">
    <cfRule type="cellIs" dxfId="1098" priority="215" stopIfTrue="1" operator="between">
      <formula>50</formula>
      <formula>59.9999</formula>
    </cfRule>
    <cfRule type="cellIs" dxfId="1097" priority="216" stopIfTrue="1" operator="lessThanOrEqual">
      <formula>50</formula>
    </cfRule>
  </conditionalFormatting>
  <conditionalFormatting sqref="Q310:Q311">
    <cfRule type="cellIs" dxfId="1096" priority="1450" stopIfTrue="1" operator="lessThanOrEqual">
      <formula>50</formula>
    </cfRule>
    <cfRule type="cellIs" dxfId="1095" priority="1449" stopIfTrue="1" operator="between">
      <formula>50</formula>
      <formula>59.9999</formula>
    </cfRule>
  </conditionalFormatting>
  <conditionalFormatting sqref="Q312:Q314 Q316:Q317">
    <cfRule type="cellIs" dxfId="1094" priority="2365" stopIfTrue="1" operator="between">
      <formula>50</formula>
      <formula>59.9999</formula>
    </cfRule>
    <cfRule type="cellIs" dxfId="1093" priority="2366" stopIfTrue="1" operator="lessThanOrEqual">
      <formula>50</formula>
    </cfRule>
  </conditionalFormatting>
  <conditionalFormatting sqref="Q315">
    <cfRule type="cellIs" dxfId="1092" priority="2359" stopIfTrue="1" operator="lessThanOrEqual">
      <formula>50</formula>
    </cfRule>
    <cfRule type="cellIs" dxfId="1091" priority="2358" stopIfTrue="1" operator="between">
      <formula>50</formula>
      <formula>59.9999</formula>
    </cfRule>
  </conditionalFormatting>
  <conditionalFormatting sqref="Q318">
    <cfRule type="cellIs" dxfId="1090" priority="4480" stopIfTrue="1" operator="lessThanOrEqual">
      <formula>50</formula>
    </cfRule>
    <cfRule type="cellIs" dxfId="1089" priority="4479" stopIfTrue="1" operator="between">
      <formula>50</formula>
      <formula>59.9999</formula>
    </cfRule>
  </conditionalFormatting>
  <conditionalFormatting sqref="Q319">
    <cfRule type="cellIs" dxfId="1088" priority="4472" stopIfTrue="1" operator="between">
      <formula>50</formula>
      <formula>59.9999</formula>
    </cfRule>
    <cfRule type="cellIs" dxfId="1087" priority="4473" stopIfTrue="1" operator="lessThanOrEqual">
      <formula>50</formula>
    </cfRule>
  </conditionalFormatting>
  <conditionalFormatting sqref="Q320">
    <cfRule type="cellIs" dxfId="1086" priority="4466" stopIfTrue="1" operator="lessThanOrEqual">
      <formula>50</formula>
    </cfRule>
    <cfRule type="cellIs" dxfId="1085" priority="4465" stopIfTrue="1" operator="between">
      <formula>50</formula>
      <formula>59.9999</formula>
    </cfRule>
  </conditionalFormatting>
  <conditionalFormatting sqref="Q321">
    <cfRule type="cellIs" dxfId="1084" priority="4459" stopIfTrue="1" operator="lessThanOrEqual">
      <formula>50</formula>
    </cfRule>
    <cfRule type="cellIs" dxfId="1083" priority="4458" stopIfTrue="1" operator="between">
      <formula>50</formula>
      <formula>59.9999</formula>
    </cfRule>
  </conditionalFormatting>
  <conditionalFormatting sqref="Q322">
    <cfRule type="cellIs" dxfId="1082" priority="4452" stopIfTrue="1" operator="lessThanOrEqual">
      <formula>50</formula>
    </cfRule>
    <cfRule type="cellIs" dxfId="1081" priority="4451" stopIfTrue="1" operator="between">
      <formula>50</formula>
      <formula>59.9999</formula>
    </cfRule>
  </conditionalFormatting>
  <conditionalFormatting sqref="Q323">
    <cfRule type="cellIs" dxfId="1080" priority="4445" stopIfTrue="1" operator="lessThanOrEqual">
      <formula>50</formula>
    </cfRule>
    <cfRule type="cellIs" dxfId="1079" priority="4444" stopIfTrue="1" operator="between">
      <formula>50</formula>
      <formula>59.9999</formula>
    </cfRule>
  </conditionalFormatting>
  <conditionalFormatting sqref="Q324">
    <cfRule type="cellIs" dxfId="1078" priority="5143" stopIfTrue="1" operator="lessThanOrEqual">
      <formula>50</formula>
    </cfRule>
    <cfRule type="cellIs" dxfId="1077" priority="5142" stopIfTrue="1" operator="between">
      <formula>50</formula>
      <formula>59.9999</formula>
    </cfRule>
  </conditionalFormatting>
  <conditionalFormatting sqref="Q325">
    <cfRule type="cellIs" dxfId="1076" priority="4437" stopIfTrue="1" operator="between">
      <formula>50</formula>
      <formula>59.9999</formula>
    </cfRule>
    <cfRule type="cellIs" dxfId="1075" priority="4438" stopIfTrue="1" operator="lessThanOrEqual">
      <formula>50</formula>
    </cfRule>
  </conditionalFormatting>
  <conditionalFormatting sqref="Q326">
    <cfRule type="cellIs" dxfId="1074" priority="4431" stopIfTrue="1" operator="lessThanOrEqual">
      <formula>50</formula>
    </cfRule>
    <cfRule type="cellIs" dxfId="1073" priority="4430" stopIfTrue="1" operator="between">
      <formula>50</formula>
      <formula>59.9999</formula>
    </cfRule>
  </conditionalFormatting>
  <conditionalFormatting sqref="Q327">
    <cfRule type="cellIs" dxfId="1072" priority="4424" stopIfTrue="1" operator="lessThanOrEqual">
      <formula>50</formula>
    </cfRule>
    <cfRule type="cellIs" dxfId="1071" priority="4423" stopIfTrue="1" operator="between">
      <formula>50</formula>
      <formula>59.9999</formula>
    </cfRule>
  </conditionalFormatting>
  <conditionalFormatting sqref="Q328">
    <cfRule type="cellIs" dxfId="1070" priority="4417" stopIfTrue="1" operator="lessThanOrEqual">
      <formula>50</formula>
    </cfRule>
    <cfRule type="cellIs" dxfId="1069" priority="4416" stopIfTrue="1" operator="between">
      <formula>50</formula>
      <formula>59.9999</formula>
    </cfRule>
  </conditionalFormatting>
  <conditionalFormatting sqref="Q329">
    <cfRule type="cellIs" dxfId="1068" priority="4410" stopIfTrue="1" operator="lessThanOrEqual">
      <formula>50</formula>
    </cfRule>
    <cfRule type="cellIs" dxfId="1067" priority="4409" stopIfTrue="1" operator="between">
      <formula>50</formula>
      <formula>59.9999</formula>
    </cfRule>
  </conditionalFormatting>
  <conditionalFormatting sqref="Q330:Q332 Q334:Q335 Q337">
    <cfRule type="cellIs" dxfId="1066" priority="2351" stopIfTrue="1" operator="between">
      <formula>50</formula>
      <formula>59.9999</formula>
    </cfRule>
    <cfRule type="cellIs" dxfId="1065" priority="2352" stopIfTrue="1" operator="lessThanOrEqual">
      <formula>50</formula>
    </cfRule>
  </conditionalFormatting>
  <conditionalFormatting sqref="Q333">
    <cfRule type="cellIs" dxfId="1064" priority="2345" stopIfTrue="1" operator="lessThanOrEqual">
      <formula>50</formula>
    </cfRule>
    <cfRule type="cellIs" dxfId="1063" priority="2344" stopIfTrue="1" operator="between">
      <formula>50</formula>
      <formula>59.9999</formula>
    </cfRule>
  </conditionalFormatting>
  <conditionalFormatting sqref="Q336">
    <cfRule type="cellIs" dxfId="1062" priority="2337" stopIfTrue="1" operator="between">
      <formula>50</formula>
      <formula>59.9999</formula>
    </cfRule>
    <cfRule type="cellIs" dxfId="1061" priority="2338" stopIfTrue="1" operator="lessThanOrEqual">
      <formula>50</formula>
    </cfRule>
  </conditionalFormatting>
  <conditionalFormatting sqref="Q338">
    <cfRule type="cellIs" dxfId="1060" priority="4402" stopIfTrue="1" operator="between">
      <formula>50</formula>
      <formula>59.9999</formula>
    </cfRule>
    <cfRule type="cellIs" dxfId="1059" priority="4403" stopIfTrue="1" operator="lessThanOrEqual">
      <formula>50</formula>
    </cfRule>
  </conditionalFormatting>
  <conditionalFormatting sqref="Q339">
    <cfRule type="cellIs" dxfId="1058" priority="4395" stopIfTrue="1" operator="between">
      <formula>50</formula>
      <formula>59.9999</formula>
    </cfRule>
    <cfRule type="cellIs" dxfId="1057" priority="4396" stopIfTrue="1" operator="lessThanOrEqual">
      <formula>50</formula>
    </cfRule>
  </conditionalFormatting>
  <conditionalFormatting sqref="Q340">
    <cfRule type="cellIs" dxfId="1056" priority="5020" stopIfTrue="1" operator="lessThanOrEqual">
      <formula>50</formula>
    </cfRule>
    <cfRule type="cellIs" dxfId="1055" priority="5019" stopIfTrue="1" operator="between">
      <formula>50</formula>
      <formula>59.9999</formula>
    </cfRule>
  </conditionalFormatting>
  <conditionalFormatting sqref="Q341">
    <cfRule type="cellIs" dxfId="1054" priority="4389" stopIfTrue="1" operator="lessThanOrEqual">
      <formula>50</formula>
    </cfRule>
    <cfRule type="cellIs" dxfId="1053" priority="4388" stopIfTrue="1" operator="between">
      <formula>50</formula>
      <formula>59.9999</formula>
    </cfRule>
  </conditionalFormatting>
  <conditionalFormatting sqref="Q343">
    <cfRule type="cellIs" dxfId="1052" priority="5037" stopIfTrue="1" operator="lessThanOrEqual">
      <formula>50</formula>
    </cfRule>
    <cfRule type="cellIs" dxfId="1051" priority="5036" stopIfTrue="1" operator="between">
      <formula>50</formula>
      <formula>59.9999</formula>
    </cfRule>
  </conditionalFormatting>
  <conditionalFormatting sqref="Q343:Q371">
    <cfRule type="cellIs" dxfId="1050" priority="134" stopIfTrue="1" operator="between">
      <formula>60</formula>
      <formula>69.999999</formula>
    </cfRule>
    <cfRule type="cellIs" dxfId="1049" priority="133" stopIfTrue="1" operator="greaterThanOrEqual">
      <formula>70</formula>
    </cfRule>
  </conditionalFormatting>
  <conditionalFormatting sqref="Q344">
    <cfRule type="cellIs" dxfId="1048" priority="4382" stopIfTrue="1" operator="lessThanOrEqual">
      <formula>50</formula>
    </cfRule>
    <cfRule type="cellIs" dxfId="1047" priority="4381" stopIfTrue="1" operator="between">
      <formula>50</formula>
      <formula>59.9999</formula>
    </cfRule>
  </conditionalFormatting>
  <conditionalFormatting sqref="Q345">
    <cfRule type="cellIs" dxfId="1046" priority="5126" stopIfTrue="1" operator="between">
      <formula>50</formula>
      <formula>59.9999</formula>
    </cfRule>
    <cfRule type="cellIs" dxfId="1045" priority="5127" stopIfTrue="1" operator="lessThanOrEqual">
      <formula>50</formula>
    </cfRule>
  </conditionalFormatting>
  <conditionalFormatting sqref="Q346 Q348">
    <cfRule type="cellIs" dxfId="1044" priority="5135" stopIfTrue="1" operator="lessThanOrEqual">
      <formula>50</formula>
    </cfRule>
    <cfRule type="cellIs" dxfId="1043" priority="5134" stopIfTrue="1" operator="between">
      <formula>50</formula>
      <formula>59.9999</formula>
    </cfRule>
  </conditionalFormatting>
  <conditionalFormatting sqref="Q347">
    <cfRule type="cellIs" dxfId="1042" priority="4374" stopIfTrue="1" operator="between">
      <formula>50</formula>
      <formula>59.9999</formula>
    </cfRule>
    <cfRule type="cellIs" dxfId="1041" priority="4375" stopIfTrue="1" operator="lessThanOrEqual">
      <formula>50</formula>
    </cfRule>
  </conditionalFormatting>
  <conditionalFormatting sqref="Q349">
    <cfRule type="cellIs" dxfId="1040" priority="4367" stopIfTrue="1" operator="between">
      <formula>50</formula>
      <formula>59.9999</formula>
    </cfRule>
    <cfRule type="cellIs" dxfId="1039" priority="4368" stopIfTrue="1" operator="lessThanOrEqual">
      <formula>50</formula>
    </cfRule>
  </conditionalFormatting>
  <conditionalFormatting sqref="Q350">
    <cfRule type="cellIs" dxfId="1038" priority="4361" stopIfTrue="1" operator="lessThanOrEqual">
      <formula>50</formula>
    </cfRule>
    <cfRule type="cellIs" dxfId="1037" priority="4360" stopIfTrue="1" operator="between">
      <formula>50</formula>
      <formula>59.9999</formula>
    </cfRule>
  </conditionalFormatting>
  <conditionalFormatting sqref="Q351">
    <cfRule type="cellIs" dxfId="1036" priority="4354" stopIfTrue="1" operator="lessThanOrEqual">
      <formula>50</formula>
    </cfRule>
    <cfRule type="cellIs" dxfId="1035" priority="4353" stopIfTrue="1" operator="between">
      <formula>50</formula>
      <formula>59.9999</formula>
    </cfRule>
  </conditionalFormatting>
  <conditionalFormatting sqref="Q352">
    <cfRule type="cellIs" dxfId="1034" priority="4346" stopIfTrue="1" operator="between">
      <formula>50</formula>
      <formula>59.9999</formula>
    </cfRule>
    <cfRule type="cellIs" dxfId="1033" priority="4347" stopIfTrue="1" operator="lessThanOrEqual">
      <formula>50</formula>
    </cfRule>
  </conditionalFormatting>
  <conditionalFormatting sqref="Q353">
    <cfRule type="cellIs" dxfId="1032" priority="4339" stopIfTrue="1" operator="between">
      <formula>50</formula>
      <formula>59.9999</formula>
    </cfRule>
    <cfRule type="cellIs" dxfId="1031" priority="4340" stopIfTrue="1" operator="lessThanOrEqual">
      <formula>50</formula>
    </cfRule>
  </conditionalFormatting>
  <conditionalFormatting sqref="Q354 Q356">
    <cfRule type="cellIs" dxfId="1030" priority="5111" stopIfTrue="1" operator="between">
      <formula>50</formula>
      <formula>59.9999</formula>
    </cfRule>
    <cfRule type="cellIs" dxfId="1029" priority="5112" stopIfTrue="1" operator="lessThanOrEqual">
      <formula>50</formula>
    </cfRule>
  </conditionalFormatting>
  <conditionalFormatting sqref="Q355">
    <cfRule type="cellIs" dxfId="1028" priority="5012" stopIfTrue="1" operator="between">
      <formula>50</formula>
      <formula>59.9999</formula>
    </cfRule>
    <cfRule type="cellIs" dxfId="1027" priority="5013" stopIfTrue="1" operator="lessThanOrEqual">
      <formula>50</formula>
    </cfRule>
  </conditionalFormatting>
  <conditionalFormatting sqref="Q357">
    <cfRule type="cellIs" dxfId="1026" priority="5006" stopIfTrue="1" operator="lessThanOrEqual">
      <formula>50</formula>
    </cfRule>
    <cfRule type="cellIs" dxfId="1025" priority="5005" stopIfTrue="1" operator="between">
      <formula>50</formula>
      <formula>59.9999</formula>
    </cfRule>
  </conditionalFormatting>
  <conditionalFormatting sqref="Q358 Q362 Q360">
    <cfRule type="cellIs" dxfId="1024" priority="5123" stopIfTrue="1" operator="lessThanOrEqual">
      <formula>50</formula>
    </cfRule>
    <cfRule type="cellIs" dxfId="1023" priority="5122" stopIfTrue="1" operator="between">
      <formula>50</formula>
      <formula>59.9999</formula>
    </cfRule>
  </conditionalFormatting>
  <conditionalFormatting sqref="Q359">
    <cfRule type="cellIs" dxfId="1022" priority="4998" stopIfTrue="1" operator="between">
      <formula>50</formula>
      <formula>59.9999</formula>
    </cfRule>
    <cfRule type="cellIs" dxfId="1021" priority="4999" stopIfTrue="1" operator="lessThanOrEqual">
      <formula>50</formula>
    </cfRule>
  </conditionalFormatting>
  <conditionalFormatting sqref="Q361">
    <cfRule type="cellIs" dxfId="1020" priority="5026" stopIfTrue="1" operator="between">
      <formula>50</formula>
      <formula>59.9999</formula>
    </cfRule>
    <cfRule type="cellIs" dxfId="1019" priority="5027" stopIfTrue="1" operator="lessThanOrEqual">
      <formula>50</formula>
    </cfRule>
  </conditionalFormatting>
  <conditionalFormatting sqref="Q363">
    <cfRule type="cellIs" dxfId="1018" priority="4991" stopIfTrue="1" operator="between">
      <formula>50</formula>
      <formula>59.9999</formula>
    </cfRule>
    <cfRule type="cellIs" dxfId="1017" priority="4992" stopIfTrue="1" operator="lessThanOrEqual">
      <formula>50</formula>
    </cfRule>
  </conditionalFormatting>
  <conditionalFormatting sqref="Q364">
    <cfRule type="cellIs" dxfId="1016" priority="142" stopIfTrue="1" operator="between">
      <formula>50</formula>
      <formula>59.9999</formula>
    </cfRule>
    <cfRule type="cellIs" dxfId="1015" priority="143" stopIfTrue="1" operator="lessThanOrEqual">
      <formula>50</formula>
    </cfRule>
  </conditionalFormatting>
  <conditionalFormatting sqref="Q365">
    <cfRule type="cellIs" dxfId="1014" priority="136" stopIfTrue="1" operator="lessThanOrEqual">
      <formula>50</formula>
    </cfRule>
    <cfRule type="cellIs" dxfId="1013" priority="135" stopIfTrue="1" operator="between">
      <formula>50</formula>
      <formula>59.9999</formula>
    </cfRule>
  </conditionalFormatting>
  <conditionalFormatting sqref="Q366">
    <cfRule type="cellIs" dxfId="1012" priority="1371" stopIfTrue="1" operator="between">
      <formula>50</formula>
      <formula>59.9999</formula>
    </cfRule>
    <cfRule type="cellIs" dxfId="1011" priority="1372" stopIfTrue="1" operator="lessThanOrEqual">
      <formula>50</formula>
    </cfRule>
  </conditionalFormatting>
  <conditionalFormatting sqref="Q367">
    <cfRule type="cellIs" dxfId="1010" priority="1364" stopIfTrue="1" operator="between">
      <formula>50</formula>
      <formula>59.9999</formula>
    </cfRule>
    <cfRule type="cellIs" dxfId="1009" priority="1365" stopIfTrue="1" operator="lessThanOrEqual">
      <formula>50</formula>
    </cfRule>
  </conditionalFormatting>
  <conditionalFormatting sqref="Q368:Q369">
    <cfRule type="cellIs" dxfId="1008" priority="563" stopIfTrue="1" operator="between">
      <formula>50</formula>
      <formula>59.9999</formula>
    </cfRule>
    <cfRule type="cellIs" dxfId="1007" priority="564" stopIfTrue="1" operator="lessThanOrEqual">
      <formula>50</formula>
    </cfRule>
  </conditionalFormatting>
  <conditionalFormatting sqref="Q370">
    <cfRule type="cellIs" dxfId="1006" priority="4332" stopIfTrue="1" operator="between">
      <formula>50</formula>
      <formula>59.9999</formula>
    </cfRule>
    <cfRule type="cellIs" dxfId="1005" priority="4333" stopIfTrue="1" operator="lessThanOrEqual">
      <formula>50</formula>
    </cfRule>
  </conditionalFormatting>
  <conditionalFormatting sqref="Q371">
    <cfRule type="cellIs" dxfId="1004" priority="4325" stopIfTrue="1" operator="between">
      <formula>50</formula>
      <formula>59.9999</formula>
    </cfRule>
    <cfRule type="cellIs" dxfId="1003" priority="4326" stopIfTrue="1" operator="lessThanOrEqual">
      <formula>50</formula>
    </cfRule>
  </conditionalFormatting>
  <conditionalFormatting sqref="Q373">
    <cfRule type="cellIs" dxfId="1002" priority="4319" stopIfTrue="1" operator="lessThanOrEqual">
      <formula>50</formula>
    </cfRule>
    <cfRule type="cellIs" dxfId="1001" priority="4318" stopIfTrue="1" operator="between">
      <formula>50</formula>
      <formula>59.9999</formula>
    </cfRule>
  </conditionalFormatting>
  <conditionalFormatting sqref="Q373:Q428">
    <cfRule type="cellIs" dxfId="1000" priority="451" stopIfTrue="1" operator="between">
      <formula>60</formula>
      <formula>69.999999</formula>
    </cfRule>
    <cfRule type="cellIs" dxfId="999" priority="450" stopIfTrue="1" operator="greaterThanOrEqual">
      <formula>70</formula>
    </cfRule>
  </conditionalFormatting>
  <conditionalFormatting sqref="Q374">
    <cfRule type="cellIs" dxfId="998" priority="4312" stopIfTrue="1" operator="lessThanOrEqual">
      <formula>50</formula>
    </cfRule>
    <cfRule type="cellIs" dxfId="997" priority="4311" stopIfTrue="1" operator="between">
      <formula>50</formula>
      <formula>59.9999</formula>
    </cfRule>
  </conditionalFormatting>
  <conditionalFormatting sqref="Q375:Q378">
    <cfRule type="cellIs" dxfId="996" priority="4305" stopIfTrue="1" operator="lessThanOrEqual">
      <formula>50</formula>
    </cfRule>
    <cfRule type="cellIs" dxfId="995" priority="4304" stopIfTrue="1" operator="between">
      <formula>50</formula>
      <formula>59.9999</formula>
    </cfRule>
  </conditionalFormatting>
  <conditionalFormatting sqref="Q379">
    <cfRule type="cellIs" dxfId="994" priority="4298" stopIfTrue="1" operator="lessThanOrEqual">
      <formula>50</formula>
    </cfRule>
    <cfRule type="cellIs" dxfId="993" priority="4297" stopIfTrue="1" operator="between">
      <formula>50</formula>
      <formula>59.9999</formula>
    </cfRule>
  </conditionalFormatting>
  <conditionalFormatting sqref="Q380">
    <cfRule type="cellIs" dxfId="992" priority="4291" stopIfTrue="1" operator="lessThanOrEqual">
      <formula>50</formula>
    </cfRule>
    <cfRule type="cellIs" dxfId="991" priority="4290" stopIfTrue="1" operator="between">
      <formula>50</formula>
      <formula>59.9999</formula>
    </cfRule>
  </conditionalFormatting>
  <conditionalFormatting sqref="Q381">
    <cfRule type="cellIs" dxfId="990" priority="5130" stopIfTrue="1" operator="between">
      <formula>50</formula>
      <formula>59.9999</formula>
    </cfRule>
    <cfRule type="cellIs" dxfId="989" priority="5131" stopIfTrue="1" operator="lessThanOrEqual">
      <formula>50</formula>
    </cfRule>
  </conditionalFormatting>
  <conditionalFormatting sqref="Q382">
    <cfRule type="cellIs" dxfId="988" priority="4984" stopIfTrue="1" operator="between">
      <formula>50</formula>
      <formula>59.9999</formula>
    </cfRule>
    <cfRule type="cellIs" dxfId="987" priority="4985" stopIfTrue="1" operator="lessThanOrEqual">
      <formula>50</formula>
    </cfRule>
  </conditionalFormatting>
  <conditionalFormatting sqref="Q383 Q392">
    <cfRule type="cellIs" dxfId="986" priority="5107" stopIfTrue="1" operator="between">
      <formula>50</formula>
      <formula>59.9999</formula>
    </cfRule>
    <cfRule type="cellIs" dxfId="985" priority="5108" stopIfTrue="1" operator="lessThanOrEqual">
      <formula>50</formula>
    </cfRule>
  </conditionalFormatting>
  <conditionalFormatting sqref="Q384">
    <cfRule type="cellIs" dxfId="984" priority="4977" stopIfTrue="1" operator="between">
      <formula>50</formula>
      <formula>59.9999</formula>
    </cfRule>
    <cfRule type="cellIs" dxfId="983" priority="4978" stopIfTrue="1" operator="lessThanOrEqual">
      <formula>50</formula>
    </cfRule>
  </conditionalFormatting>
  <conditionalFormatting sqref="Q385">
    <cfRule type="cellIs" dxfId="982" priority="1111" stopIfTrue="1" operator="lessThanOrEqual">
      <formula>50</formula>
    </cfRule>
    <cfRule type="cellIs" dxfId="981" priority="1110" stopIfTrue="1" operator="between">
      <formula>50</formula>
      <formula>59.9999</formula>
    </cfRule>
  </conditionalFormatting>
  <conditionalFormatting sqref="Q386">
    <cfRule type="cellIs" dxfId="980" priority="1103" stopIfTrue="1" operator="between">
      <formula>50</formula>
      <formula>59.9999</formula>
    </cfRule>
    <cfRule type="cellIs" dxfId="979" priority="1104" stopIfTrue="1" operator="lessThanOrEqual">
      <formula>50</formula>
    </cfRule>
  </conditionalFormatting>
  <conditionalFormatting sqref="Q387:Q388">
    <cfRule type="cellIs" dxfId="978" priority="1077" stopIfTrue="1" operator="between">
      <formula>50</formula>
      <formula>59.9999</formula>
    </cfRule>
    <cfRule type="cellIs" dxfId="977" priority="1078" stopIfTrue="1" operator="lessThanOrEqual">
      <formula>50</formula>
    </cfRule>
  </conditionalFormatting>
  <conditionalFormatting sqref="Q389:Q390">
    <cfRule type="cellIs" dxfId="976" priority="1096" stopIfTrue="1" operator="lessThanOrEqual">
      <formula>50</formula>
    </cfRule>
    <cfRule type="cellIs" dxfId="975" priority="1095" stopIfTrue="1" operator="between">
      <formula>50</formula>
      <formula>59.9999</formula>
    </cfRule>
  </conditionalFormatting>
  <conditionalFormatting sqref="Q391">
    <cfRule type="cellIs" dxfId="974" priority="1089" stopIfTrue="1" operator="lessThanOrEqual">
      <formula>50</formula>
    </cfRule>
    <cfRule type="cellIs" dxfId="973" priority="1088" stopIfTrue="1" operator="between">
      <formula>50</formula>
      <formula>59.9999</formula>
    </cfRule>
  </conditionalFormatting>
  <conditionalFormatting sqref="Q393">
    <cfRule type="cellIs" dxfId="972" priority="4283" stopIfTrue="1" operator="between">
      <formula>50</formula>
      <formula>59.9999</formula>
    </cfRule>
    <cfRule type="cellIs" dxfId="971" priority="4284" stopIfTrue="1" operator="lessThanOrEqual">
      <formula>50</formula>
    </cfRule>
  </conditionalFormatting>
  <conditionalFormatting sqref="Q394:Q395">
    <cfRule type="cellIs" dxfId="970" priority="871" stopIfTrue="1" operator="between">
      <formula>50</formula>
      <formula>59.9999</formula>
    </cfRule>
    <cfRule type="cellIs" dxfId="969" priority="872" stopIfTrue="1" operator="lessThanOrEqual">
      <formula>50</formula>
    </cfRule>
  </conditionalFormatting>
  <conditionalFormatting sqref="Q396">
    <cfRule type="cellIs" dxfId="968" priority="864" stopIfTrue="1" operator="between">
      <formula>50</formula>
      <formula>59.9999</formula>
    </cfRule>
    <cfRule type="cellIs" dxfId="967" priority="865" stopIfTrue="1" operator="lessThanOrEqual">
      <formula>50</formula>
    </cfRule>
  </conditionalFormatting>
  <conditionalFormatting sqref="Q397">
    <cfRule type="cellIs" dxfId="966" priority="4277" stopIfTrue="1" operator="lessThanOrEqual">
      <formula>50</formula>
    </cfRule>
    <cfRule type="cellIs" dxfId="965" priority="4276" stopIfTrue="1" operator="between">
      <formula>50</formula>
      <formula>59.9999</formula>
    </cfRule>
  </conditionalFormatting>
  <conditionalFormatting sqref="Q398">
    <cfRule type="cellIs" dxfId="964" priority="4270" stopIfTrue="1" operator="lessThanOrEqual">
      <formula>50</formula>
    </cfRule>
    <cfRule type="cellIs" dxfId="963" priority="4269" stopIfTrue="1" operator="between">
      <formula>50</formula>
      <formula>59.9999</formula>
    </cfRule>
  </conditionalFormatting>
  <conditionalFormatting sqref="Q399:Q400">
    <cfRule type="cellIs" dxfId="962" priority="5103" stopIfTrue="1" operator="between">
      <formula>50</formula>
      <formula>59.9999</formula>
    </cfRule>
    <cfRule type="cellIs" dxfId="961" priority="5104" stopIfTrue="1" operator="lessThanOrEqual">
      <formula>50</formula>
    </cfRule>
  </conditionalFormatting>
  <conditionalFormatting sqref="Q401:Q404">
    <cfRule type="cellIs" dxfId="960" priority="2331" stopIfTrue="1" operator="lessThanOrEqual">
      <formula>50</formula>
    </cfRule>
    <cfRule type="cellIs" dxfId="959" priority="2330" stopIfTrue="1" operator="between">
      <formula>50</formula>
      <formula>59.9999</formula>
    </cfRule>
  </conditionalFormatting>
  <conditionalFormatting sqref="Q405">
    <cfRule type="cellIs" dxfId="958" priority="4262" stopIfTrue="1" operator="between">
      <formula>50</formula>
      <formula>59.9999</formula>
    </cfRule>
    <cfRule type="cellIs" dxfId="957" priority="4263" stopIfTrue="1" operator="lessThanOrEqual">
      <formula>50</formula>
    </cfRule>
  </conditionalFormatting>
  <conditionalFormatting sqref="Q406">
    <cfRule type="cellIs" dxfId="956" priority="3420" stopIfTrue="1" operator="between">
      <formula>50</formula>
      <formula>59.9999</formula>
    </cfRule>
    <cfRule type="cellIs" dxfId="955" priority="3421" stopIfTrue="1" operator="lessThanOrEqual">
      <formula>50</formula>
    </cfRule>
  </conditionalFormatting>
  <conditionalFormatting sqref="Q407">
    <cfRule type="cellIs" dxfId="954" priority="848" stopIfTrue="1" operator="between">
      <formula>50</formula>
      <formula>59.9999</formula>
    </cfRule>
    <cfRule type="cellIs" dxfId="953" priority="849" stopIfTrue="1" operator="lessThanOrEqual">
      <formula>50</formula>
    </cfRule>
  </conditionalFormatting>
  <conditionalFormatting sqref="Q408">
    <cfRule type="cellIs" dxfId="952" priority="841" stopIfTrue="1" operator="between">
      <formula>50</formula>
      <formula>59.9999</formula>
    </cfRule>
    <cfRule type="cellIs" dxfId="951" priority="842" stopIfTrue="1" operator="lessThanOrEqual">
      <formula>50</formula>
    </cfRule>
  </conditionalFormatting>
  <conditionalFormatting sqref="Q409">
    <cfRule type="cellIs" dxfId="950" priority="4256" stopIfTrue="1" operator="lessThanOrEqual">
      <formula>50</formula>
    </cfRule>
    <cfRule type="cellIs" dxfId="949" priority="4255" stopIfTrue="1" operator="between">
      <formula>50</formula>
      <formula>59.9999</formula>
    </cfRule>
  </conditionalFormatting>
  <conditionalFormatting sqref="Q410">
    <cfRule type="cellIs" dxfId="948" priority="3413" stopIfTrue="1" operator="between">
      <formula>50</formula>
      <formula>59.9999</formula>
    </cfRule>
    <cfRule type="cellIs" dxfId="947" priority="3414" stopIfTrue="1" operator="lessThanOrEqual">
      <formula>50</formula>
    </cfRule>
  </conditionalFormatting>
  <conditionalFormatting sqref="Q411">
    <cfRule type="cellIs" dxfId="946" priority="5118" stopIfTrue="1" operator="between">
      <formula>50</formula>
      <formula>59.9999</formula>
    </cfRule>
    <cfRule type="cellIs" dxfId="945" priority="5119" stopIfTrue="1" operator="lessThanOrEqual">
      <formula>50</formula>
    </cfRule>
  </conditionalFormatting>
  <conditionalFormatting sqref="Q412">
    <cfRule type="cellIs" dxfId="944" priority="4249" stopIfTrue="1" operator="lessThanOrEqual">
      <formula>50</formula>
    </cfRule>
    <cfRule type="cellIs" dxfId="943" priority="4248" stopIfTrue="1" operator="between">
      <formula>50</formula>
      <formula>59.9999</formula>
    </cfRule>
  </conditionalFormatting>
  <conditionalFormatting sqref="Q413:Q414">
    <cfRule type="cellIs" dxfId="942" priority="744" stopIfTrue="1" operator="between">
      <formula>50</formula>
      <formula>59.9999</formula>
    </cfRule>
    <cfRule type="cellIs" dxfId="941" priority="745" stopIfTrue="1" operator="lessThanOrEqual">
      <formula>50</formula>
    </cfRule>
  </conditionalFormatting>
  <conditionalFormatting sqref="Q415:Q416">
    <cfRule type="cellIs" dxfId="940" priority="734" stopIfTrue="1" operator="lessThanOrEqual">
      <formula>50</formula>
    </cfRule>
    <cfRule type="cellIs" dxfId="939" priority="733" stopIfTrue="1" operator="between">
      <formula>50</formula>
      <formula>59.9999</formula>
    </cfRule>
  </conditionalFormatting>
  <conditionalFormatting sqref="Q417:Q418">
    <cfRule type="cellIs" dxfId="938" priority="722" stopIfTrue="1" operator="between">
      <formula>50</formula>
      <formula>59.9999</formula>
    </cfRule>
    <cfRule type="cellIs" dxfId="937" priority="723" stopIfTrue="1" operator="lessThanOrEqual">
      <formula>50</formula>
    </cfRule>
  </conditionalFormatting>
  <conditionalFormatting sqref="Q419">
    <cfRule type="cellIs" dxfId="936" priority="4242" stopIfTrue="1" operator="lessThanOrEqual">
      <formula>50</formula>
    </cfRule>
    <cfRule type="cellIs" dxfId="935" priority="4241" stopIfTrue="1" operator="between">
      <formula>50</formula>
      <formula>59.9999</formula>
    </cfRule>
  </conditionalFormatting>
  <conditionalFormatting sqref="Q420:Q421">
    <cfRule type="cellIs" dxfId="934" priority="477" stopIfTrue="1" operator="lessThanOrEqual">
      <formula>50</formula>
    </cfRule>
    <cfRule type="cellIs" dxfId="933" priority="476" stopIfTrue="1" operator="between">
      <formula>50</formula>
      <formula>59.9999</formula>
    </cfRule>
  </conditionalFormatting>
  <conditionalFormatting sqref="Q422:Q423">
    <cfRule type="cellIs" dxfId="932" priority="468" stopIfTrue="1" operator="between">
      <formula>50</formula>
      <formula>59.9999</formula>
    </cfRule>
    <cfRule type="cellIs" dxfId="931" priority="469" stopIfTrue="1" operator="lessThanOrEqual">
      <formula>50</formula>
    </cfRule>
  </conditionalFormatting>
  <conditionalFormatting sqref="Q424:Q425">
    <cfRule type="cellIs" dxfId="930" priority="461" stopIfTrue="1" operator="lessThanOrEqual">
      <formula>50</formula>
    </cfRule>
    <cfRule type="cellIs" dxfId="929" priority="460" stopIfTrue="1" operator="between">
      <formula>50</formula>
      <formula>59.9999</formula>
    </cfRule>
  </conditionalFormatting>
  <conditionalFormatting sqref="Q426:Q427">
    <cfRule type="cellIs" dxfId="928" priority="453" stopIfTrue="1" operator="lessThanOrEqual">
      <formula>50</formula>
    </cfRule>
    <cfRule type="cellIs" dxfId="927" priority="452" stopIfTrue="1" operator="between">
      <formula>50</formula>
      <formula>59.9999</formula>
    </cfRule>
  </conditionalFormatting>
  <conditionalFormatting sqref="Q428">
    <cfRule type="cellIs" dxfId="926" priority="2324" stopIfTrue="1" operator="lessThanOrEqual">
      <formula>50</formula>
    </cfRule>
    <cfRule type="cellIs" dxfId="925" priority="2323" stopIfTrue="1" operator="between">
      <formula>50</formula>
      <formula>59.9999</formula>
    </cfRule>
  </conditionalFormatting>
  <conditionalFormatting sqref="Q431">
    <cfRule type="cellIs" dxfId="924" priority="4878" stopIfTrue="1" operator="between">
      <formula>50</formula>
      <formula>59.9999</formula>
    </cfRule>
    <cfRule type="cellIs" dxfId="923" priority="4879" stopIfTrue="1" operator="lessThanOrEqual">
      <formula>50</formula>
    </cfRule>
  </conditionalFormatting>
  <conditionalFormatting sqref="Q431:Q482">
    <cfRule type="cellIs" dxfId="922" priority="53" stopIfTrue="1" operator="greaterThanOrEqual">
      <formula>70</formula>
    </cfRule>
    <cfRule type="cellIs" dxfId="921" priority="54" stopIfTrue="1" operator="between">
      <formula>60</formula>
      <formula>69.999999</formula>
    </cfRule>
  </conditionalFormatting>
  <conditionalFormatting sqref="Q432">
    <cfRule type="cellIs" dxfId="920" priority="4872" stopIfTrue="1" operator="lessThanOrEqual">
      <formula>50</formula>
    </cfRule>
    <cfRule type="cellIs" dxfId="919" priority="4871" stopIfTrue="1" operator="between">
      <formula>50</formula>
      <formula>59.9999</formula>
    </cfRule>
  </conditionalFormatting>
  <conditionalFormatting sqref="Q433:Q434">
    <cfRule type="cellIs" dxfId="918" priority="2317" stopIfTrue="1" operator="lessThanOrEqual">
      <formula>50</formula>
    </cfRule>
    <cfRule type="cellIs" dxfId="917" priority="2316" stopIfTrue="1" operator="between">
      <formula>50</formula>
      <formula>59.9999</formula>
    </cfRule>
  </conditionalFormatting>
  <conditionalFormatting sqref="Q435">
    <cfRule type="cellIs" dxfId="916" priority="4234" stopIfTrue="1" operator="between">
      <formula>50</formula>
      <formula>59.9999</formula>
    </cfRule>
    <cfRule type="cellIs" dxfId="915" priority="4235" stopIfTrue="1" operator="lessThanOrEqual">
      <formula>50</formula>
    </cfRule>
  </conditionalFormatting>
  <conditionalFormatting sqref="Q436">
    <cfRule type="cellIs" dxfId="914" priority="4971" stopIfTrue="1" operator="lessThanOrEqual">
      <formula>50</formula>
    </cfRule>
    <cfRule type="cellIs" dxfId="913" priority="4970" stopIfTrue="1" operator="between">
      <formula>50</formula>
      <formula>59.9999</formula>
    </cfRule>
  </conditionalFormatting>
  <conditionalFormatting sqref="Q437">
    <cfRule type="cellIs" dxfId="912" priority="4865" stopIfTrue="1" operator="lessThanOrEqual">
      <formula>50</formula>
    </cfRule>
    <cfRule type="cellIs" dxfId="911" priority="4864" stopIfTrue="1" operator="between">
      <formula>50</formula>
      <formula>59.9999</formula>
    </cfRule>
  </conditionalFormatting>
  <conditionalFormatting sqref="Q438">
    <cfRule type="cellIs" dxfId="910" priority="4227" stopIfTrue="1" operator="between">
      <formula>50</formula>
      <formula>59.9999</formula>
    </cfRule>
    <cfRule type="cellIs" dxfId="909" priority="4228" stopIfTrue="1" operator="lessThanOrEqual">
      <formula>50</formula>
    </cfRule>
  </conditionalFormatting>
  <conditionalFormatting sqref="Q439">
    <cfRule type="cellIs" dxfId="908" priority="4221" stopIfTrue="1" operator="lessThanOrEqual">
      <formula>50</formula>
    </cfRule>
    <cfRule type="cellIs" dxfId="907" priority="4220" stopIfTrue="1" operator="between">
      <formula>50</formula>
      <formula>59.9999</formula>
    </cfRule>
  </conditionalFormatting>
  <conditionalFormatting sqref="Q440:Q441">
    <cfRule type="cellIs" dxfId="906" priority="1497" stopIfTrue="1" operator="lessThanOrEqual">
      <formula>50</formula>
    </cfRule>
    <cfRule type="cellIs" dxfId="905" priority="1496" stopIfTrue="1" operator="between">
      <formula>50</formula>
      <formula>59.9999</formula>
    </cfRule>
  </conditionalFormatting>
  <conditionalFormatting sqref="Q442">
    <cfRule type="cellIs" dxfId="904" priority="4213" stopIfTrue="1" operator="between">
      <formula>50</formula>
      <formula>59.9999</formula>
    </cfRule>
    <cfRule type="cellIs" dxfId="903" priority="4214" stopIfTrue="1" operator="lessThanOrEqual">
      <formula>50</formula>
    </cfRule>
  </conditionalFormatting>
  <conditionalFormatting sqref="Q443">
    <cfRule type="cellIs" dxfId="902" priority="4206" stopIfTrue="1" operator="between">
      <formula>50</formula>
      <formula>59.9999</formula>
    </cfRule>
    <cfRule type="cellIs" dxfId="901" priority="4207" stopIfTrue="1" operator="lessThanOrEqual">
      <formula>50</formula>
    </cfRule>
  </conditionalFormatting>
  <conditionalFormatting sqref="Q444">
    <cfRule type="cellIs" dxfId="900" priority="55" stopIfTrue="1" operator="between">
      <formula>50</formula>
      <formula>59.9999</formula>
    </cfRule>
    <cfRule type="cellIs" dxfId="899" priority="56" stopIfTrue="1" operator="lessThanOrEqual">
      <formula>50</formula>
    </cfRule>
  </conditionalFormatting>
  <conditionalFormatting sqref="Q445">
    <cfRule type="cellIs" dxfId="898" priority="4200" stopIfTrue="1" operator="lessThanOrEqual">
      <formula>50</formula>
    </cfRule>
    <cfRule type="cellIs" dxfId="897" priority="4199" stopIfTrue="1" operator="between">
      <formula>50</formula>
      <formula>59.9999</formula>
    </cfRule>
  </conditionalFormatting>
  <conditionalFormatting sqref="Q446">
    <cfRule type="cellIs" dxfId="896" priority="4193" stopIfTrue="1" operator="lessThanOrEqual">
      <formula>50</formula>
    </cfRule>
    <cfRule type="cellIs" dxfId="895" priority="4192" stopIfTrue="1" operator="between">
      <formula>50</formula>
      <formula>59.9999</formula>
    </cfRule>
  </conditionalFormatting>
  <conditionalFormatting sqref="Q447">
    <cfRule type="cellIs" dxfId="894" priority="4959" stopIfTrue="1" operator="between">
      <formula>50</formula>
      <formula>59.9999</formula>
    </cfRule>
    <cfRule type="cellIs" dxfId="893" priority="4960" stopIfTrue="1" operator="lessThanOrEqual">
      <formula>50</formula>
    </cfRule>
  </conditionalFormatting>
  <conditionalFormatting sqref="Q448">
    <cfRule type="cellIs" dxfId="892" priority="4186" stopIfTrue="1" operator="lessThanOrEqual">
      <formula>50</formula>
    </cfRule>
    <cfRule type="cellIs" dxfId="891" priority="4185" stopIfTrue="1" operator="between">
      <formula>50</formula>
      <formula>59.9999</formula>
    </cfRule>
  </conditionalFormatting>
  <conditionalFormatting sqref="Q449">
    <cfRule type="cellIs" dxfId="890" priority="207" stopIfTrue="1" operator="lessThanOrEqual">
      <formula>50</formula>
    </cfRule>
    <cfRule type="cellIs" dxfId="889" priority="206" stopIfTrue="1" operator="between">
      <formula>50</formula>
      <formula>59.9999</formula>
    </cfRule>
  </conditionalFormatting>
  <conditionalFormatting sqref="Q450">
    <cfRule type="cellIs" dxfId="888" priority="199" stopIfTrue="1" operator="between">
      <formula>50</formula>
      <formula>59.9999</formula>
    </cfRule>
    <cfRule type="cellIs" dxfId="887" priority="200" stopIfTrue="1" operator="lessThanOrEqual">
      <formula>50</formula>
    </cfRule>
  </conditionalFormatting>
  <conditionalFormatting sqref="Q451:Q452">
    <cfRule type="cellIs" dxfId="886" priority="1439" stopIfTrue="1" operator="lessThanOrEqual">
      <formula>50</formula>
    </cfRule>
    <cfRule type="cellIs" dxfId="885" priority="1438" stopIfTrue="1" operator="between">
      <formula>50</formula>
      <formula>59.9999</formula>
    </cfRule>
  </conditionalFormatting>
  <conditionalFormatting sqref="Q453:Q455 Q457:Q458">
    <cfRule type="cellIs" dxfId="884" priority="2310" stopIfTrue="1" operator="lessThanOrEqual">
      <formula>50</formula>
    </cfRule>
    <cfRule type="cellIs" dxfId="883" priority="2309" stopIfTrue="1" operator="between">
      <formula>50</formula>
      <formula>59.9999</formula>
    </cfRule>
  </conditionalFormatting>
  <conditionalFormatting sqref="Q456">
    <cfRule type="cellIs" dxfId="882" priority="2303" stopIfTrue="1" operator="lessThanOrEqual">
      <formula>50</formula>
    </cfRule>
    <cfRule type="cellIs" dxfId="881" priority="2302" stopIfTrue="1" operator="between">
      <formula>50</formula>
      <formula>59.9999</formula>
    </cfRule>
  </conditionalFormatting>
  <conditionalFormatting sqref="Q459">
    <cfRule type="cellIs" dxfId="880" priority="4178" stopIfTrue="1" operator="between">
      <formula>50</formula>
      <formula>59.9999</formula>
    </cfRule>
    <cfRule type="cellIs" dxfId="879" priority="4179" stopIfTrue="1" operator="lessThanOrEqual">
      <formula>50</formula>
    </cfRule>
  </conditionalFormatting>
  <conditionalFormatting sqref="Q460">
    <cfRule type="cellIs" dxfId="878" priority="4172" stopIfTrue="1" operator="lessThanOrEqual">
      <formula>50</formula>
    </cfRule>
    <cfRule type="cellIs" dxfId="877" priority="4171" stopIfTrue="1" operator="between">
      <formula>50</formula>
      <formula>59.9999</formula>
    </cfRule>
  </conditionalFormatting>
  <conditionalFormatting sqref="Q461">
    <cfRule type="cellIs" dxfId="876" priority="4165" stopIfTrue="1" operator="lessThanOrEqual">
      <formula>50</formula>
    </cfRule>
    <cfRule type="cellIs" dxfId="875" priority="4164" stopIfTrue="1" operator="between">
      <formula>50</formula>
      <formula>59.9999</formula>
    </cfRule>
  </conditionalFormatting>
  <conditionalFormatting sqref="Q462">
    <cfRule type="cellIs" dxfId="874" priority="4157" stopIfTrue="1" operator="between">
      <formula>50</formula>
      <formula>59.9999</formula>
    </cfRule>
    <cfRule type="cellIs" dxfId="873" priority="4158" stopIfTrue="1" operator="lessThanOrEqual">
      <formula>50</formula>
    </cfRule>
  </conditionalFormatting>
  <conditionalFormatting sqref="Q463">
    <cfRule type="cellIs" dxfId="872" priority="4150" stopIfTrue="1" operator="between">
      <formula>50</formula>
      <formula>59.9999</formula>
    </cfRule>
    <cfRule type="cellIs" dxfId="871" priority="4151" stopIfTrue="1" operator="lessThanOrEqual">
      <formula>50</formula>
    </cfRule>
  </conditionalFormatting>
  <conditionalFormatting sqref="Q464">
    <cfRule type="cellIs" dxfId="870" priority="4143" stopIfTrue="1" operator="between">
      <formula>50</formula>
      <formula>59.9999</formula>
    </cfRule>
    <cfRule type="cellIs" dxfId="869" priority="4144" stopIfTrue="1" operator="lessThanOrEqual">
      <formula>50</formula>
    </cfRule>
  </conditionalFormatting>
  <conditionalFormatting sqref="Q465">
    <cfRule type="cellIs" dxfId="868" priority="4963" stopIfTrue="1" operator="between">
      <formula>50</formula>
      <formula>59.9999</formula>
    </cfRule>
    <cfRule type="cellIs" dxfId="867" priority="4964" stopIfTrue="1" operator="lessThanOrEqual">
      <formula>50</formula>
    </cfRule>
  </conditionalFormatting>
  <conditionalFormatting sqref="Q466">
    <cfRule type="cellIs" dxfId="866" priority="4136" stopIfTrue="1" operator="between">
      <formula>50</formula>
      <formula>59.9999</formula>
    </cfRule>
    <cfRule type="cellIs" dxfId="865" priority="4137" stopIfTrue="1" operator="lessThanOrEqual">
      <formula>50</formula>
    </cfRule>
  </conditionalFormatting>
  <conditionalFormatting sqref="Q467">
    <cfRule type="cellIs" dxfId="864" priority="4129" stopIfTrue="1" operator="between">
      <formula>50</formula>
      <formula>59.9999</formula>
    </cfRule>
    <cfRule type="cellIs" dxfId="863" priority="4130" stopIfTrue="1" operator="lessThanOrEqual">
      <formula>50</formula>
    </cfRule>
  </conditionalFormatting>
  <conditionalFormatting sqref="Q468">
    <cfRule type="cellIs" dxfId="862" priority="4122" stopIfTrue="1" operator="between">
      <formula>50</formula>
      <formula>59.9999</formula>
    </cfRule>
    <cfRule type="cellIs" dxfId="861" priority="4123" stopIfTrue="1" operator="lessThanOrEqual">
      <formula>50</formula>
    </cfRule>
  </conditionalFormatting>
  <conditionalFormatting sqref="Q469">
    <cfRule type="cellIs" dxfId="860" priority="4116" stopIfTrue="1" operator="lessThanOrEqual">
      <formula>50</formula>
    </cfRule>
    <cfRule type="cellIs" dxfId="859" priority="4115" stopIfTrue="1" operator="between">
      <formula>50</formula>
      <formula>59.9999</formula>
    </cfRule>
  </conditionalFormatting>
  <conditionalFormatting sqref="Q470">
    <cfRule type="cellIs" dxfId="858" priority="4109" stopIfTrue="1" operator="lessThanOrEqual">
      <formula>50</formula>
    </cfRule>
    <cfRule type="cellIs" dxfId="857" priority="4108" stopIfTrue="1" operator="between">
      <formula>50</formula>
      <formula>59.9999</formula>
    </cfRule>
  </conditionalFormatting>
  <conditionalFormatting sqref="Q471:Q473 Q475:Q476 Q478">
    <cfRule type="cellIs" dxfId="856" priority="2295" stopIfTrue="1" operator="between">
      <formula>50</formula>
      <formula>59.9999</formula>
    </cfRule>
    <cfRule type="cellIs" dxfId="855" priority="2296" stopIfTrue="1" operator="lessThanOrEqual">
      <formula>50</formula>
    </cfRule>
  </conditionalFormatting>
  <conditionalFormatting sqref="Q474">
    <cfRule type="cellIs" dxfId="854" priority="2289" stopIfTrue="1" operator="lessThanOrEqual">
      <formula>50</formula>
    </cfRule>
    <cfRule type="cellIs" dxfId="853" priority="2288" stopIfTrue="1" operator="between">
      <formula>50</formula>
      <formula>59.9999</formula>
    </cfRule>
  </conditionalFormatting>
  <conditionalFormatting sqref="Q477">
    <cfRule type="cellIs" dxfId="852" priority="2282" stopIfTrue="1" operator="lessThanOrEqual">
      <formula>50</formula>
    </cfRule>
    <cfRule type="cellIs" dxfId="851" priority="2281" stopIfTrue="1" operator="between">
      <formula>50</formula>
      <formula>59.9999</formula>
    </cfRule>
  </conditionalFormatting>
  <conditionalFormatting sqref="Q479">
    <cfRule type="cellIs" dxfId="850" priority="4102" stopIfTrue="1" operator="lessThanOrEqual">
      <formula>50</formula>
    </cfRule>
    <cfRule type="cellIs" dxfId="849" priority="4101" stopIfTrue="1" operator="between">
      <formula>50</formula>
      <formula>59.9999</formula>
    </cfRule>
  </conditionalFormatting>
  <conditionalFormatting sqref="Q480">
    <cfRule type="cellIs" dxfId="848" priority="4095" stopIfTrue="1" operator="lessThanOrEqual">
      <formula>50</formula>
    </cfRule>
    <cfRule type="cellIs" dxfId="847" priority="4094" stopIfTrue="1" operator="between">
      <formula>50</formula>
      <formula>59.9999</formula>
    </cfRule>
  </conditionalFormatting>
  <conditionalFormatting sqref="Q481">
    <cfRule type="cellIs" dxfId="846" priority="4848" stopIfTrue="1" operator="lessThanOrEqual">
      <formula>50</formula>
    </cfRule>
    <cfRule type="cellIs" dxfId="845" priority="4847" stopIfTrue="1" operator="between">
      <formula>50</formula>
      <formula>59.9999</formula>
    </cfRule>
  </conditionalFormatting>
  <conditionalFormatting sqref="Q482">
    <cfRule type="cellIs" dxfId="844" priority="4087" stopIfTrue="1" operator="between">
      <formula>50</formula>
      <formula>59.9999</formula>
    </cfRule>
    <cfRule type="cellIs" dxfId="843" priority="4088" stopIfTrue="1" operator="lessThanOrEqual">
      <formula>50</formula>
    </cfRule>
  </conditionalFormatting>
  <conditionalFormatting sqref="Q484">
    <cfRule type="cellIs" dxfId="842" priority="4081" stopIfTrue="1" operator="lessThanOrEqual">
      <formula>50</formula>
    </cfRule>
    <cfRule type="cellIs" dxfId="841" priority="4080" stopIfTrue="1" operator="between">
      <formula>50</formula>
      <formula>59.9999</formula>
    </cfRule>
  </conditionalFormatting>
  <conditionalFormatting sqref="Q484:Q512">
    <cfRule type="cellIs" dxfId="840" priority="117" stopIfTrue="1" operator="greaterThanOrEqual">
      <formula>70</formula>
    </cfRule>
    <cfRule type="cellIs" dxfId="839" priority="118" stopIfTrue="1" operator="between">
      <formula>60</formula>
      <formula>69.999999</formula>
    </cfRule>
  </conditionalFormatting>
  <conditionalFormatting sqref="Q485">
    <cfRule type="cellIs" dxfId="838" priority="4074" stopIfTrue="1" operator="lessThanOrEqual">
      <formula>50</formula>
    </cfRule>
    <cfRule type="cellIs" dxfId="837" priority="4073" stopIfTrue="1" operator="between">
      <formula>50</formula>
      <formula>59.9999</formula>
    </cfRule>
  </conditionalFormatting>
  <conditionalFormatting sqref="Q486">
    <cfRule type="cellIs" dxfId="836" priority="4948" stopIfTrue="1" operator="lessThanOrEqual">
      <formula>50</formula>
    </cfRule>
    <cfRule type="cellIs" dxfId="835" priority="4947" stopIfTrue="1" operator="between">
      <formula>50</formula>
      <formula>59.9999</formula>
    </cfRule>
  </conditionalFormatting>
  <conditionalFormatting sqref="Q487 Q489">
    <cfRule type="cellIs" dxfId="834" priority="4955" stopIfTrue="1" operator="between">
      <formula>50</formula>
      <formula>59.9999</formula>
    </cfRule>
    <cfRule type="cellIs" dxfId="833" priority="4956" stopIfTrue="1" operator="lessThanOrEqual">
      <formula>50</formula>
    </cfRule>
  </conditionalFormatting>
  <conditionalFormatting sqref="Q488">
    <cfRule type="cellIs" dxfId="832" priority="4066" stopIfTrue="1" operator="between">
      <formula>50</formula>
      <formula>59.9999</formula>
    </cfRule>
    <cfRule type="cellIs" dxfId="831" priority="4067" stopIfTrue="1" operator="lessThanOrEqual">
      <formula>50</formula>
    </cfRule>
  </conditionalFormatting>
  <conditionalFormatting sqref="Q490">
    <cfRule type="cellIs" dxfId="830" priority="4060" stopIfTrue="1" operator="lessThanOrEqual">
      <formula>50</formula>
    </cfRule>
    <cfRule type="cellIs" dxfId="829" priority="4059" stopIfTrue="1" operator="between">
      <formula>50</formula>
      <formula>59.9999</formula>
    </cfRule>
  </conditionalFormatting>
  <conditionalFormatting sqref="Q491">
    <cfRule type="cellIs" dxfId="828" priority="4052" stopIfTrue="1" operator="between">
      <formula>50</formula>
      <formula>59.9999</formula>
    </cfRule>
    <cfRule type="cellIs" dxfId="827" priority="4053" stopIfTrue="1" operator="lessThanOrEqual">
      <formula>50</formula>
    </cfRule>
  </conditionalFormatting>
  <conditionalFormatting sqref="Q492">
    <cfRule type="cellIs" dxfId="826" priority="4046" stopIfTrue="1" operator="lessThanOrEqual">
      <formula>50</formula>
    </cfRule>
    <cfRule type="cellIs" dxfId="825" priority="4045" stopIfTrue="1" operator="between">
      <formula>50</formula>
      <formula>59.9999</formula>
    </cfRule>
  </conditionalFormatting>
  <conditionalFormatting sqref="Q493">
    <cfRule type="cellIs" dxfId="824" priority="4039" stopIfTrue="1" operator="lessThanOrEqual">
      <formula>50</formula>
    </cfRule>
    <cfRule type="cellIs" dxfId="823" priority="4038" stopIfTrue="1" operator="between">
      <formula>50</formula>
      <formula>59.9999</formula>
    </cfRule>
  </conditionalFormatting>
  <conditionalFormatting sqref="Q494">
    <cfRule type="cellIs" dxfId="822" priority="4031" stopIfTrue="1" operator="between">
      <formula>50</formula>
      <formula>59.9999</formula>
    </cfRule>
    <cfRule type="cellIs" dxfId="821" priority="4032" stopIfTrue="1" operator="lessThanOrEqual">
      <formula>50</formula>
    </cfRule>
  </conditionalFormatting>
  <conditionalFormatting sqref="Q495 Q497">
    <cfRule type="cellIs" dxfId="820" priority="4932" stopIfTrue="1" operator="between">
      <formula>50</formula>
      <formula>59.9999</formula>
    </cfRule>
    <cfRule type="cellIs" dxfId="819" priority="4933" stopIfTrue="1" operator="lessThanOrEqual">
      <formula>50</formula>
    </cfRule>
  </conditionalFormatting>
  <conditionalFormatting sqref="Q496">
    <cfRule type="cellIs" dxfId="818" priority="4840" stopIfTrue="1" operator="between">
      <formula>50</formula>
      <formula>59.9999</formula>
    </cfRule>
    <cfRule type="cellIs" dxfId="817" priority="4841" stopIfTrue="1" operator="lessThanOrEqual">
      <formula>50</formula>
    </cfRule>
  </conditionalFormatting>
  <conditionalFormatting sqref="Q498">
    <cfRule type="cellIs" dxfId="816" priority="4834" stopIfTrue="1" operator="lessThanOrEqual">
      <formula>50</formula>
    </cfRule>
    <cfRule type="cellIs" dxfId="815" priority="4833" stopIfTrue="1" operator="between">
      <formula>50</formula>
      <formula>59.9999</formula>
    </cfRule>
  </conditionalFormatting>
  <conditionalFormatting sqref="Q499 Q503 Q501">
    <cfRule type="cellIs" dxfId="814" priority="4944" stopIfTrue="1" operator="lessThanOrEqual">
      <formula>50</formula>
    </cfRule>
    <cfRule type="cellIs" dxfId="813" priority="4943" stopIfTrue="1" operator="between">
      <formula>50</formula>
      <formula>59.9999</formula>
    </cfRule>
  </conditionalFormatting>
  <conditionalFormatting sqref="Q500">
    <cfRule type="cellIs" dxfId="812" priority="4826" stopIfTrue="1" operator="between">
      <formula>50</formula>
      <formula>59.9999</formula>
    </cfRule>
    <cfRule type="cellIs" dxfId="811" priority="4827" stopIfTrue="1" operator="lessThanOrEqual">
      <formula>50</formula>
    </cfRule>
  </conditionalFormatting>
  <conditionalFormatting sqref="Q502">
    <cfRule type="cellIs" dxfId="810" priority="4854" stopIfTrue="1" operator="between">
      <formula>50</formula>
      <formula>59.9999</formula>
    </cfRule>
    <cfRule type="cellIs" dxfId="809" priority="4855" stopIfTrue="1" operator="lessThanOrEqual">
      <formula>50</formula>
    </cfRule>
  </conditionalFormatting>
  <conditionalFormatting sqref="Q504">
    <cfRule type="cellIs" dxfId="808" priority="4819" stopIfTrue="1" operator="between">
      <formula>50</formula>
      <formula>59.9999</formula>
    </cfRule>
    <cfRule type="cellIs" dxfId="807" priority="4820" stopIfTrue="1" operator="lessThanOrEqual">
      <formula>50</formula>
    </cfRule>
  </conditionalFormatting>
  <conditionalFormatting sqref="Q505">
    <cfRule type="cellIs" dxfId="806" priority="127" stopIfTrue="1" operator="lessThanOrEqual">
      <formula>50</formula>
    </cfRule>
    <cfRule type="cellIs" dxfId="805" priority="126" stopIfTrue="1" operator="between">
      <formula>50</formula>
      <formula>59.9999</formula>
    </cfRule>
  </conditionalFormatting>
  <conditionalFormatting sqref="Q506">
    <cfRule type="cellIs" dxfId="804" priority="120" stopIfTrue="1" operator="lessThanOrEqual">
      <formula>50</formula>
    </cfRule>
    <cfRule type="cellIs" dxfId="803" priority="119" stopIfTrue="1" operator="between">
      <formula>50</formula>
      <formula>59.9999</formula>
    </cfRule>
  </conditionalFormatting>
  <conditionalFormatting sqref="Q507">
    <cfRule type="cellIs" dxfId="802" priority="1346" stopIfTrue="1" operator="between">
      <formula>50</formula>
      <formula>59.9999</formula>
    </cfRule>
    <cfRule type="cellIs" dxfId="801" priority="1347" stopIfTrue="1" operator="lessThanOrEqual">
      <formula>50</formula>
    </cfRule>
  </conditionalFormatting>
  <conditionalFormatting sqref="Q508">
    <cfRule type="cellIs" dxfId="800" priority="1339" stopIfTrue="1" operator="between">
      <formula>50</formula>
      <formula>59.9999</formula>
    </cfRule>
    <cfRule type="cellIs" dxfId="799" priority="1340" stopIfTrue="1" operator="lessThanOrEqual">
      <formula>50</formula>
    </cfRule>
  </conditionalFormatting>
  <conditionalFormatting sqref="Q509:Q510">
    <cfRule type="cellIs" dxfId="798" priority="559" stopIfTrue="1" operator="between">
      <formula>50</formula>
      <formula>59.9999</formula>
    </cfRule>
    <cfRule type="cellIs" dxfId="797" priority="560" stopIfTrue="1" operator="lessThanOrEqual">
      <formula>50</formula>
    </cfRule>
  </conditionalFormatting>
  <conditionalFormatting sqref="Q511">
    <cfRule type="cellIs" dxfId="796" priority="4024" stopIfTrue="1" operator="between">
      <formula>50</formula>
      <formula>59.9999</formula>
    </cfRule>
    <cfRule type="cellIs" dxfId="795" priority="4025" stopIfTrue="1" operator="lessThanOrEqual">
      <formula>50</formula>
    </cfRule>
  </conditionalFormatting>
  <conditionalFormatting sqref="Q512">
    <cfRule type="cellIs" dxfId="794" priority="4018" stopIfTrue="1" operator="lessThanOrEqual">
      <formula>50</formula>
    </cfRule>
    <cfRule type="cellIs" dxfId="793" priority="4017" stopIfTrue="1" operator="between">
      <formula>50</formula>
      <formula>59.9999</formula>
    </cfRule>
  </conditionalFormatting>
  <conditionalFormatting sqref="Q514">
    <cfRule type="cellIs" dxfId="792" priority="4011" stopIfTrue="1" operator="lessThanOrEqual">
      <formula>50</formula>
    </cfRule>
    <cfRule type="cellIs" dxfId="791" priority="4010" stopIfTrue="1" operator="between">
      <formula>50</formula>
      <formula>59.9999</formula>
    </cfRule>
  </conditionalFormatting>
  <conditionalFormatting sqref="Q514:Q568">
    <cfRule type="cellIs" dxfId="790" priority="418" stopIfTrue="1" operator="greaterThanOrEqual">
      <formula>70</formula>
    </cfRule>
    <cfRule type="cellIs" dxfId="789" priority="419" stopIfTrue="1" operator="between">
      <formula>60</formula>
      <formula>69.999999</formula>
    </cfRule>
  </conditionalFormatting>
  <conditionalFormatting sqref="Q515">
    <cfRule type="cellIs" dxfId="788" priority="4003" stopIfTrue="1" operator="between">
      <formula>50</formula>
      <formula>59.9999</formula>
    </cfRule>
    <cfRule type="cellIs" dxfId="787" priority="4004" stopIfTrue="1" operator="lessThanOrEqual">
      <formula>50</formula>
    </cfRule>
  </conditionalFormatting>
  <conditionalFormatting sqref="Q516:Q519">
    <cfRule type="cellIs" dxfId="786" priority="3997" stopIfTrue="1" operator="lessThanOrEqual">
      <formula>50</formula>
    </cfRule>
    <cfRule type="cellIs" dxfId="785" priority="3996" stopIfTrue="1" operator="between">
      <formula>50</formula>
      <formula>59.9999</formula>
    </cfRule>
  </conditionalFormatting>
  <conditionalFormatting sqref="Q520">
    <cfRule type="cellIs" dxfId="784" priority="3989" stopIfTrue="1" operator="between">
      <formula>50</formula>
      <formula>59.9999</formula>
    </cfRule>
    <cfRule type="cellIs" dxfId="783" priority="3990" stopIfTrue="1" operator="lessThanOrEqual">
      <formula>50</formula>
    </cfRule>
  </conditionalFormatting>
  <conditionalFormatting sqref="Q521">
    <cfRule type="cellIs" dxfId="782" priority="3983" stopIfTrue="1" operator="lessThanOrEqual">
      <formula>50</formula>
    </cfRule>
    <cfRule type="cellIs" dxfId="781" priority="3982" stopIfTrue="1" operator="between">
      <formula>50</formula>
      <formula>59.9999</formula>
    </cfRule>
  </conditionalFormatting>
  <conditionalFormatting sqref="Q522">
    <cfRule type="cellIs" dxfId="780" priority="4951" stopIfTrue="1" operator="between">
      <formula>50</formula>
      <formula>59.9999</formula>
    </cfRule>
    <cfRule type="cellIs" dxfId="779" priority="4952" stopIfTrue="1" operator="lessThanOrEqual">
      <formula>50</formula>
    </cfRule>
  </conditionalFormatting>
  <conditionalFormatting sqref="Q523">
    <cfRule type="cellIs" dxfId="778" priority="4813" stopIfTrue="1" operator="lessThanOrEqual">
      <formula>50</formula>
    </cfRule>
    <cfRule type="cellIs" dxfId="777" priority="4812" stopIfTrue="1" operator="between">
      <formula>50</formula>
      <formula>59.9999</formula>
    </cfRule>
  </conditionalFormatting>
  <conditionalFormatting sqref="Q524 Q533">
    <cfRule type="cellIs" dxfId="776" priority="4928" stopIfTrue="1" operator="between">
      <formula>50</formula>
      <formula>59.9999</formula>
    </cfRule>
    <cfRule type="cellIs" dxfId="775" priority="4929" stopIfTrue="1" operator="lessThanOrEqual">
      <formula>50</formula>
    </cfRule>
  </conditionalFormatting>
  <conditionalFormatting sqref="Q525">
    <cfRule type="cellIs" dxfId="774" priority="4805" stopIfTrue="1" operator="between">
      <formula>50</formula>
      <formula>59.9999</formula>
    </cfRule>
    <cfRule type="cellIs" dxfId="773" priority="4806" stopIfTrue="1" operator="lessThanOrEqual">
      <formula>50</formula>
    </cfRule>
  </conditionalFormatting>
  <conditionalFormatting sqref="Q526">
    <cfRule type="cellIs" dxfId="772" priority="1152" stopIfTrue="1" operator="lessThanOrEqual">
      <formula>50</formula>
    </cfRule>
    <cfRule type="cellIs" dxfId="771" priority="1151" stopIfTrue="1" operator="between">
      <formula>50</formula>
      <formula>59.9999</formula>
    </cfRule>
  </conditionalFormatting>
  <conditionalFormatting sqref="Q527">
    <cfRule type="cellIs" dxfId="770" priority="1145" stopIfTrue="1" operator="lessThanOrEqual">
      <formula>50</formula>
    </cfRule>
    <cfRule type="cellIs" dxfId="769" priority="1144" stopIfTrue="1" operator="between">
      <formula>50</formula>
      <formula>59.9999</formula>
    </cfRule>
  </conditionalFormatting>
  <conditionalFormatting sqref="Q528:Q529">
    <cfRule type="cellIs" dxfId="768" priority="1118" stopIfTrue="1" operator="between">
      <formula>50</formula>
      <formula>59.9999</formula>
    </cfRule>
    <cfRule type="cellIs" dxfId="767" priority="1119" stopIfTrue="1" operator="lessThanOrEqual">
      <formula>50</formula>
    </cfRule>
  </conditionalFormatting>
  <conditionalFormatting sqref="Q530:Q531">
    <cfRule type="cellIs" dxfId="766" priority="1136" stopIfTrue="1" operator="between">
      <formula>50</formula>
      <formula>59.9999</formula>
    </cfRule>
    <cfRule type="cellIs" dxfId="765" priority="1137" stopIfTrue="1" operator="lessThanOrEqual">
      <formula>50</formula>
    </cfRule>
  </conditionalFormatting>
  <conditionalFormatting sqref="Q532">
    <cfRule type="cellIs" dxfId="764" priority="1129" stopIfTrue="1" operator="between">
      <formula>50</formula>
      <formula>59.9999</formula>
    </cfRule>
    <cfRule type="cellIs" dxfId="763" priority="1130" stopIfTrue="1" operator="lessThanOrEqual">
      <formula>50</formula>
    </cfRule>
  </conditionalFormatting>
  <conditionalFormatting sqref="Q534">
    <cfRule type="cellIs" dxfId="762" priority="3975" stopIfTrue="1" operator="between">
      <formula>50</formula>
      <formula>59.9999</formula>
    </cfRule>
    <cfRule type="cellIs" dxfId="761" priority="3976" stopIfTrue="1" operator="lessThanOrEqual">
      <formula>50</formula>
    </cfRule>
  </conditionalFormatting>
  <conditionalFormatting sqref="Q535:Q536">
    <cfRule type="cellIs" dxfId="760" priority="886" stopIfTrue="1" operator="between">
      <formula>50</formula>
      <formula>59.9999</formula>
    </cfRule>
    <cfRule type="cellIs" dxfId="759" priority="887" stopIfTrue="1" operator="lessThanOrEqual">
      <formula>50</formula>
    </cfRule>
  </conditionalFormatting>
  <conditionalFormatting sqref="Q537">
    <cfRule type="cellIs" dxfId="758" priority="879" stopIfTrue="1" operator="between">
      <formula>50</formula>
      <formula>59.9999</formula>
    </cfRule>
    <cfRule type="cellIs" dxfId="757" priority="880" stopIfTrue="1" operator="lessThanOrEqual">
      <formula>50</formula>
    </cfRule>
  </conditionalFormatting>
  <conditionalFormatting sqref="Q538">
    <cfRule type="cellIs" dxfId="756" priority="3968" stopIfTrue="1" operator="between">
      <formula>50</formula>
      <formula>59.9999</formula>
    </cfRule>
    <cfRule type="cellIs" dxfId="755" priority="3969" stopIfTrue="1" operator="lessThanOrEqual">
      <formula>50</formula>
    </cfRule>
  </conditionalFormatting>
  <conditionalFormatting sqref="Q539">
    <cfRule type="cellIs" dxfId="754" priority="3961" stopIfTrue="1" operator="between">
      <formula>50</formula>
      <formula>59.9999</formula>
    </cfRule>
    <cfRule type="cellIs" dxfId="753" priority="3962" stopIfTrue="1" operator="lessThanOrEqual">
      <formula>50</formula>
    </cfRule>
  </conditionalFormatting>
  <conditionalFormatting sqref="Q540:Q541">
    <cfRule type="cellIs" dxfId="752" priority="4924" stopIfTrue="1" operator="between">
      <formula>50</formula>
      <formula>59.9999</formula>
    </cfRule>
    <cfRule type="cellIs" dxfId="751" priority="4925" stopIfTrue="1" operator="lessThanOrEqual">
      <formula>50</formula>
    </cfRule>
  </conditionalFormatting>
  <conditionalFormatting sqref="Q542:Q545">
    <cfRule type="cellIs" dxfId="750" priority="2274" stopIfTrue="1" operator="between">
      <formula>50</formula>
      <formula>59.9999</formula>
    </cfRule>
    <cfRule type="cellIs" dxfId="749" priority="2275" stopIfTrue="1" operator="lessThanOrEqual">
      <formula>50</formula>
    </cfRule>
  </conditionalFormatting>
  <conditionalFormatting sqref="Q546">
    <cfRule type="cellIs" dxfId="748" priority="3954" stopIfTrue="1" operator="between">
      <formula>50</formula>
      <formula>59.9999</formula>
    </cfRule>
    <cfRule type="cellIs" dxfId="747" priority="3955" stopIfTrue="1" operator="lessThanOrEqual">
      <formula>50</formula>
    </cfRule>
  </conditionalFormatting>
  <conditionalFormatting sqref="Q547">
    <cfRule type="cellIs" dxfId="746" priority="3407" stopIfTrue="1" operator="lessThanOrEqual">
      <formula>50</formula>
    </cfRule>
    <cfRule type="cellIs" dxfId="745" priority="3406" stopIfTrue="1" operator="between">
      <formula>50</formula>
      <formula>59.9999</formula>
    </cfRule>
  </conditionalFormatting>
  <conditionalFormatting sqref="Q548">
    <cfRule type="cellIs" dxfId="744" priority="818" stopIfTrue="1" operator="between">
      <formula>50</formula>
      <formula>59.9999</formula>
    </cfRule>
    <cfRule type="cellIs" dxfId="743" priority="819" stopIfTrue="1" operator="lessThanOrEqual">
      <formula>50</formula>
    </cfRule>
  </conditionalFormatting>
  <conditionalFormatting sqref="Q549">
    <cfRule type="cellIs" dxfId="742" priority="811" stopIfTrue="1" operator="between">
      <formula>50</formula>
      <formula>59.9999</formula>
    </cfRule>
    <cfRule type="cellIs" dxfId="741" priority="812" stopIfTrue="1" operator="lessThanOrEqual">
      <formula>50</formula>
    </cfRule>
  </conditionalFormatting>
  <conditionalFormatting sqref="Q550">
    <cfRule type="cellIs" dxfId="740" priority="3947" stopIfTrue="1" operator="between">
      <formula>50</formula>
      <formula>59.9999</formula>
    </cfRule>
    <cfRule type="cellIs" dxfId="739" priority="3948" stopIfTrue="1" operator="lessThanOrEqual">
      <formula>50</formula>
    </cfRule>
  </conditionalFormatting>
  <conditionalFormatting sqref="Q551">
    <cfRule type="cellIs" dxfId="738" priority="3400" stopIfTrue="1" operator="lessThanOrEqual">
      <formula>50</formula>
    </cfRule>
    <cfRule type="cellIs" dxfId="737" priority="3399" stopIfTrue="1" operator="between">
      <formula>50</formula>
      <formula>59.9999</formula>
    </cfRule>
  </conditionalFormatting>
  <conditionalFormatting sqref="Q552">
    <cfRule type="cellIs" dxfId="736" priority="4940" stopIfTrue="1" operator="lessThanOrEqual">
      <formula>50</formula>
    </cfRule>
    <cfRule type="cellIs" dxfId="735" priority="4939" stopIfTrue="1" operator="between">
      <formula>50</formula>
      <formula>59.9999</formula>
    </cfRule>
  </conditionalFormatting>
  <conditionalFormatting sqref="Q553">
    <cfRule type="cellIs" dxfId="734" priority="3941" stopIfTrue="1" operator="lessThanOrEqual">
      <formula>50</formula>
    </cfRule>
    <cfRule type="cellIs" dxfId="733" priority="3940" stopIfTrue="1" operator="between">
      <formula>50</formula>
      <formula>59.9999</formula>
    </cfRule>
  </conditionalFormatting>
  <conditionalFormatting sqref="Q554:Q555">
    <cfRule type="cellIs" dxfId="732" priority="711" stopIfTrue="1" operator="between">
      <formula>50</formula>
      <formula>59.9999</formula>
    </cfRule>
    <cfRule type="cellIs" dxfId="731" priority="712" stopIfTrue="1" operator="lessThanOrEqual">
      <formula>50</formula>
    </cfRule>
  </conditionalFormatting>
  <conditionalFormatting sqref="Q556:Q557">
    <cfRule type="cellIs" dxfId="730" priority="700" stopIfTrue="1" operator="between">
      <formula>50</formula>
      <formula>59.9999</formula>
    </cfRule>
    <cfRule type="cellIs" dxfId="729" priority="701" stopIfTrue="1" operator="lessThanOrEqual">
      <formula>50</formula>
    </cfRule>
  </conditionalFormatting>
  <conditionalFormatting sqref="Q558:Q559">
    <cfRule type="cellIs" dxfId="728" priority="690" stopIfTrue="1" operator="lessThanOrEqual">
      <formula>50</formula>
    </cfRule>
    <cfRule type="cellIs" dxfId="727" priority="689" stopIfTrue="1" operator="between">
      <formula>50</formula>
      <formula>59.9999</formula>
    </cfRule>
  </conditionalFormatting>
  <conditionalFormatting sqref="Q560:Q561">
    <cfRule type="cellIs" dxfId="726" priority="444" stopIfTrue="1" operator="between">
      <formula>50</formula>
      <formula>59.9999</formula>
    </cfRule>
    <cfRule type="cellIs" dxfId="725" priority="445" stopIfTrue="1" operator="lessThanOrEqual">
      <formula>50</formula>
    </cfRule>
  </conditionalFormatting>
  <conditionalFormatting sqref="Q562:Q563">
    <cfRule type="cellIs" dxfId="724" priority="436" stopIfTrue="1" operator="between">
      <formula>50</formula>
      <formula>59.9999</formula>
    </cfRule>
    <cfRule type="cellIs" dxfId="723" priority="437" stopIfTrue="1" operator="lessThanOrEqual">
      <formula>50</formula>
    </cfRule>
  </conditionalFormatting>
  <conditionalFormatting sqref="Q564:Q565">
    <cfRule type="cellIs" dxfId="722" priority="428" stopIfTrue="1" operator="between">
      <formula>50</formula>
      <formula>59.9999</formula>
    </cfRule>
    <cfRule type="cellIs" dxfId="721" priority="429" stopIfTrue="1" operator="lessThanOrEqual">
      <formula>50</formula>
    </cfRule>
  </conditionalFormatting>
  <conditionalFormatting sqref="Q566:Q567">
    <cfRule type="cellIs" dxfId="720" priority="420" stopIfTrue="1" operator="between">
      <formula>50</formula>
      <formula>59.9999</formula>
    </cfRule>
    <cfRule type="cellIs" dxfId="719" priority="421" stopIfTrue="1" operator="lessThanOrEqual">
      <formula>50</formula>
    </cfRule>
  </conditionalFormatting>
  <conditionalFormatting sqref="Q568">
    <cfRule type="cellIs" dxfId="718" priority="3933" stopIfTrue="1" operator="between">
      <formula>50</formula>
      <formula>59.9999</formula>
    </cfRule>
    <cfRule type="cellIs" dxfId="717" priority="3934" stopIfTrue="1" operator="lessThanOrEqual">
      <formula>50</formula>
    </cfRule>
  </conditionalFormatting>
  <conditionalFormatting sqref="Q571">
    <cfRule type="cellIs" dxfId="716" priority="3286" stopIfTrue="1" operator="between">
      <formula>50</formula>
      <formula>59.9999</formula>
    </cfRule>
    <cfRule type="cellIs" dxfId="715" priority="3287" stopIfTrue="1" operator="lessThanOrEqual">
      <formula>50</formula>
    </cfRule>
  </conditionalFormatting>
  <conditionalFormatting sqref="Q571:Q601">
    <cfRule type="cellIs" dxfId="714" priority="582" stopIfTrue="1" operator="greaterThanOrEqual">
      <formula>70</formula>
    </cfRule>
    <cfRule type="cellIs" dxfId="713" priority="583" stopIfTrue="1" operator="between">
      <formula>60</formula>
      <formula>69.999999</formula>
    </cfRule>
  </conditionalFormatting>
  <conditionalFormatting sqref="Q572">
    <cfRule type="cellIs" dxfId="712" priority="3279" stopIfTrue="1" operator="between">
      <formula>50</formula>
      <formula>59.9999</formula>
    </cfRule>
    <cfRule type="cellIs" dxfId="711" priority="3280" stopIfTrue="1" operator="lessThanOrEqual">
      <formula>50</formula>
    </cfRule>
  </conditionalFormatting>
  <conditionalFormatting sqref="Q573:Q574">
    <cfRule type="cellIs" dxfId="710" priority="585" stopIfTrue="1" operator="lessThanOrEqual">
      <formula>50</formula>
    </cfRule>
    <cfRule type="cellIs" dxfId="709" priority="584" stopIfTrue="1" operator="between">
      <formula>50</formula>
      <formula>59.9999</formula>
    </cfRule>
  </conditionalFormatting>
  <conditionalFormatting sqref="Q575">
    <cfRule type="cellIs" dxfId="708" priority="3206" stopIfTrue="1" operator="between">
      <formula>50</formula>
      <formula>59.9999</formula>
    </cfRule>
    <cfRule type="cellIs" dxfId="707" priority="3207" stopIfTrue="1" operator="lessThanOrEqual">
      <formula>50</formula>
    </cfRule>
  </conditionalFormatting>
  <conditionalFormatting sqref="Q576">
    <cfRule type="cellIs" dxfId="706" priority="3379" stopIfTrue="1" operator="lessThanOrEqual">
      <formula>50</formula>
    </cfRule>
    <cfRule type="cellIs" dxfId="705" priority="3378" stopIfTrue="1" operator="between">
      <formula>50</formula>
      <formula>59.9999</formula>
    </cfRule>
  </conditionalFormatting>
  <conditionalFormatting sqref="Q577">
    <cfRule type="cellIs" dxfId="704" priority="3272" stopIfTrue="1" operator="between">
      <formula>50</formula>
      <formula>59.9999</formula>
    </cfRule>
    <cfRule type="cellIs" dxfId="703" priority="3273" stopIfTrue="1" operator="lessThanOrEqual">
      <formula>50</formula>
    </cfRule>
  </conditionalFormatting>
  <conditionalFormatting sqref="Q578">
    <cfRule type="cellIs" dxfId="702" priority="3200" stopIfTrue="1" operator="lessThanOrEqual">
      <formula>50</formula>
    </cfRule>
    <cfRule type="cellIs" dxfId="701" priority="3199" stopIfTrue="1" operator="between">
      <formula>50</formula>
      <formula>59.9999</formula>
    </cfRule>
  </conditionalFormatting>
  <conditionalFormatting sqref="Q579">
    <cfRule type="cellIs" dxfId="700" priority="3193" stopIfTrue="1" operator="lessThanOrEqual">
      <formula>50</formula>
    </cfRule>
    <cfRule type="cellIs" dxfId="699" priority="3192" stopIfTrue="1" operator="between">
      <formula>50</formula>
      <formula>59.9999</formula>
    </cfRule>
  </conditionalFormatting>
  <conditionalFormatting sqref="Q580">
    <cfRule type="cellIs" dxfId="698" priority="3186" stopIfTrue="1" operator="lessThanOrEqual">
      <formula>50</formula>
    </cfRule>
    <cfRule type="cellIs" dxfId="697" priority="3185" stopIfTrue="1" operator="between">
      <formula>50</formula>
      <formula>59.9999</formula>
    </cfRule>
  </conditionalFormatting>
  <conditionalFormatting sqref="Q581">
    <cfRule type="cellIs" dxfId="696" priority="3178" stopIfTrue="1" operator="between">
      <formula>50</formula>
      <formula>59.9999</formula>
    </cfRule>
    <cfRule type="cellIs" dxfId="695" priority="3179" stopIfTrue="1" operator="lessThanOrEqual">
      <formula>50</formula>
    </cfRule>
  </conditionalFormatting>
  <conditionalFormatting sqref="Q582">
    <cfRule type="cellIs" dxfId="694" priority="3171" stopIfTrue="1" operator="between">
      <formula>50</formula>
      <formula>59.9999</formula>
    </cfRule>
    <cfRule type="cellIs" dxfId="693" priority="3172" stopIfTrue="1" operator="lessThanOrEqual">
      <formula>50</formula>
    </cfRule>
  </conditionalFormatting>
  <conditionalFormatting sqref="Q583">
    <cfRule type="cellIs" dxfId="692" priority="3165" stopIfTrue="1" operator="lessThanOrEqual">
      <formula>50</formula>
    </cfRule>
    <cfRule type="cellIs" dxfId="691" priority="3164" stopIfTrue="1" operator="between">
      <formula>50</formula>
      <formula>59.9999</formula>
    </cfRule>
  </conditionalFormatting>
  <conditionalFormatting sqref="Q584">
    <cfRule type="cellIs" dxfId="690" priority="3367" stopIfTrue="1" operator="between">
      <formula>50</formula>
      <formula>59.9999</formula>
    </cfRule>
    <cfRule type="cellIs" dxfId="689" priority="3368" stopIfTrue="1" operator="lessThanOrEqual">
      <formula>50</formula>
    </cfRule>
  </conditionalFormatting>
  <conditionalFormatting sqref="Q585">
    <cfRule type="cellIs" dxfId="688" priority="3158" stopIfTrue="1" operator="lessThanOrEqual">
      <formula>50</formula>
    </cfRule>
    <cfRule type="cellIs" dxfId="687" priority="3157" stopIfTrue="1" operator="between">
      <formula>50</formula>
      <formula>59.9999</formula>
    </cfRule>
  </conditionalFormatting>
  <conditionalFormatting sqref="Q586">
    <cfRule type="cellIs" dxfId="686" priority="3151" stopIfTrue="1" operator="lessThanOrEqual">
      <formula>50</formula>
    </cfRule>
    <cfRule type="cellIs" dxfId="685" priority="3150" stopIfTrue="1" operator="between">
      <formula>50</formula>
      <formula>59.9999</formula>
    </cfRule>
  </conditionalFormatting>
  <conditionalFormatting sqref="Q587">
    <cfRule type="cellIs" dxfId="684" priority="3143" stopIfTrue="1" operator="between">
      <formula>50</formula>
      <formula>59.9999</formula>
    </cfRule>
    <cfRule type="cellIs" dxfId="683" priority="3144" stopIfTrue="1" operator="lessThanOrEqual">
      <formula>50</formula>
    </cfRule>
  </conditionalFormatting>
  <conditionalFormatting sqref="Q588">
    <cfRule type="cellIs" dxfId="682" priority="3136" stopIfTrue="1" operator="between">
      <formula>50</formula>
      <formula>59.9999</formula>
    </cfRule>
    <cfRule type="cellIs" dxfId="681" priority="3137" stopIfTrue="1" operator="lessThanOrEqual">
      <formula>50</formula>
    </cfRule>
  </conditionalFormatting>
  <conditionalFormatting sqref="Q589">
    <cfRule type="cellIs" dxfId="680" priority="3130" stopIfTrue="1" operator="lessThanOrEqual">
      <formula>50</formula>
    </cfRule>
    <cfRule type="cellIs" dxfId="679" priority="3129" stopIfTrue="1" operator="between">
      <formula>50</formula>
      <formula>59.9999</formula>
    </cfRule>
  </conditionalFormatting>
  <conditionalFormatting sqref="Q590">
    <cfRule type="cellIs" dxfId="678" priority="3122" stopIfTrue="1" operator="between">
      <formula>50</formula>
      <formula>59.9999</formula>
    </cfRule>
    <cfRule type="cellIs" dxfId="677" priority="3123" stopIfTrue="1" operator="lessThanOrEqual">
      <formula>50</formula>
    </cfRule>
  </conditionalFormatting>
  <conditionalFormatting sqref="Q591">
    <cfRule type="cellIs" dxfId="676" priority="3116" stopIfTrue="1" operator="lessThanOrEqual">
      <formula>50</formula>
    </cfRule>
    <cfRule type="cellIs" dxfId="675" priority="3115" stopIfTrue="1" operator="between">
      <formula>50</formula>
      <formula>59.9999</formula>
    </cfRule>
  </conditionalFormatting>
  <conditionalFormatting sqref="Q592">
    <cfRule type="cellIs" dxfId="674" priority="3372" stopIfTrue="1" operator="lessThanOrEqual">
      <formula>50</formula>
    </cfRule>
    <cfRule type="cellIs" dxfId="673" priority="3371" stopIfTrue="1" operator="between">
      <formula>50</formula>
      <formula>59.9999</formula>
    </cfRule>
  </conditionalFormatting>
  <conditionalFormatting sqref="Q593">
    <cfRule type="cellIs" dxfId="672" priority="3109" stopIfTrue="1" operator="lessThanOrEqual">
      <formula>50</formula>
    </cfRule>
    <cfRule type="cellIs" dxfId="671" priority="3108" stopIfTrue="1" operator="between">
      <formula>50</formula>
      <formula>59.9999</formula>
    </cfRule>
  </conditionalFormatting>
  <conditionalFormatting sqref="Q594">
    <cfRule type="cellIs" dxfId="670" priority="3101" stopIfTrue="1" operator="between">
      <formula>50</formula>
      <formula>59.9999</formula>
    </cfRule>
    <cfRule type="cellIs" dxfId="669" priority="3102" stopIfTrue="1" operator="lessThanOrEqual">
      <formula>50</formula>
    </cfRule>
  </conditionalFormatting>
  <conditionalFormatting sqref="Q595">
    <cfRule type="cellIs" dxfId="668" priority="3095" stopIfTrue="1" operator="lessThanOrEqual">
      <formula>50</formula>
    </cfRule>
    <cfRule type="cellIs" dxfId="667" priority="3094" stopIfTrue="1" operator="between">
      <formula>50</formula>
      <formula>59.9999</formula>
    </cfRule>
  </conditionalFormatting>
  <conditionalFormatting sqref="Q596">
    <cfRule type="cellIs" dxfId="666" priority="3087" stopIfTrue="1" operator="between">
      <formula>50</formula>
      <formula>59.9999</formula>
    </cfRule>
    <cfRule type="cellIs" dxfId="665" priority="3088" stopIfTrue="1" operator="lessThanOrEqual">
      <formula>50</formula>
    </cfRule>
  </conditionalFormatting>
  <conditionalFormatting sqref="Q597">
    <cfRule type="cellIs" dxfId="664" priority="3081" stopIfTrue="1" operator="lessThanOrEqual">
      <formula>50</formula>
    </cfRule>
    <cfRule type="cellIs" dxfId="663" priority="3080" stopIfTrue="1" operator="between">
      <formula>50</formula>
      <formula>59.9999</formula>
    </cfRule>
  </conditionalFormatting>
  <conditionalFormatting sqref="Q598">
    <cfRule type="cellIs" dxfId="662" priority="3074" stopIfTrue="1" operator="lessThanOrEqual">
      <formula>50</formula>
    </cfRule>
    <cfRule type="cellIs" dxfId="661" priority="3073" stopIfTrue="1" operator="between">
      <formula>50</formula>
      <formula>59.9999</formula>
    </cfRule>
  </conditionalFormatting>
  <conditionalFormatting sqref="Q599">
    <cfRule type="cellIs" dxfId="660" priority="3067" stopIfTrue="1" operator="lessThanOrEqual">
      <formula>50</formula>
    </cfRule>
    <cfRule type="cellIs" dxfId="659" priority="3066" stopIfTrue="1" operator="between">
      <formula>50</formula>
      <formula>59.9999</formula>
    </cfRule>
  </conditionalFormatting>
  <conditionalFormatting sqref="Q600">
    <cfRule type="cellIs" dxfId="658" priority="3255" stopIfTrue="1" operator="between">
      <formula>50</formula>
      <formula>59.9999</formula>
    </cfRule>
    <cfRule type="cellIs" dxfId="657" priority="3256" stopIfTrue="1" operator="lessThanOrEqual">
      <formula>50</formula>
    </cfRule>
  </conditionalFormatting>
  <conditionalFormatting sqref="Q601">
    <cfRule type="cellIs" dxfId="656" priority="3059" stopIfTrue="1" operator="between">
      <formula>50</formula>
      <formula>59.9999</formula>
    </cfRule>
    <cfRule type="cellIs" dxfId="655" priority="3060" stopIfTrue="1" operator="lessThanOrEqual">
      <formula>50</formula>
    </cfRule>
  </conditionalFormatting>
  <conditionalFormatting sqref="Q603">
    <cfRule type="cellIs" dxfId="654" priority="3052" stopIfTrue="1" operator="between">
      <formula>50</formula>
      <formula>59.9999</formula>
    </cfRule>
    <cfRule type="cellIs" dxfId="653" priority="3053" stopIfTrue="1" operator="lessThanOrEqual">
      <formula>50</formula>
    </cfRule>
  </conditionalFormatting>
  <conditionalFormatting sqref="Q603:Q625">
    <cfRule type="cellIs" dxfId="652" priority="2987" stopIfTrue="1" operator="greaterThanOrEqual">
      <formula>70</formula>
    </cfRule>
    <cfRule type="cellIs" dxfId="651" priority="2988" stopIfTrue="1" operator="between">
      <formula>60</formula>
      <formula>69.999999</formula>
    </cfRule>
  </conditionalFormatting>
  <conditionalFormatting sqref="Q604">
    <cfRule type="cellIs" dxfId="650" priority="3045" stopIfTrue="1" operator="between">
      <formula>50</formula>
      <formula>59.9999</formula>
    </cfRule>
    <cfRule type="cellIs" dxfId="649" priority="3046" stopIfTrue="1" operator="lessThanOrEqual">
      <formula>50</formula>
    </cfRule>
  </conditionalFormatting>
  <conditionalFormatting sqref="Q605">
    <cfRule type="cellIs" dxfId="648" priority="3355" stopIfTrue="1" operator="between">
      <formula>50</formula>
      <formula>59.9999</formula>
    </cfRule>
    <cfRule type="cellIs" dxfId="647" priority="3356" stopIfTrue="1" operator="lessThanOrEqual">
      <formula>50</formula>
    </cfRule>
  </conditionalFormatting>
  <conditionalFormatting sqref="Q606 Q608">
    <cfRule type="cellIs" dxfId="646" priority="3363" stopIfTrue="1" operator="between">
      <formula>50</formula>
      <formula>59.9999</formula>
    </cfRule>
    <cfRule type="cellIs" dxfId="645" priority="3364" stopIfTrue="1" operator="lessThanOrEqual">
      <formula>50</formula>
    </cfRule>
  </conditionalFormatting>
  <conditionalFormatting sqref="Q607">
    <cfRule type="cellIs" dxfId="644" priority="3039" stopIfTrue="1" operator="lessThanOrEqual">
      <formula>50</formula>
    </cfRule>
    <cfRule type="cellIs" dxfId="643" priority="3038" stopIfTrue="1" operator="between">
      <formula>50</formula>
      <formula>59.9999</formula>
    </cfRule>
  </conditionalFormatting>
  <conditionalFormatting sqref="Q609">
    <cfRule type="cellIs" dxfId="642" priority="3032" stopIfTrue="1" operator="lessThanOrEqual">
      <formula>50</formula>
    </cfRule>
    <cfRule type="cellIs" dxfId="641" priority="3031" stopIfTrue="1" operator="between">
      <formula>50</formula>
      <formula>59.9999</formula>
    </cfRule>
  </conditionalFormatting>
  <conditionalFormatting sqref="Q610">
    <cfRule type="cellIs" dxfId="640" priority="3025" stopIfTrue="1" operator="lessThanOrEqual">
      <formula>50</formula>
    </cfRule>
    <cfRule type="cellIs" dxfId="639" priority="3024" stopIfTrue="1" operator="between">
      <formula>50</formula>
      <formula>59.9999</formula>
    </cfRule>
  </conditionalFormatting>
  <conditionalFormatting sqref="Q611">
    <cfRule type="cellIs" dxfId="638" priority="3018" stopIfTrue="1" operator="lessThanOrEqual">
      <formula>50</formula>
    </cfRule>
    <cfRule type="cellIs" dxfId="637" priority="3017" stopIfTrue="1" operator="between">
      <formula>50</formula>
      <formula>59.9999</formula>
    </cfRule>
  </conditionalFormatting>
  <conditionalFormatting sqref="Q612">
    <cfRule type="cellIs" dxfId="636" priority="3010" stopIfTrue="1" operator="between">
      <formula>50</formula>
      <formula>59.9999</formula>
    </cfRule>
    <cfRule type="cellIs" dxfId="635" priority="3011" stopIfTrue="1" operator="lessThanOrEqual">
      <formula>50</formula>
    </cfRule>
  </conditionalFormatting>
  <conditionalFormatting sqref="Q613">
    <cfRule type="cellIs" dxfId="634" priority="3003" stopIfTrue="1" operator="between">
      <formula>50</formula>
      <formula>59.9999</formula>
    </cfRule>
    <cfRule type="cellIs" dxfId="633" priority="3004" stopIfTrue="1" operator="lessThanOrEqual">
      <formula>50</formula>
    </cfRule>
  </conditionalFormatting>
  <conditionalFormatting sqref="Q614 Q616">
    <cfRule type="cellIs" dxfId="632" priority="3341" stopIfTrue="1" operator="lessThanOrEqual">
      <formula>50</formula>
    </cfRule>
    <cfRule type="cellIs" dxfId="631" priority="3340" stopIfTrue="1" operator="between">
      <formula>50</formula>
      <formula>59.9999</formula>
    </cfRule>
  </conditionalFormatting>
  <conditionalFormatting sqref="Q615">
    <cfRule type="cellIs" dxfId="630" priority="3249" stopIfTrue="1" operator="lessThanOrEqual">
      <formula>50</formula>
    </cfRule>
    <cfRule type="cellIs" dxfId="629" priority="3248" stopIfTrue="1" operator="between">
      <formula>50</formula>
      <formula>59.9999</formula>
    </cfRule>
  </conditionalFormatting>
  <conditionalFormatting sqref="Q617">
    <cfRule type="cellIs" dxfId="628" priority="3242" stopIfTrue="1" operator="lessThanOrEqual">
      <formula>50</formula>
    </cfRule>
    <cfRule type="cellIs" dxfId="627" priority="3241" stopIfTrue="1" operator="between">
      <formula>50</formula>
      <formula>59.9999</formula>
    </cfRule>
  </conditionalFormatting>
  <conditionalFormatting sqref="Q618 Q622 Q620">
    <cfRule type="cellIs" dxfId="626" priority="3351" stopIfTrue="1" operator="between">
      <formula>50</formula>
      <formula>59.9999</formula>
    </cfRule>
    <cfRule type="cellIs" dxfId="625" priority="3352" stopIfTrue="1" operator="lessThanOrEqual">
      <formula>50</formula>
    </cfRule>
  </conditionalFormatting>
  <conditionalFormatting sqref="Q619">
    <cfRule type="cellIs" dxfId="624" priority="3235" stopIfTrue="1" operator="lessThanOrEqual">
      <formula>50</formula>
    </cfRule>
    <cfRule type="cellIs" dxfId="623" priority="3234" stopIfTrue="1" operator="between">
      <formula>50</formula>
      <formula>59.9999</formula>
    </cfRule>
  </conditionalFormatting>
  <conditionalFormatting sqref="Q621">
    <cfRule type="cellIs" dxfId="622" priority="3262" stopIfTrue="1" operator="between">
      <formula>50</formula>
      <formula>59.9999</formula>
    </cfRule>
    <cfRule type="cellIs" dxfId="621" priority="3263" stopIfTrue="1" operator="lessThanOrEqual">
      <formula>50</formula>
    </cfRule>
  </conditionalFormatting>
  <conditionalFormatting sqref="Q623">
    <cfRule type="cellIs" dxfId="620" priority="3228" stopIfTrue="1" operator="lessThanOrEqual">
      <formula>50</formula>
    </cfRule>
    <cfRule type="cellIs" dxfId="619" priority="3227" stopIfTrue="1" operator="between">
      <formula>50</formula>
      <formula>59.9999</formula>
    </cfRule>
  </conditionalFormatting>
  <conditionalFormatting sqref="Q624">
    <cfRule type="cellIs" dxfId="618" priority="2996" stopIfTrue="1" operator="between">
      <formula>50</formula>
      <formula>59.9999</formula>
    </cfRule>
    <cfRule type="cellIs" dxfId="617" priority="2997" stopIfTrue="1" operator="lessThanOrEqual">
      <formula>50</formula>
    </cfRule>
  </conditionalFormatting>
  <conditionalFormatting sqref="Q625">
    <cfRule type="cellIs" dxfId="616" priority="2990" stopIfTrue="1" operator="lessThanOrEqual">
      <formula>50</formula>
    </cfRule>
    <cfRule type="cellIs" dxfId="615" priority="2989" stopIfTrue="1" operator="between">
      <formula>50</formula>
      <formula>59.9999</formula>
    </cfRule>
  </conditionalFormatting>
  <conditionalFormatting sqref="Q627">
    <cfRule type="cellIs" dxfId="614" priority="2982" stopIfTrue="1" operator="between">
      <formula>50</formula>
      <formula>59.9999</formula>
    </cfRule>
    <cfRule type="cellIs" dxfId="613" priority="2983" stopIfTrue="1" operator="lessThanOrEqual">
      <formula>50</formula>
    </cfRule>
  </conditionalFormatting>
  <conditionalFormatting sqref="Q627:Q648">
    <cfRule type="cellIs" dxfId="612" priority="2890" stopIfTrue="1" operator="between">
      <formula>60</formula>
      <formula>69.999999</formula>
    </cfRule>
    <cfRule type="cellIs" dxfId="611" priority="2889" stopIfTrue="1" operator="greaterThanOrEqual">
      <formula>70</formula>
    </cfRule>
  </conditionalFormatting>
  <conditionalFormatting sqref="Q628">
    <cfRule type="cellIs" dxfId="610" priority="2975" stopIfTrue="1" operator="between">
      <formula>50</formula>
      <formula>59.9999</formula>
    </cfRule>
    <cfRule type="cellIs" dxfId="609" priority="2976" stopIfTrue="1" operator="lessThanOrEqual">
      <formula>50</formula>
    </cfRule>
  </conditionalFormatting>
  <conditionalFormatting sqref="Q629">
    <cfRule type="cellIs" dxfId="608" priority="2968" stopIfTrue="1" operator="between">
      <formula>50</formula>
      <formula>59.9999</formula>
    </cfRule>
    <cfRule type="cellIs" dxfId="607" priority="2969" stopIfTrue="1" operator="lessThanOrEqual">
      <formula>50</formula>
    </cfRule>
  </conditionalFormatting>
  <conditionalFormatting sqref="Q630">
    <cfRule type="cellIs" dxfId="606" priority="2961" stopIfTrue="1" operator="between">
      <formula>50</formula>
      <formula>59.9999</formula>
    </cfRule>
    <cfRule type="cellIs" dxfId="605" priority="2962" stopIfTrue="1" operator="lessThanOrEqual">
      <formula>50</formula>
    </cfRule>
  </conditionalFormatting>
  <conditionalFormatting sqref="Q631">
    <cfRule type="cellIs" dxfId="604" priority="2955" stopIfTrue="1" operator="lessThanOrEqual">
      <formula>50</formula>
    </cfRule>
    <cfRule type="cellIs" dxfId="603" priority="2954" stopIfTrue="1" operator="between">
      <formula>50</formula>
      <formula>59.9999</formula>
    </cfRule>
  </conditionalFormatting>
  <conditionalFormatting sqref="Q632">
    <cfRule type="cellIs" dxfId="602" priority="3359" stopIfTrue="1" operator="between">
      <formula>50</formula>
      <formula>59.9999</formula>
    </cfRule>
    <cfRule type="cellIs" dxfId="601" priority="3360" stopIfTrue="1" operator="lessThanOrEqual">
      <formula>50</formula>
    </cfRule>
  </conditionalFormatting>
  <conditionalFormatting sqref="Q633">
    <cfRule type="cellIs" dxfId="600" priority="3221" stopIfTrue="1" operator="lessThanOrEqual">
      <formula>50</formula>
    </cfRule>
    <cfRule type="cellIs" dxfId="599" priority="3220" stopIfTrue="1" operator="between">
      <formula>50</formula>
      <formula>59.9999</formula>
    </cfRule>
  </conditionalFormatting>
  <conditionalFormatting sqref="Q634 Q636">
    <cfRule type="cellIs" dxfId="598" priority="3336" stopIfTrue="1" operator="between">
      <formula>50</formula>
      <formula>59.9999</formula>
    </cfRule>
    <cfRule type="cellIs" dxfId="597" priority="3337" stopIfTrue="1" operator="lessThanOrEqual">
      <formula>50</formula>
    </cfRule>
  </conditionalFormatting>
  <conditionalFormatting sqref="Q635">
    <cfRule type="cellIs" dxfId="596" priority="3214" stopIfTrue="1" operator="lessThanOrEqual">
      <formula>50</formula>
    </cfRule>
    <cfRule type="cellIs" dxfId="595" priority="3213" stopIfTrue="1" operator="between">
      <formula>50</formula>
      <formula>59.9999</formula>
    </cfRule>
  </conditionalFormatting>
  <conditionalFormatting sqref="Q637">
    <cfRule type="cellIs" dxfId="594" priority="2948" stopIfTrue="1" operator="lessThanOrEqual">
      <formula>50</formula>
    </cfRule>
    <cfRule type="cellIs" dxfId="593" priority="2947" stopIfTrue="1" operator="between">
      <formula>50</formula>
      <formula>59.9999</formula>
    </cfRule>
  </conditionalFormatting>
  <conditionalFormatting sqref="Q638">
    <cfRule type="cellIs" dxfId="592" priority="2941" stopIfTrue="1" operator="lessThanOrEqual">
      <formula>50</formula>
    </cfRule>
    <cfRule type="cellIs" dxfId="591" priority="2940" stopIfTrue="1" operator="between">
      <formula>50</formula>
      <formula>59.9999</formula>
    </cfRule>
  </conditionalFormatting>
  <conditionalFormatting sqref="Q639">
    <cfRule type="cellIs" dxfId="590" priority="2934" stopIfTrue="1" operator="lessThanOrEqual">
      <formula>50</formula>
    </cfRule>
    <cfRule type="cellIs" dxfId="589" priority="2933" stopIfTrue="1" operator="between">
      <formula>50</formula>
      <formula>59.9999</formula>
    </cfRule>
  </conditionalFormatting>
  <conditionalFormatting sqref="Q640:Q641">
    <cfRule type="cellIs" dxfId="588" priority="3332" stopIfTrue="1" operator="between">
      <formula>50</formula>
      <formula>59.9999</formula>
    </cfRule>
    <cfRule type="cellIs" dxfId="587" priority="3333" stopIfTrue="1" operator="lessThanOrEqual">
      <formula>50</formula>
    </cfRule>
  </conditionalFormatting>
  <conditionalFormatting sqref="Q642">
    <cfRule type="cellIs" dxfId="586" priority="2926" stopIfTrue="1" operator="between">
      <formula>50</formula>
      <formula>59.9999</formula>
    </cfRule>
    <cfRule type="cellIs" dxfId="585" priority="2927" stopIfTrue="1" operator="lessThanOrEqual">
      <formula>50</formula>
    </cfRule>
  </conditionalFormatting>
  <conditionalFormatting sqref="Q643">
    <cfRule type="cellIs" dxfId="584" priority="2898" stopIfTrue="1" operator="between">
      <formula>50</formula>
      <formula>59.9999</formula>
    </cfRule>
    <cfRule type="cellIs" dxfId="583" priority="2899" stopIfTrue="1" operator="lessThanOrEqual">
      <formula>50</formula>
    </cfRule>
  </conditionalFormatting>
  <conditionalFormatting sqref="Q644">
    <cfRule type="cellIs" dxfId="582" priority="2920" stopIfTrue="1" operator="lessThanOrEqual">
      <formula>50</formula>
    </cfRule>
    <cfRule type="cellIs" dxfId="581" priority="2919" stopIfTrue="1" operator="between">
      <formula>50</formula>
      <formula>59.9999</formula>
    </cfRule>
  </conditionalFormatting>
  <conditionalFormatting sqref="Q645">
    <cfRule type="cellIs" dxfId="580" priority="2891" stopIfTrue="1" operator="between">
      <formula>50</formula>
      <formula>59.9999</formula>
    </cfRule>
    <cfRule type="cellIs" dxfId="579" priority="2892" stopIfTrue="1" operator="lessThanOrEqual">
      <formula>50</formula>
    </cfRule>
  </conditionalFormatting>
  <conditionalFormatting sqref="Q646">
    <cfRule type="cellIs" dxfId="578" priority="3348" stopIfTrue="1" operator="lessThanOrEqual">
      <formula>50</formula>
    </cfRule>
    <cfRule type="cellIs" dxfId="577" priority="3347" stopIfTrue="1" operator="between">
      <formula>50</formula>
      <formula>59.9999</formula>
    </cfRule>
  </conditionalFormatting>
  <conditionalFormatting sqref="Q647">
    <cfRule type="cellIs" dxfId="576" priority="2912" stopIfTrue="1" operator="between">
      <formula>50</formula>
      <formula>59.9999</formula>
    </cfRule>
    <cfRule type="cellIs" dxfId="575" priority="2913" stopIfTrue="1" operator="lessThanOrEqual">
      <formula>50</formula>
    </cfRule>
  </conditionalFormatting>
  <conditionalFormatting sqref="Q648">
    <cfRule type="cellIs" dxfId="574" priority="2906" stopIfTrue="1" operator="lessThanOrEqual">
      <formula>50</formula>
    </cfRule>
    <cfRule type="cellIs" dxfId="573" priority="2905" stopIfTrue="1" operator="between">
      <formula>50</formula>
      <formula>59.9999</formula>
    </cfRule>
  </conditionalFormatting>
  <conditionalFormatting sqref="Q651">
    <cfRule type="cellIs" dxfId="572" priority="4707" stopIfTrue="1" operator="lessThanOrEqual">
      <formula>50</formula>
    </cfRule>
    <cfRule type="cellIs" dxfId="571" priority="4706" stopIfTrue="1" operator="between">
      <formula>50</formula>
      <formula>59.9999</formula>
    </cfRule>
  </conditionalFormatting>
  <conditionalFormatting sqref="Q651:Q692">
    <cfRule type="cellIs" dxfId="570" priority="6" stopIfTrue="1" operator="between">
      <formula>60</formula>
      <formula>69.999999</formula>
    </cfRule>
  </conditionalFormatting>
  <conditionalFormatting sqref="Q651:Q738">
    <cfRule type="cellIs" dxfId="569" priority="5" stopIfTrue="1" operator="greaterThanOrEqual">
      <formula>70</formula>
    </cfRule>
  </conditionalFormatting>
  <conditionalFormatting sqref="Q652:Q655">
    <cfRule type="cellIs" dxfId="568" priority="4700" stopIfTrue="1" operator="lessThanOrEqual">
      <formula>50</formula>
    </cfRule>
    <cfRule type="cellIs" dxfId="567" priority="4699" stopIfTrue="1" operator="between">
      <formula>50</formula>
      <formula>59.9999</formula>
    </cfRule>
  </conditionalFormatting>
  <conditionalFormatting sqref="Q656">
    <cfRule type="cellIs" dxfId="566" priority="3750" stopIfTrue="1" operator="between">
      <formula>50</formula>
      <formula>59.9999</formula>
    </cfRule>
    <cfRule type="cellIs" dxfId="565" priority="3751" stopIfTrue="1" operator="lessThanOrEqual">
      <formula>50</formula>
    </cfRule>
  </conditionalFormatting>
  <conditionalFormatting sqref="Q658:Q659">
    <cfRule type="cellIs" dxfId="564" priority="4798" stopIfTrue="1" operator="between">
      <formula>50</formula>
      <formula>59.9999</formula>
    </cfRule>
    <cfRule type="cellIs" dxfId="563" priority="4799" stopIfTrue="1" operator="lessThanOrEqual">
      <formula>50</formula>
    </cfRule>
  </conditionalFormatting>
  <conditionalFormatting sqref="Q660">
    <cfRule type="cellIs" dxfId="562" priority="4692" stopIfTrue="1" operator="between">
      <formula>50</formula>
      <formula>59.9999</formula>
    </cfRule>
    <cfRule type="cellIs" dxfId="561" priority="4693" stopIfTrue="1" operator="lessThanOrEqual">
      <formula>50</formula>
    </cfRule>
  </conditionalFormatting>
  <conditionalFormatting sqref="Q661">
    <cfRule type="cellIs" dxfId="560" priority="3744" stopIfTrue="1" operator="lessThanOrEqual">
      <formula>50</formula>
    </cfRule>
    <cfRule type="cellIs" dxfId="559" priority="3743" stopIfTrue="1" operator="between">
      <formula>50</formula>
      <formula>59.9999</formula>
    </cfRule>
  </conditionalFormatting>
  <conditionalFormatting sqref="Q663">
    <cfRule type="cellIs" dxfId="558" priority="3736" stopIfTrue="1" operator="between">
      <formula>50</formula>
      <formula>59.9999</formula>
    </cfRule>
    <cfRule type="cellIs" dxfId="557" priority="3737" stopIfTrue="1" operator="lessThanOrEqual">
      <formula>50</formula>
    </cfRule>
  </conditionalFormatting>
  <conditionalFormatting sqref="Q664:Q666">
    <cfRule type="cellIs" dxfId="556" priority="1481" stopIfTrue="1" operator="lessThanOrEqual">
      <formula>50</formula>
    </cfRule>
    <cfRule type="cellIs" dxfId="555" priority="1480" stopIfTrue="1" operator="between">
      <formula>50</formula>
      <formula>59.9999</formula>
    </cfRule>
  </conditionalFormatting>
  <conditionalFormatting sqref="Q667">
    <cfRule type="cellIs" dxfId="554" priority="3729" stopIfTrue="1" operator="between">
      <formula>50</formula>
      <formula>59.9999</formula>
    </cfRule>
    <cfRule type="cellIs" dxfId="553" priority="3730" stopIfTrue="1" operator="lessThanOrEqual">
      <formula>50</formula>
    </cfRule>
  </conditionalFormatting>
  <conditionalFormatting sqref="Q669">
    <cfRule type="cellIs" dxfId="552" priority="3723" stopIfTrue="1" operator="lessThanOrEqual">
      <formula>50</formula>
    </cfRule>
    <cfRule type="cellIs" dxfId="551" priority="3722" stopIfTrue="1" operator="between">
      <formula>50</formula>
      <formula>59.9999</formula>
    </cfRule>
  </conditionalFormatting>
  <conditionalFormatting sqref="Q670">
    <cfRule type="cellIs" dxfId="550" priority="16" stopIfTrue="1" operator="lessThanOrEqual">
      <formula>50</formula>
    </cfRule>
    <cfRule type="cellIs" dxfId="549" priority="15" stopIfTrue="1" operator="between">
      <formula>50</formula>
      <formula>59.9999</formula>
    </cfRule>
  </conditionalFormatting>
  <conditionalFormatting sqref="Q671">
    <cfRule type="cellIs" dxfId="548" priority="8" stopIfTrue="1" operator="lessThanOrEqual">
      <formula>50</formula>
    </cfRule>
    <cfRule type="cellIs" dxfId="547" priority="7" stopIfTrue="1" operator="between">
      <formula>50</formula>
      <formula>59.9999</formula>
    </cfRule>
  </conditionalFormatting>
  <conditionalFormatting sqref="Q672">
    <cfRule type="cellIs" dxfId="546" priority="3715" stopIfTrue="1" operator="between">
      <formula>50</formula>
      <formula>59.9999</formula>
    </cfRule>
    <cfRule type="cellIs" dxfId="545" priority="3716" stopIfTrue="1" operator="lessThanOrEqual">
      <formula>50</formula>
    </cfRule>
  </conditionalFormatting>
  <conditionalFormatting sqref="Q674">
    <cfRule type="cellIs" dxfId="544" priority="3708" stopIfTrue="1" operator="between">
      <formula>50</formula>
      <formula>59.9999</formula>
    </cfRule>
    <cfRule type="cellIs" dxfId="543" priority="3709" stopIfTrue="1" operator="lessThanOrEqual">
      <formula>50</formula>
    </cfRule>
  </conditionalFormatting>
  <conditionalFormatting sqref="Q676">
    <cfRule type="cellIs" dxfId="542" priority="4788" stopIfTrue="1" operator="lessThanOrEqual">
      <formula>50</formula>
    </cfRule>
    <cfRule type="cellIs" dxfId="541" priority="4787" stopIfTrue="1" operator="between">
      <formula>50</formula>
      <formula>59.9999</formula>
    </cfRule>
  </conditionalFormatting>
  <conditionalFormatting sqref="Q678">
    <cfRule type="cellIs" dxfId="540" priority="3702" stopIfTrue="1" operator="lessThanOrEqual">
      <formula>50</formula>
    </cfRule>
    <cfRule type="cellIs" dxfId="539" priority="3701" stopIfTrue="1" operator="between">
      <formula>50</formula>
      <formula>59.9999</formula>
    </cfRule>
  </conditionalFormatting>
  <conditionalFormatting sqref="Q679">
    <cfRule type="cellIs" dxfId="538" priority="190" stopIfTrue="1" operator="between">
      <formula>50</formula>
      <formula>59.9999</formula>
    </cfRule>
    <cfRule type="cellIs" dxfId="537" priority="191" stopIfTrue="1" operator="lessThanOrEqual">
      <formula>50</formula>
    </cfRule>
  </conditionalFormatting>
  <conditionalFormatting sqref="Q680">
    <cfRule type="cellIs" dxfId="536" priority="184" stopIfTrue="1" operator="lessThanOrEqual">
      <formula>50</formula>
    </cfRule>
    <cfRule type="cellIs" dxfId="535" priority="183" stopIfTrue="1" operator="between">
      <formula>50</formula>
      <formula>59.9999</formula>
    </cfRule>
  </conditionalFormatting>
  <conditionalFormatting sqref="Q681">
    <cfRule type="cellIs" dxfId="534" priority="80" stopIfTrue="1" operator="lessThanOrEqual">
      <formula>50</formula>
    </cfRule>
    <cfRule type="cellIs" dxfId="533" priority="79" stopIfTrue="1" operator="between">
      <formula>50</formula>
      <formula>59.9999</formula>
    </cfRule>
  </conditionalFormatting>
  <conditionalFormatting sqref="Q682 Q684">
    <cfRule type="cellIs" dxfId="532" priority="1417" stopIfTrue="1" operator="lessThanOrEqual">
      <formula>50</formula>
    </cfRule>
    <cfRule type="cellIs" dxfId="531" priority="1416" stopIfTrue="1" operator="between">
      <formula>50</formula>
      <formula>59.9999</formula>
    </cfRule>
  </conditionalFormatting>
  <conditionalFormatting sqref="Q683">
    <cfRule type="cellIs" dxfId="530" priority="1409" stopIfTrue="1" operator="lessThanOrEqual">
      <formula>50</formula>
    </cfRule>
    <cfRule type="cellIs" dxfId="529" priority="1408" stopIfTrue="1" operator="between">
      <formula>50</formula>
      <formula>59.9999</formula>
    </cfRule>
  </conditionalFormatting>
  <conditionalFormatting sqref="Q685:Q687 Q689:Q690">
    <cfRule type="cellIs" dxfId="528" priority="2268" stopIfTrue="1" operator="lessThanOrEqual">
      <formula>50</formula>
    </cfRule>
    <cfRule type="cellIs" dxfId="527" priority="2267" stopIfTrue="1" operator="between">
      <formula>50</formula>
      <formula>59.9999</formula>
    </cfRule>
  </conditionalFormatting>
  <conditionalFormatting sqref="Q688 Q677 Q675 Q673 Q668 Q662 Q657">
    <cfRule type="cellIs" dxfId="526" priority="588" stopIfTrue="1" operator="between">
      <formula>50</formula>
      <formula>59.9999</formula>
    </cfRule>
    <cfRule type="cellIs" dxfId="525" priority="589" stopIfTrue="1" operator="lessThanOrEqual">
      <formula>50</formula>
    </cfRule>
  </conditionalFormatting>
  <conditionalFormatting sqref="Q691">
    <cfRule type="cellIs" dxfId="524" priority="2260" stopIfTrue="1" operator="between">
      <formula>50</formula>
      <formula>59.9999</formula>
    </cfRule>
    <cfRule type="cellIs" dxfId="523" priority="2261" stopIfTrue="1" operator="lessThanOrEqual">
      <formula>50</formula>
    </cfRule>
  </conditionalFormatting>
  <conditionalFormatting sqref="Q692">
    <cfRule type="cellIs" dxfId="522" priority="281" stopIfTrue="1" operator="between">
      <formula>50</formula>
      <formula>59.9999</formula>
    </cfRule>
    <cfRule type="cellIs" dxfId="521" priority="282" stopIfTrue="1" operator="lessThanOrEqual">
      <formula>50</formula>
    </cfRule>
  </conditionalFormatting>
  <conditionalFormatting sqref="Q697:Q698">
    <cfRule type="cellIs" dxfId="520" priority="3695" stopIfTrue="1" operator="lessThanOrEqual">
      <formula>50</formula>
    </cfRule>
    <cfRule type="cellIs" dxfId="519" priority="3694" stopIfTrue="1" operator="between">
      <formula>50</formula>
      <formula>59.9999</formula>
    </cfRule>
  </conditionalFormatting>
  <conditionalFormatting sqref="Q697:Q738">
    <cfRule type="cellIs" dxfId="518" priority="1956" stopIfTrue="1" operator="between">
      <formula>60</formula>
      <formula>69.999999</formula>
    </cfRule>
  </conditionalFormatting>
  <conditionalFormatting sqref="Q699:Q700">
    <cfRule type="cellIs" dxfId="517" priority="3687" stopIfTrue="1" operator="between">
      <formula>50</formula>
      <formula>59.9999</formula>
    </cfRule>
    <cfRule type="cellIs" dxfId="516" priority="3688" stopIfTrue="1" operator="lessThanOrEqual">
      <formula>50</formula>
    </cfRule>
  </conditionalFormatting>
  <conditionalFormatting sqref="Q701:Q702">
    <cfRule type="cellIs" dxfId="515" priority="3681" stopIfTrue="1" operator="lessThanOrEqual">
      <formula>50</formula>
    </cfRule>
    <cfRule type="cellIs" dxfId="514" priority="3680" stopIfTrue="1" operator="between">
      <formula>50</formula>
      <formula>59.9999</formula>
    </cfRule>
  </conditionalFormatting>
  <conditionalFormatting sqref="Q703">
    <cfRule type="cellIs" dxfId="513" priority="3674" stopIfTrue="1" operator="lessThanOrEqual">
      <formula>50</formula>
    </cfRule>
    <cfRule type="cellIs" dxfId="512" priority="3673" stopIfTrue="1" operator="between">
      <formula>50</formula>
      <formula>59.9999</formula>
    </cfRule>
  </conditionalFormatting>
  <conditionalFormatting sqref="Q704">
    <cfRule type="cellIs" dxfId="511" priority="2093" stopIfTrue="1" operator="between">
      <formula>50</formula>
      <formula>59.9999</formula>
    </cfRule>
    <cfRule type="cellIs" dxfId="510" priority="2094" stopIfTrue="1" operator="lessThanOrEqual">
      <formula>50</formula>
    </cfRule>
  </conditionalFormatting>
  <conditionalFormatting sqref="Q705">
    <cfRule type="cellIs" dxfId="509" priority="3667" stopIfTrue="1" operator="lessThanOrEqual">
      <formula>50</formula>
    </cfRule>
    <cfRule type="cellIs" dxfId="508" priority="3666" stopIfTrue="1" operator="between">
      <formula>50</formula>
      <formula>59.9999</formula>
    </cfRule>
  </conditionalFormatting>
  <conditionalFormatting sqref="Q706">
    <cfRule type="cellIs" dxfId="507" priority="3659" stopIfTrue="1" operator="between">
      <formula>50</formula>
      <formula>59.9999</formula>
    </cfRule>
    <cfRule type="cellIs" dxfId="506" priority="3660" stopIfTrue="1" operator="lessThanOrEqual">
      <formula>50</formula>
    </cfRule>
  </conditionalFormatting>
  <conditionalFormatting sqref="Q707">
    <cfRule type="cellIs" dxfId="505" priority="4792" stopIfTrue="1" operator="lessThanOrEqual">
      <formula>50</formula>
    </cfRule>
    <cfRule type="cellIs" dxfId="504" priority="4791" stopIfTrue="1" operator="between">
      <formula>50</formula>
      <formula>59.9999</formula>
    </cfRule>
  </conditionalFormatting>
  <conditionalFormatting sqref="Q708">
    <cfRule type="cellIs" dxfId="503" priority="3652" stopIfTrue="1" operator="between">
      <formula>50</formula>
      <formula>59.9999</formula>
    </cfRule>
    <cfRule type="cellIs" dxfId="502" priority="3653" stopIfTrue="1" operator="lessThanOrEqual">
      <formula>50</formula>
    </cfRule>
  </conditionalFormatting>
  <conditionalFormatting sqref="Q709">
    <cfRule type="cellIs" dxfId="501" priority="2070" stopIfTrue="1" operator="lessThanOrEqual">
      <formula>50</formula>
    </cfRule>
    <cfRule type="cellIs" dxfId="500" priority="2069" stopIfTrue="1" operator="between">
      <formula>50</formula>
      <formula>59.9999</formula>
    </cfRule>
  </conditionalFormatting>
  <conditionalFormatting sqref="Q710">
    <cfRule type="cellIs" dxfId="499" priority="3646" stopIfTrue="1" operator="lessThanOrEqual">
      <formula>50</formula>
    </cfRule>
    <cfRule type="cellIs" dxfId="498" priority="3645" stopIfTrue="1" operator="between">
      <formula>50</formula>
      <formula>59.9999</formula>
    </cfRule>
  </conditionalFormatting>
  <conditionalFormatting sqref="Q711">
    <cfRule type="cellIs" dxfId="497" priority="2062" stopIfTrue="1" operator="lessThanOrEqual">
      <formula>50</formula>
    </cfRule>
    <cfRule type="cellIs" dxfId="496" priority="2061" stopIfTrue="1" operator="between">
      <formula>50</formula>
      <formula>59.9999</formula>
    </cfRule>
  </conditionalFormatting>
  <conditionalFormatting sqref="Q712">
    <cfRule type="cellIs" dxfId="495" priority="3638" stopIfTrue="1" operator="between">
      <formula>50</formula>
      <formula>59.9999</formula>
    </cfRule>
    <cfRule type="cellIs" dxfId="494" priority="3639" stopIfTrue="1" operator="lessThanOrEqual">
      <formula>50</formula>
    </cfRule>
  </conditionalFormatting>
  <conditionalFormatting sqref="Q713">
    <cfRule type="cellIs" dxfId="493" priority="2053" stopIfTrue="1" operator="between">
      <formula>50</formula>
      <formula>59.9999</formula>
    </cfRule>
    <cfRule type="cellIs" dxfId="492" priority="2054" stopIfTrue="1" operator="lessThanOrEqual">
      <formula>50</formula>
    </cfRule>
  </conditionalFormatting>
  <conditionalFormatting sqref="Q714">
    <cfRule type="cellIs" dxfId="491" priority="3632" stopIfTrue="1" operator="lessThanOrEqual">
      <formula>50</formula>
    </cfRule>
    <cfRule type="cellIs" dxfId="490" priority="3631" stopIfTrue="1" operator="between">
      <formula>50</formula>
      <formula>59.9999</formula>
    </cfRule>
  </conditionalFormatting>
  <conditionalFormatting sqref="Q715">
    <cfRule type="cellIs" dxfId="489" priority="2045" stopIfTrue="1" operator="between">
      <formula>50</formula>
      <formula>59.9999</formula>
    </cfRule>
    <cfRule type="cellIs" dxfId="488" priority="2046" stopIfTrue="1" operator="lessThanOrEqual">
      <formula>50</formula>
    </cfRule>
  </conditionalFormatting>
  <conditionalFormatting sqref="Q716">
    <cfRule type="cellIs" dxfId="487" priority="3624" stopIfTrue="1" operator="between">
      <formula>50</formula>
      <formula>59.9999</formula>
    </cfRule>
    <cfRule type="cellIs" dxfId="486" priority="3625" stopIfTrue="1" operator="lessThanOrEqual">
      <formula>50</formula>
    </cfRule>
  </conditionalFormatting>
  <conditionalFormatting sqref="Q717">
    <cfRule type="cellIs" dxfId="485" priority="2037" stopIfTrue="1" operator="between">
      <formula>50</formula>
      <formula>59.9999</formula>
    </cfRule>
    <cfRule type="cellIs" dxfId="484" priority="2038" stopIfTrue="1" operator="lessThanOrEqual">
      <formula>50</formula>
    </cfRule>
  </conditionalFormatting>
  <conditionalFormatting sqref="Q718:Q719 Q725 Q730 Q721 Q727">
    <cfRule type="cellIs" dxfId="483" priority="2254" stopIfTrue="1" operator="lessThanOrEqual">
      <formula>50</formula>
    </cfRule>
    <cfRule type="cellIs" dxfId="482" priority="2253" stopIfTrue="1" operator="between">
      <formula>50</formula>
      <formula>59.9999</formula>
    </cfRule>
  </conditionalFormatting>
  <conditionalFormatting sqref="Q720">
    <cfRule type="cellIs" dxfId="481" priority="2030" stopIfTrue="1" operator="lessThanOrEqual">
      <formula>50</formula>
    </cfRule>
    <cfRule type="cellIs" dxfId="480" priority="2029" stopIfTrue="1" operator="between">
      <formula>50</formula>
      <formula>59.9999</formula>
    </cfRule>
  </conditionalFormatting>
  <conditionalFormatting sqref="Q722">
    <cfRule type="cellIs" dxfId="479" priority="2022" stopIfTrue="1" operator="lessThanOrEqual">
      <formula>50</formula>
    </cfRule>
    <cfRule type="cellIs" dxfId="478" priority="2021" stopIfTrue="1" operator="between">
      <formula>50</formula>
      <formula>59.9999</formula>
    </cfRule>
  </conditionalFormatting>
  <conditionalFormatting sqref="Q723">
    <cfRule type="cellIs" dxfId="477" priority="2247" stopIfTrue="1" operator="lessThanOrEqual">
      <formula>50</formula>
    </cfRule>
    <cfRule type="cellIs" dxfId="476" priority="2246" stopIfTrue="1" operator="between">
      <formula>50</formula>
      <formula>59.9999</formula>
    </cfRule>
  </conditionalFormatting>
  <conditionalFormatting sqref="Q724">
    <cfRule type="cellIs" dxfId="475" priority="2014" stopIfTrue="1" operator="lessThanOrEqual">
      <formula>50</formula>
    </cfRule>
    <cfRule type="cellIs" dxfId="474" priority="2013" stopIfTrue="1" operator="between">
      <formula>50</formula>
      <formula>59.9999</formula>
    </cfRule>
  </conditionalFormatting>
  <conditionalFormatting sqref="Q726">
    <cfRule type="cellIs" dxfId="473" priority="2005" stopIfTrue="1" operator="between">
      <formula>50</formula>
      <formula>59.9999</formula>
    </cfRule>
    <cfRule type="cellIs" dxfId="472" priority="2006" stopIfTrue="1" operator="lessThanOrEqual">
      <formula>50</formula>
    </cfRule>
  </conditionalFormatting>
  <conditionalFormatting sqref="Q728">
    <cfRule type="cellIs" dxfId="471" priority="1998" stopIfTrue="1" operator="lessThanOrEqual">
      <formula>50</formula>
    </cfRule>
    <cfRule type="cellIs" dxfId="470" priority="1997" stopIfTrue="1" operator="between">
      <formula>50</formula>
      <formula>59.9999</formula>
    </cfRule>
  </conditionalFormatting>
  <conditionalFormatting sqref="Q729">
    <cfRule type="cellIs" dxfId="469" priority="2240" stopIfTrue="1" operator="lessThanOrEqual">
      <formula>50</formula>
    </cfRule>
    <cfRule type="cellIs" dxfId="468" priority="2239" stopIfTrue="1" operator="between">
      <formula>50</formula>
      <formula>59.9999</formula>
    </cfRule>
  </conditionalFormatting>
  <conditionalFormatting sqref="Q731">
    <cfRule type="cellIs" dxfId="467" priority="1990" stopIfTrue="1" operator="lessThanOrEqual">
      <formula>50</formula>
    </cfRule>
    <cfRule type="cellIs" dxfId="466" priority="1989" stopIfTrue="1" operator="between">
      <formula>50</formula>
      <formula>59.9999</formula>
    </cfRule>
  </conditionalFormatting>
  <conditionalFormatting sqref="Q732">
    <cfRule type="cellIs" dxfId="465" priority="3618" stopIfTrue="1" operator="lessThanOrEqual">
      <formula>50</formula>
    </cfRule>
    <cfRule type="cellIs" dxfId="464" priority="3617" stopIfTrue="1" operator="between">
      <formula>50</formula>
      <formula>59.9999</formula>
    </cfRule>
  </conditionalFormatting>
  <conditionalFormatting sqref="Q733">
    <cfRule type="cellIs" dxfId="463" priority="1982" stopIfTrue="1" operator="lessThanOrEqual">
      <formula>50</formula>
    </cfRule>
    <cfRule type="cellIs" dxfId="462" priority="1981" stopIfTrue="1" operator="between">
      <formula>50</formula>
      <formula>59.9999</formula>
    </cfRule>
  </conditionalFormatting>
  <conditionalFormatting sqref="Q734">
    <cfRule type="cellIs" dxfId="461" priority="3610" stopIfTrue="1" operator="between">
      <formula>50</formula>
      <formula>59.9999</formula>
    </cfRule>
    <cfRule type="cellIs" dxfId="460" priority="3611" stopIfTrue="1" operator="lessThanOrEqual">
      <formula>50</formula>
    </cfRule>
  </conditionalFormatting>
  <conditionalFormatting sqref="Q735">
    <cfRule type="cellIs" dxfId="459" priority="1974" stopIfTrue="1" operator="lessThanOrEqual">
      <formula>50</formula>
    </cfRule>
    <cfRule type="cellIs" dxfId="458" priority="1973" stopIfTrue="1" operator="between">
      <formula>50</formula>
      <formula>59.9999</formula>
    </cfRule>
  </conditionalFormatting>
  <conditionalFormatting sqref="Q736">
    <cfRule type="cellIs" dxfId="457" priority="4675" stopIfTrue="1" operator="between">
      <formula>50</formula>
      <formula>59.9999</formula>
    </cfRule>
    <cfRule type="cellIs" dxfId="456" priority="4676" stopIfTrue="1" operator="lessThanOrEqual">
      <formula>50</formula>
    </cfRule>
  </conditionalFormatting>
  <conditionalFormatting sqref="Q737">
    <cfRule type="cellIs" dxfId="455" priority="1965" stopIfTrue="1" operator="lessThanOrEqual">
      <formula>50</formula>
    </cfRule>
    <cfRule type="cellIs" dxfId="454" priority="1964" stopIfTrue="1" operator="between">
      <formula>50</formula>
      <formula>59.9999</formula>
    </cfRule>
  </conditionalFormatting>
  <conditionalFormatting sqref="Q738">
    <cfRule type="cellIs" dxfId="453" priority="1958" stopIfTrue="1" operator="lessThanOrEqual">
      <formula>50</formula>
    </cfRule>
    <cfRule type="cellIs" dxfId="452" priority="1957" stopIfTrue="1" operator="between">
      <formula>50</formula>
      <formula>59.9999</formula>
    </cfRule>
  </conditionalFormatting>
  <conditionalFormatting sqref="Q740">
    <cfRule type="cellIs" dxfId="451" priority="3597" stopIfTrue="1" operator="lessThanOrEqual">
      <formula>50</formula>
    </cfRule>
    <cfRule type="cellIs" dxfId="450" priority="3596" stopIfTrue="1" operator="between">
      <formula>50</formula>
      <formula>59.9999</formula>
    </cfRule>
  </conditionalFormatting>
  <conditionalFormatting sqref="Q740:Q785">
    <cfRule type="cellIs" dxfId="449" priority="61" stopIfTrue="1" operator="greaterThanOrEqual">
      <formula>70</formula>
    </cfRule>
    <cfRule type="cellIs" dxfId="448" priority="62" stopIfTrue="1" operator="between">
      <formula>60</formula>
      <formula>69.999999</formula>
    </cfRule>
  </conditionalFormatting>
  <conditionalFormatting sqref="Q741">
    <cfRule type="cellIs" dxfId="447" priority="1950" stopIfTrue="1" operator="lessThanOrEqual">
      <formula>50</formula>
    </cfRule>
    <cfRule type="cellIs" dxfId="446" priority="1949" stopIfTrue="1" operator="between">
      <formula>50</formula>
      <formula>59.9999</formula>
    </cfRule>
  </conditionalFormatting>
  <conditionalFormatting sqref="Q742">
    <cfRule type="cellIs" dxfId="445" priority="3590" stopIfTrue="1" operator="lessThanOrEqual">
      <formula>50</formula>
    </cfRule>
    <cfRule type="cellIs" dxfId="444" priority="3589" stopIfTrue="1" operator="between">
      <formula>50</formula>
      <formula>59.9999</formula>
    </cfRule>
  </conditionalFormatting>
  <conditionalFormatting sqref="Q743">
    <cfRule type="cellIs" dxfId="443" priority="1942" stopIfTrue="1" operator="lessThanOrEqual">
      <formula>50</formula>
    </cfRule>
    <cfRule type="cellIs" dxfId="442" priority="1941" stopIfTrue="1" operator="between">
      <formula>50</formula>
      <formula>59.9999</formula>
    </cfRule>
  </conditionalFormatting>
  <conditionalFormatting sqref="Q744">
    <cfRule type="cellIs" dxfId="441" priority="4775" stopIfTrue="1" operator="between">
      <formula>50</formula>
      <formula>59.9999</formula>
    </cfRule>
    <cfRule type="cellIs" dxfId="440" priority="4776" stopIfTrue="1" operator="lessThanOrEqual">
      <formula>50</formula>
    </cfRule>
  </conditionalFormatting>
  <conditionalFormatting sqref="Q745 Q749">
    <cfRule type="cellIs" dxfId="439" priority="4784" stopIfTrue="1" operator="lessThanOrEqual">
      <formula>50</formula>
    </cfRule>
    <cfRule type="cellIs" dxfId="438" priority="4783" stopIfTrue="1" operator="between">
      <formula>50</formula>
      <formula>59.9999</formula>
    </cfRule>
  </conditionalFormatting>
  <conditionalFormatting sqref="Q746">
    <cfRule type="cellIs" dxfId="437" priority="1933" stopIfTrue="1" operator="between">
      <formula>50</formula>
      <formula>59.9999</formula>
    </cfRule>
    <cfRule type="cellIs" dxfId="436" priority="1934" stopIfTrue="1" operator="lessThanOrEqual">
      <formula>50</formula>
    </cfRule>
  </conditionalFormatting>
  <conditionalFormatting sqref="Q747">
    <cfRule type="cellIs" dxfId="435" priority="3582" stopIfTrue="1" operator="between">
      <formula>50</formula>
      <formula>59.9999</formula>
    </cfRule>
    <cfRule type="cellIs" dxfId="434" priority="3583" stopIfTrue="1" operator="lessThanOrEqual">
      <formula>50</formula>
    </cfRule>
  </conditionalFormatting>
  <conditionalFormatting sqref="Q748">
    <cfRule type="cellIs" dxfId="433" priority="1926" stopIfTrue="1" operator="lessThanOrEqual">
      <formula>50</formula>
    </cfRule>
    <cfRule type="cellIs" dxfId="432" priority="1925" stopIfTrue="1" operator="between">
      <formula>50</formula>
      <formula>59.9999</formula>
    </cfRule>
  </conditionalFormatting>
  <conditionalFormatting sqref="Q750">
    <cfRule type="cellIs" dxfId="431" priority="1917" stopIfTrue="1" operator="between">
      <formula>50</formula>
      <formula>59.9999</formula>
    </cfRule>
    <cfRule type="cellIs" dxfId="430" priority="1918" stopIfTrue="1" operator="lessThanOrEqual">
      <formula>50</formula>
    </cfRule>
  </conditionalFormatting>
  <conditionalFormatting sqref="Q751">
    <cfRule type="cellIs" dxfId="429" priority="3576" stopIfTrue="1" operator="lessThanOrEqual">
      <formula>50</formula>
    </cfRule>
    <cfRule type="cellIs" dxfId="428" priority="3575" stopIfTrue="1" operator="between">
      <formula>50</formula>
      <formula>59.9999</formula>
    </cfRule>
  </conditionalFormatting>
  <conditionalFormatting sqref="Q752">
    <cfRule type="cellIs" dxfId="427" priority="1910" stopIfTrue="1" operator="lessThanOrEqual">
      <formula>50</formula>
    </cfRule>
    <cfRule type="cellIs" dxfId="426" priority="1909" stopIfTrue="1" operator="between">
      <formula>50</formula>
      <formula>59.9999</formula>
    </cfRule>
  </conditionalFormatting>
  <conditionalFormatting sqref="Q753">
    <cfRule type="cellIs" dxfId="425" priority="3569" stopIfTrue="1" operator="lessThanOrEqual">
      <formula>50</formula>
    </cfRule>
    <cfRule type="cellIs" dxfId="424" priority="3568" stopIfTrue="1" operator="between">
      <formula>50</formula>
      <formula>59.9999</formula>
    </cfRule>
  </conditionalFormatting>
  <conditionalFormatting sqref="Q754">
    <cfRule type="cellIs" dxfId="423" priority="1901" stopIfTrue="1" operator="between">
      <formula>50</formula>
      <formula>59.9999</formula>
    </cfRule>
    <cfRule type="cellIs" dxfId="422" priority="1902" stopIfTrue="1" operator="lessThanOrEqual">
      <formula>50</formula>
    </cfRule>
  </conditionalFormatting>
  <conditionalFormatting sqref="Q755">
    <cfRule type="cellIs" dxfId="421" priority="3561" stopIfTrue="1" operator="between">
      <formula>50</formula>
      <formula>59.9999</formula>
    </cfRule>
    <cfRule type="cellIs" dxfId="420" priority="3562" stopIfTrue="1" operator="lessThanOrEqual">
      <formula>50</formula>
    </cfRule>
  </conditionalFormatting>
  <conditionalFormatting sqref="Q756">
    <cfRule type="cellIs" dxfId="419" priority="1893" stopIfTrue="1" operator="between">
      <formula>50</formula>
      <formula>59.9999</formula>
    </cfRule>
    <cfRule type="cellIs" dxfId="418" priority="1894" stopIfTrue="1" operator="lessThanOrEqual">
      <formula>50</formula>
    </cfRule>
  </conditionalFormatting>
  <conditionalFormatting sqref="Q757">
    <cfRule type="cellIs" dxfId="417" priority="3555" stopIfTrue="1" operator="lessThanOrEqual">
      <formula>50</formula>
    </cfRule>
    <cfRule type="cellIs" dxfId="416" priority="3554" stopIfTrue="1" operator="between">
      <formula>50</formula>
      <formula>59.9999</formula>
    </cfRule>
  </conditionalFormatting>
  <conditionalFormatting sqref="Q758">
    <cfRule type="cellIs" dxfId="415" priority="1886" stopIfTrue="1" operator="lessThanOrEqual">
      <formula>50</formula>
    </cfRule>
    <cfRule type="cellIs" dxfId="414" priority="1885" stopIfTrue="1" operator="between">
      <formula>50</formula>
      <formula>59.9999</formula>
    </cfRule>
  </conditionalFormatting>
  <conditionalFormatting sqref="Q759">
    <cfRule type="cellIs" dxfId="413" priority="3548" stopIfTrue="1" operator="lessThanOrEqual">
      <formula>50</formula>
    </cfRule>
    <cfRule type="cellIs" dxfId="412" priority="3547" stopIfTrue="1" operator="between">
      <formula>50</formula>
      <formula>59.9999</formula>
    </cfRule>
  </conditionalFormatting>
  <conditionalFormatting sqref="Q760">
    <cfRule type="cellIs" dxfId="411" priority="1877" stopIfTrue="1" operator="between">
      <formula>50</formula>
      <formula>59.9999</formula>
    </cfRule>
    <cfRule type="cellIs" dxfId="410" priority="1878" stopIfTrue="1" operator="lessThanOrEqual">
      <formula>50</formula>
    </cfRule>
  </conditionalFormatting>
  <conditionalFormatting sqref="Q761 Q763">
    <cfRule type="cellIs" dxfId="409" priority="4761" stopIfTrue="1" operator="lessThanOrEqual">
      <formula>50</formula>
    </cfRule>
    <cfRule type="cellIs" dxfId="408" priority="4760" stopIfTrue="1" operator="between">
      <formula>50</formula>
      <formula>59.9999</formula>
    </cfRule>
  </conditionalFormatting>
  <conditionalFormatting sqref="Q762">
    <cfRule type="cellIs" dxfId="407" priority="4668" stopIfTrue="1" operator="between">
      <formula>50</formula>
      <formula>59.9999</formula>
    </cfRule>
    <cfRule type="cellIs" dxfId="406" priority="4669" stopIfTrue="1" operator="lessThanOrEqual">
      <formula>50</formula>
    </cfRule>
  </conditionalFormatting>
  <conditionalFormatting sqref="Q764">
    <cfRule type="cellIs" dxfId="405" priority="4661" stopIfTrue="1" operator="between">
      <formula>50</formula>
      <formula>59.9999</formula>
    </cfRule>
    <cfRule type="cellIs" dxfId="404" priority="4662" stopIfTrue="1" operator="lessThanOrEqual">
      <formula>50</formula>
    </cfRule>
  </conditionalFormatting>
  <conditionalFormatting sqref="Q765">
    <cfRule type="cellIs" dxfId="403" priority="1869" stopIfTrue="1" operator="between">
      <formula>50</formula>
      <formula>59.9999</formula>
    </cfRule>
    <cfRule type="cellIs" dxfId="402" priority="1870" stopIfTrue="1" operator="lessThanOrEqual">
      <formula>50</formula>
    </cfRule>
  </conditionalFormatting>
  <conditionalFormatting sqref="Q766 Q770 Q768">
    <cfRule type="cellIs" dxfId="401" priority="4772" stopIfTrue="1" operator="lessThanOrEqual">
      <formula>50</formula>
    </cfRule>
    <cfRule type="cellIs" dxfId="400" priority="4771" stopIfTrue="1" operator="between">
      <formula>50</formula>
      <formula>59.9999</formula>
    </cfRule>
  </conditionalFormatting>
  <conditionalFormatting sqref="Q767">
    <cfRule type="cellIs" dxfId="399" priority="4655" stopIfTrue="1" operator="lessThanOrEqual">
      <formula>50</formula>
    </cfRule>
    <cfRule type="cellIs" dxfId="398" priority="4654" stopIfTrue="1" operator="between">
      <formula>50</formula>
      <formula>59.9999</formula>
    </cfRule>
  </conditionalFormatting>
  <conditionalFormatting sqref="Q769">
    <cfRule type="cellIs" dxfId="397" priority="4683" stopIfTrue="1" operator="lessThanOrEqual">
      <formula>50</formula>
    </cfRule>
    <cfRule type="cellIs" dxfId="396" priority="4682" stopIfTrue="1" operator="between">
      <formula>50</formula>
      <formula>59.9999</formula>
    </cfRule>
  </conditionalFormatting>
  <conditionalFormatting sqref="Q771">
    <cfRule type="cellIs" dxfId="395" priority="4648" stopIfTrue="1" operator="lessThanOrEqual">
      <formula>50</formula>
    </cfRule>
    <cfRule type="cellIs" dxfId="394" priority="4647" stopIfTrue="1" operator="between">
      <formula>50</formula>
      <formula>59.9999</formula>
    </cfRule>
  </conditionalFormatting>
  <conditionalFormatting sqref="Q772">
    <cfRule type="cellIs" dxfId="393" priority="111" stopIfTrue="1" operator="lessThanOrEqual">
      <formula>50</formula>
    </cfRule>
    <cfRule type="cellIs" dxfId="392" priority="110" stopIfTrue="1" operator="between">
      <formula>50</formula>
      <formula>59.9999</formula>
    </cfRule>
  </conditionalFormatting>
  <conditionalFormatting sqref="Q773">
    <cfRule type="cellIs" dxfId="391" priority="103" stopIfTrue="1" operator="between">
      <formula>50</formula>
      <formula>59.9999</formula>
    </cfRule>
    <cfRule type="cellIs" dxfId="390" priority="104" stopIfTrue="1" operator="lessThanOrEqual">
      <formula>50</formula>
    </cfRule>
  </conditionalFormatting>
  <conditionalFormatting sqref="Q774">
    <cfRule type="cellIs" dxfId="389" priority="72" stopIfTrue="1" operator="lessThanOrEqual">
      <formula>50</formula>
    </cfRule>
    <cfRule type="cellIs" dxfId="388" priority="71" stopIfTrue="1" operator="between">
      <formula>50</formula>
      <formula>59.9999</formula>
    </cfRule>
  </conditionalFormatting>
  <conditionalFormatting sqref="Q775">
    <cfRule type="cellIs" dxfId="387" priority="1296" stopIfTrue="1" operator="between">
      <formula>50</formula>
      <formula>59.9999</formula>
    </cfRule>
    <cfRule type="cellIs" dxfId="386" priority="1297" stopIfTrue="1" operator="lessThanOrEqual">
      <formula>50</formula>
    </cfRule>
  </conditionalFormatting>
  <conditionalFormatting sqref="Q776">
    <cfRule type="cellIs" dxfId="385" priority="1289" stopIfTrue="1" operator="between">
      <formula>50</formula>
      <formula>59.9999</formula>
    </cfRule>
    <cfRule type="cellIs" dxfId="384" priority="1290" stopIfTrue="1" operator="lessThanOrEqual">
      <formula>50</formula>
    </cfRule>
  </conditionalFormatting>
  <conditionalFormatting sqref="Q777">
    <cfRule type="cellIs" dxfId="383" priority="64" stopIfTrue="1" operator="lessThanOrEqual">
      <formula>50</formula>
    </cfRule>
    <cfRule type="cellIs" dxfId="382" priority="63" stopIfTrue="1" operator="between">
      <formula>50</formula>
      <formula>59.9999</formula>
    </cfRule>
  </conditionalFormatting>
  <conditionalFormatting sqref="Q779">
    <cfRule type="cellIs" dxfId="381" priority="1276" stopIfTrue="1" operator="between">
      <formula>50</formula>
      <formula>59.9999</formula>
    </cfRule>
    <cfRule type="cellIs" dxfId="380" priority="1277" stopIfTrue="1" operator="lessThanOrEqual">
      <formula>50</formula>
    </cfRule>
  </conditionalFormatting>
  <conditionalFormatting sqref="Q780 Q778">
    <cfRule type="cellIs" dxfId="379" priority="555" stopIfTrue="1" operator="between">
      <formula>50</formula>
      <formula>59.9999</formula>
    </cfRule>
    <cfRule type="cellIs" dxfId="378" priority="556" stopIfTrue="1" operator="lessThanOrEqual">
      <formula>50</formula>
    </cfRule>
  </conditionalFormatting>
  <conditionalFormatting sqref="Q781">
    <cfRule type="cellIs" dxfId="377" priority="1269" stopIfTrue="1" operator="lessThanOrEqual">
      <formula>50</formula>
    </cfRule>
    <cfRule type="cellIs" dxfId="376" priority="1268" stopIfTrue="1" operator="between">
      <formula>50</formula>
      <formula>59.9999</formula>
    </cfRule>
  </conditionalFormatting>
  <conditionalFormatting sqref="Q782">
    <cfRule type="cellIs" dxfId="375" priority="3541" stopIfTrue="1" operator="lessThanOrEqual">
      <formula>50</formula>
    </cfRule>
    <cfRule type="cellIs" dxfId="374" priority="3540" stopIfTrue="1" operator="between">
      <formula>50</formula>
      <formula>59.9999</formula>
    </cfRule>
  </conditionalFormatting>
  <conditionalFormatting sqref="Q783">
    <cfRule type="cellIs" dxfId="373" priority="1862" stopIfTrue="1" operator="lessThanOrEqual">
      <formula>50</formula>
    </cfRule>
    <cfRule type="cellIs" dxfId="372" priority="1861" stopIfTrue="1" operator="between">
      <formula>50</formula>
      <formula>59.9999</formula>
    </cfRule>
  </conditionalFormatting>
  <conditionalFormatting sqref="Q784">
    <cfRule type="cellIs" dxfId="371" priority="3534" stopIfTrue="1" operator="lessThanOrEqual">
      <formula>50</formula>
    </cfRule>
    <cfRule type="cellIs" dxfId="370" priority="3533" stopIfTrue="1" operator="between">
      <formula>50</formula>
      <formula>59.9999</formula>
    </cfRule>
  </conditionalFormatting>
  <conditionalFormatting sqref="Q785">
    <cfRule type="cellIs" dxfId="369" priority="1853" stopIfTrue="1" operator="between">
      <formula>50</formula>
      <formula>59.9999</formula>
    </cfRule>
    <cfRule type="cellIs" dxfId="368" priority="1854" stopIfTrue="1" operator="lessThanOrEqual">
      <formula>50</formula>
    </cfRule>
  </conditionalFormatting>
  <conditionalFormatting sqref="Q787">
    <cfRule type="cellIs" dxfId="367" priority="3526" stopIfTrue="1" operator="between">
      <formula>50</formula>
      <formula>59.9999</formula>
    </cfRule>
    <cfRule type="cellIs" dxfId="366" priority="3527" stopIfTrue="1" operator="lessThanOrEqual">
      <formula>50</formula>
    </cfRule>
  </conditionalFormatting>
  <conditionalFormatting sqref="Q787:Q882">
    <cfRule type="cellIs" dxfId="365" priority="291" stopIfTrue="1" operator="greaterThanOrEqual">
      <formula>70</formula>
    </cfRule>
    <cfRule type="cellIs" dxfId="364" priority="292" stopIfTrue="1" operator="between">
      <formula>60</formula>
      <formula>69.999999</formula>
    </cfRule>
  </conditionalFormatting>
  <conditionalFormatting sqref="Q788">
    <cfRule type="cellIs" dxfId="363" priority="1846" stopIfTrue="1" operator="lessThanOrEqual">
      <formula>50</formula>
    </cfRule>
    <cfRule type="cellIs" dxfId="362" priority="1845" stopIfTrue="1" operator="between">
      <formula>50</formula>
      <formula>59.9999</formula>
    </cfRule>
  </conditionalFormatting>
  <conditionalFormatting sqref="Q789">
    <cfRule type="cellIs" dxfId="361" priority="3519" stopIfTrue="1" operator="between">
      <formula>50</formula>
      <formula>59.9999</formula>
    </cfRule>
    <cfRule type="cellIs" dxfId="360" priority="3520" stopIfTrue="1" operator="lessThanOrEqual">
      <formula>50</formula>
    </cfRule>
  </conditionalFormatting>
  <conditionalFormatting sqref="Q790">
    <cfRule type="cellIs" dxfId="359" priority="1837" stopIfTrue="1" operator="between">
      <formula>50</formula>
      <formula>59.9999</formula>
    </cfRule>
    <cfRule type="cellIs" dxfId="358" priority="1838" stopIfTrue="1" operator="lessThanOrEqual">
      <formula>50</formula>
    </cfRule>
  </conditionalFormatting>
  <conditionalFormatting sqref="Q791 Q793 Q795 Q797">
    <cfRule type="cellIs" dxfId="357" priority="3513" stopIfTrue="1" operator="lessThanOrEqual">
      <formula>50</formula>
    </cfRule>
    <cfRule type="cellIs" dxfId="356" priority="3512" stopIfTrue="1" operator="between">
      <formula>50</formula>
      <formula>59.9999</formula>
    </cfRule>
  </conditionalFormatting>
  <conditionalFormatting sqref="Q792">
    <cfRule type="cellIs" dxfId="355" priority="1830" stopIfTrue="1" operator="lessThanOrEqual">
      <formula>50</formula>
    </cfRule>
    <cfRule type="cellIs" dxfId="354" priority="1829" stopIfTrue="1" operator="between">
      <formula>50</formula>
      <formula>59.9999</formula>
    </cfRule>
  </conditionalFormatting>
  <conditionalFormatting sqref="Q794">
    <cfRule type="cellIs" dxfId="353" priority="1822" stopIfTrue="1" operator="lessThanOrEqual">
      <formula>50</formula>
    </cfRule>
    <cfRule type="cellIs" dxfId="352" priority="1821" stopIfTrue="1" operator="between">
      <formula>50</formula>
      <formula>59.9999</formula>
    </cfRule>
  </conditionalFormatting>
  <conditionalFormatting sqref="Q796">
    <cfRule type="cellIs" dxfId="351" priority="1814" stopIfTrue="1" operator="lessThanOrEqual">
      <formula>50</formula>
    </cfRule>
    <cfRule type="cellIs" dxfId="350" priority="1813" stopIfTrue="1" operator="between">
      <formula>50</formula>
      <formula>59.9999</formula>
    </cfRule>
  </conditionalFormatting>
  <conditionalFormatting sqref="Q798">
    <cfRule type="cellIs" dxfId="349" priority="1806" stopIfTrue="1" operator="lessThanOrEqual">
      <formula>50</formula>
    </cfRule>
    <cfRule type="cellIs" dxfId="348" priority="1805" stopIfTrue="1" operator="between">
      <formula>50</formula>
      <formula>59.9999</formula>
    </cfRule>
  </conditionalFormatting>
  <conditionalFormatting sqref="Q799">
    <cfRule type="cellIs" dxfId="347" priority="3506" stopIfTrue="1" operator="lessThanOrEqual">
      <formula>50</formula>
    </cfRule>
    <cfRule type="cellIs" dxfId="346" priority="3505" stopIfTrue="1" operator="between">
      <formula>50</formula>
      <formula>59.9999</formula>
    </cfRule>
  </conditionalFormatting>
  <conditionalFormatting sqref="Q800">
    <cfRule type="cellIs" dxfId="345" priority="1797" stopIfTrue="1" operator="between">
      <formula>50</formula>
      <formula>59.9999</formula>
    </cfRule>
    <cfRule type="cellIs" dxfId="344" priority="1798" stopIfTrue="1" operator="lessThanOrEqual">
      <formula>50</formula>
    </cfRule>
  </conditionalFormatting>
  <conditionalFormatting sqref="Q801">
    <cfRule type="cellIs" dxfId="343" priority="3498" stopIfTrue="1" operator="between">
      <formula>50</formula>
      <formula>59.9999</formula>
    </cfRule>
    <cfRule type="cellIs" dxfId="342" priority="3499" stopIfTrue="1" operator="lessThanOrEqual">
      <formula>50</formula>
    </cfRule>
  </conditionalFormatting>
  <conditionalFormatting sqref="Q802">
    <cfRule type="cellIs" dxfId="341" priority="1789" stopIfTrue="1" operator="between">
      <formula>50</formula>
      <formula>59.9999</formula>
    </cfRule>
    <cfRule type="cellIs" dxfId="340" priority="1790" stopIfTrue="1" operator="lessThanOrEqual">
      <formula>50</formula>
    </cfRule>
  </conditionalFormatting>
  <conditionalFormatting sqref="Q803">
    <cfRule type="cellIs" dxfId="339" priority="4779" stopIfTrue="1" operator="between">
      <formula>50</formula>
      <formula>59.9999</formula>
    </cfRule>
    <cfRule type="cellIs" dxfId="338" priority="4780" stopIfTrue="1" operator="lessThanOrEqual">
      <formula>50</formula>
    </cfRule>
  </conditionalFormatting>
  <conditionalFormatting sqref="Q804">
    <cfRule type="cellIs" dxfId="337" priority="4641" stopIfTrue="1" operator="lessThanOrEqual">
      <formula>50</formula>
    </cfRule>
    <cfRule type="cellIs" dxfId="336" priority="4640" stopIfTrue="1" operator="between">
      <formula>50</formula>
      <formula>59.9999</formula>
    </cfRule>
  </conditionalFormatting>
  <conditionalFormatting sqref="Q805 Q818">
    <cfRule type="cellIs" dxfId="335" priority="4756" stopIfTrue="1" operator="between">
      <formula>50</formula>
      <formula>59.9999</formula>
    </cfRule>
    <cfRule type="cellIs" dxfId="334" priority="4757" stopIfTrue="1" operator="lessThanOrEqual">
      <formula>50</formula>
    </cfRule>
  </conditionalFormatting>
  <conditionalFormatting sqref="Q806">
    <cfRule type="cellIs" dxfId="333" priority="4633" stopIfTrue="1" operator="between">
      <formula>50</formula>
      <formula>59.9999</formula>
    </cfRule>
    <cfRule type="cellIs" dxfId="332" priority="4634" stopIfTrue="1" operator="lessThanOrEqual">
      <formula>50</formula>
    </cfRule>
  </conditionalFormatting>
  <conditionalFormatting sqref="Q807">
    <cfRule type="cellIs" dxfId="331" priority="1005" stopIfTrue="1" operator="lessThanOrEqual">
      <formula>50</formula>
    </cfRule>
    <cfRule type="cellIs" dxfId="330" priority="1004" stopIfTrue="1" operator="between">
      <formula>50</formula>
      <formula>59.9999</formula>
    </cfRule>
  </conditionalFormatting>
  <conditionalFormatting sqref="Q808">
    <cfRule type="cellIs" dxfId="329" priority="997" stopIfTrue="1" operator="between">
      <formula>50</formula>
      <formula>59.9999</formula>
    </cfRule>
    <cfRule type="cellIs" dxfId="328" priority="998" stopIfTrue="1" operator="lessThanOrEqual">
      <formula>50</formula>
    </cfRule>
  </conditionalFormatting>
  <conditionalFormatting sqref="Q809 Q811">
    <cfRule type="cellIs" dxfId="327" priority="971" stopIfTrue="1" operator="between">
      <formula>50</formula>
      <formula>59.9999</formula>
    </cfRule>
    <cfRule type="cellIs" dxfId="326" priority="972" stopIfTrue="1" operator="lessThanOrEqual">
      <formula>50</formula>
    </cfRule>
  </conditionalFormatting>
  <conditionalFormatting sqref="Q810">
    <cfRule type="cellIs" dxfId="325" priority="964" stopIfTrue="1" operator="between">
      <formula>50</formula>
      <formula>59.9999</formula>
    </cfRule>
    <cfRule type="cellIs" dxfId="324" priority="965" stopIfTrue="1" operator="lessThanOrEqual">
      <formula>50</formula>
    </cfRule>
  </conditionalFormatting>
  <conditionalFormatting sqref="Q812">
    <cfRule type="cellIs" dxfId="323" priority="956" stopIfTrue="1" operator="between">
      <formula>50</formula>
      <formula>59.9999</formula>
    </cfRule>
    <cfRule type="cellIs" dxfId="322" priority="957" stopIfTrue="1" operator="lessThanOrEqual">
      <formula>50</formula>
    </cfRule>
  </conditionalFormatting>
  <conditionalFormatting sqref="Q813:Q814">
    <cfRule type="cellIs" dxfId="321" priority="989" stopIfTrue="1" operator="between">
      <formula>50</formula>
      <formula>59.9999</formula>
    </cfRule>
    <cfRule type="cellIs" dxfId="320" priority="990" stopIfTrue="1" operator="lessThanOrEqual">
      <formula>50</formula>
    </cfRule>
  </conditionalFormatting>
  <conditionalFormatting sqref="Q815">
    <cfRule type="cellIs" dxfId="319" priority="949" stopIfTrue="1" operator="lessThanOrEqual">
      <formula>50</formula>
    </cfRule>
    <cfRule type="cellIs" dxfId="318" priority="948" stopIfTrue="1" operator="between">
      <formula>50</formula>
      <formula>59.9999</formula>
    </cfRule>
  </conditionalFormatting>
  <conditionalFormatting sqref="Q816">
    <cfRule type="cellIs" dxfId="317" priority="982" stopIfTrue="1" operator="between">
      <formula>50</formula>
      <formula>59.9999</formula>
    </cfRule>
    <cfRule type="cellIs" dxfId="316" priority="983" stopIfTrue="1" operator="lessThanOrEqual">
      <formula>50</formula>
    </cfRule>
  </conditionalFormatting>
  <conditionalFormatting sqref="Q817">
    <cfRule type="cellIs" dxfId="315" priority="940" stopIfTrue="1" operator="between">
      <formula>50</formula>
      <formula>59.9999</formula>
    </cfRule>
    <cfRule type="cellIs" dxfId="314" priority="941" stopIfTrue="1" operator="lessThanOrEqual">
      <formula>50</formula>
    </cfRule>
  </conditionalFormatting>
  <conditionalFormatting sqref="Q819">
    <cfRule type="cellIs" dxfId="313" priority="3491" stopIfTrue="1" operator="between">
      <formula>50</formula>
      <formula>59.9999</formula>
    </cfRule>
    <cfRule type="cellIs" dxfId="312" priority="3492" stopIfTrue="1" operator="lessThanOrEqual">
      <formula>50</formula>
    </cfRule>
  </conditionalFormatting>
  <conditionalFormatting sqref="Q820">
    <cfRule type="cellIs" dxfId="311" priority="1782" stopIfTrue="1" operator="lessThanOrEqual">
      <formula>50</formula>
    </cfRule>
    <cfRule type="cellIs" dxfId="310" priority="1781" stopIfTrue="1" operator="between">
      <formula>50</formula>
      <formula>59.9999</formula>
    </cfRule>
  </conditionalFormatting>
  <conditionalFormatting sqref="Q821:Q822">
    <cfRule type="cellIs" dxfId="309" priority="902" stopIfTrue="1" operator="lessThanOrEqual">
      <formula>50</formula>
    </cfRule>
    <cfRule type="cellIs" dxfId="308" priority="901" stopIfTrue="1" operator="between">
      <formula>50</formula>
      <formula>59.9999</formula>
    </cfRule>
  </conditionalFormatting>
  <conditionalFormatting sqref="Q823">
    <cfRule type="cellIs" dxfId="307" priority="857" stopIfTrue="1" operator="between">
      <formula>50</formula>
      <formula>59.9999</formula>
    </cfRule>
    <cfRule type="cellIs" dxfId="306" priority="858" stopIfTrue="1" operator="lessThanOrEqual">
      <formula>50</formula>
    </cfRule>
  </conditionalFormatting>
  <conditionalFormatting sqref="Q824">
    <cfRule type="cellIs" dxfId="305" priority="894" stopIfTrue="1" operator="between">
      <formula>50</formula>
      <formula>59.9999</formula>
    </cfRule>
    <cfRule type="cellIs" dxfId="304" priority="895" stopIfTrue="1" operator="lessThanOrEqual">
      <formula>50</formula>
    </cfRule>
  </conditionalFormatting>
  <conditionalFormatting sqref="Q825">
    <cfRule type="cellIs" dxfId="303" priority="3484" stopIfTrue="1" operator="between">
      <formula>50</formula>
      <formula>59.9999</formula>
    </cfRule>
    <cfRule type="cellIs" dxfId="302" priority="3485" stopIfTrue="1" operator="lessThanOrEqual">
      <formula>50</formula>
    </cfRule>
  </conditionalFormatting>
  <conditionalFormatting sqref="Q826">
    <cfRule type="cellIs" dxfId="301" priority="1773" stopIfTrue="1" operator="between">
      <formula>50</formula>
      <formula>59.9999</formula>
    </cfRule>
    <cfRule type="cellIs" dxfId="300" priority="1774" stopIfTrue="1" operator="lessThanOrEqual">
      <formula>50</formula>
    </cfRule>
  </conditionalFormatting>
  <conditionalFormatting sqref="Q827">
    <cfRule type="cellIs" dxfId="299" priority="3478" stopIfTrue="1" operator="lessThanOrEqual">
      <formula>50</formula>
    </cfRule>
    <cfRule type="cellIs" dxfId="298" priority="3477" stopIfTrue="1" operator="between">
      <formula>50</formula>
      <formula>59.9999</formula>
    </cfRule>
  </conditionalFormatting>
  <conditionalFormatting sqref="Q828">
    <cfRule type="cellIs" dxfId="297" priority="1766" stopIfTrue="1" operator="lessThanOrEqual">
      <formula>50</formula>
    </cfRule>
    <cfRule type="cellIs" dxfId="296" priority="1765" stopIfTrue="1" operator="between">
      <formula>50</formula>
      <formula>59.9999</formula>
    </cfRule>
  </conditionalFormatting>
  <conditionalFormatting sqref="Q829:Q830">
    <cfRule type="cellIs" dxfId="295" priority="4753" stopIfTrue="1" operator="lessThanOrEqual">
      <formula>50</formula>
    </cfRule>
    <cfRule type="cellIs" dxfId="294" priority="4752" stopIfTrue="1" operator="between">
      <formula>50</formula>
      <formula>59.9999</formula>
    </cfRule>
  </conditionalFormatting>
  <conditionalFormatting sqref="Q831 Q833 Q835 Q837">
    <cfRule type="cellIs" dxfId="293" priority="2233" stopIfTrue="1" operator="lessThanOrEqual">
      <formula>50</formula>
    </cfRule>
    <cfRule type="cellIs" dxfId="292" priority="2232" stopIfTrue="1" operator="between">
      <formula>50</formula>
      <formula>59.9999</formula>
    </cfRule>
  </conditionalFormatting>
  <conditionalFormatting sqref="Q832">
    <cfRule type="cellIs" dxfId="291" priority="1757" stopIfTrue="1" operator="between">
      <formula>50</formula>
      <formula>59.9999</formula>
    </cfRule>
    <cfRule type="cellIs" dxfId="290" priority="1758" stopIfTrue="1" operator="lessThanOrEqual">
      <formula>50</formula>
    </cfRule>
  </conditionalFormatting>
  <conditionalFormatting sqref="Q834">
    <cfRule type="cellIs" dxfId="289" priority="1749" stopIfTrue="1" operator="between">
      <formula>50</formula>
      <formula>59.9999</formula>
    </cfRule>
    <cfRule type="cellIs" dxfId="288" priority="1750" stopIfTrue="1" operator="lessThanOrEqual">
      <formula>50</formula>
    </cfRule>
  </conditionalFormatting>
  <conditionalFormatting sqref="Q836">
    <cfRule type="cellIs" dxfId="287" priority="1741" stopIfTrue="1" operator="between">
      <formula>50</formula>
      <formula>59.9999</formula>
    </cfRule>
    <cfRule type="cellIs" dxfId="286" priority="1742" stopIfTrue="1" operator="lessThanOrEqual">
      <formula>50</formula>
    </cfRule>
  </conditionalFormatting>
  <conditionalFormatting sqref="Q838">
    <cfRule type="cellIs" dxfId="285" priority="1733" stopIfTrue="1" operator="between">
      <formula>50</formula>
      <formula>59.9999</formula>
    </cfRule>
    <cfRule type="cellIs" dxfId="284" priority="1734" stopIfTrue="1" operator="lessThanOrEqual">
      <formula>50</formula>
    </cfRule>
  </conditionalFormatting>
  <conditionalFormatting sqref="Q839">
    <cfRule type="cellIs" dxfId="283" priority="3470" stopIfTrue="1" operator="between">
      <formula>50</formula>
      <formula>59.9999</formula>
    </cfRule>
    <cfRule type="cellIs" dxfId="282" priority="3471" stopIfTrue="1" operator="lessThanOrEqual">
      <formula>50</formula>
    </cfRule>
  </conditionalFormatting>
  <conditionalFormatting sqref="Q840">
    <cfRule type="cellIs" dxfId="281" priority="1725" stopIfTrue="1" operator="between">
      <formula>50</formula>
      <formula>59.9999</formula>
    </cfRule>
    <cfRule type="cellIs" dxfId="280" priority="1726" stopIfTrue="1" operator="lessThanOrEqual">
      <formula>50</formula>
    </cfRule>
  </conditionalFormatting>
  <conditionalFormatting sqref="Q841">
    <cfRule type="cellIs" dxfId="279" priority="3393" stopIfTrue="1" operator="lessThanOrEqual">
      <formula>50</formula>
    </cfRule>
    <cfRule type="cellIs" dxfId="278" priority="3392" stopIfTrue="1" operator="between">
      <formula>50</formula>
      <formula>59.9999</formula>
    </cfRule>
  </conditionalFormatting>
  <conditionalFormatting sqref="Q842">
    <cfRule type="cellIs" dxfId="277" priority="1717" stopIfTrue="1" operator="between">
      <formula>50</formula>
      <formula>59.9999</formula>
    </cfRule>
    <cfRule type="cellIs" dxfId="276" priority="1718" stopIfTrue="1" operator="lessThanOrEqual">
      <formula>50</formula>
    </cfRule>
  </conditionalFormatting>
  <conditionalFormatting sqref="Q843">
    <cfRule type="cellIs" dxfId="275" priority="804" stopIfTrue="1" operator="lessThanOrEqual">
      <formula>50</formula>
    </cfRule>
    <cfRule type="cellIs" dxfId="274" priority="803" stopIfTrue="1" operator="between">
      <formula>50</formula>
      <formula>59.9999</formula>
    </cfRule>
  </conditionalFormatting>
  <conditionalFormatting sqref="Q844">
    <cfRule type="cellIs" dxfId="273" priority="797" stopIfTrue="1" operator="lessThanOrEqual">
      <formula>50</formula>
    </cfRule>
    <cfRule type="cellIs" dxfId="272" priority="796" stopIfTrue="1" operator="between">
      <formula>50</formula>
      <formula>59.9999</formula>
    </cfRule>
  </conditionalFormatting>
  <conditionalFormatting sqref="Q845">
    <cfRule type="cellIs" dxfId="271" priority="789" stopIfTrue="1" operator="between">
      <formula>50</formula>
      <formula>59.9999</formula>
    </cfRule>
    <cfRule type="cellIs" dxfId="270" priority="790" stopIfTrue="1" operator="lessThanOrEqual">
      <formula>50</formula>
    </cfRule>
  </conditionalFormatting>
  <conditionalFormatting sqref="Q846">
    <cfRule type="cellIs" dxfId="269" priority="3464" stopIfTrue="1" operator="lessThanOrEqual">
      <formula>50</formula>
    </cfRule>
    <cfRule type="cellIs" dxfId="268" priority="3463" stopIfTrue="1" operator="between">
      <formula>50</formula>
      <formula>59.9999</formula>
    </cfRule>
  </conditionalFormatting>
  <conditionalFormatting sqref="Q847">
    <cfRule type="cellIs" dxfId="267" priority="1709" stopIfTrue="1" operator="between">
      <formula>50</formula>
      <formula>59.9999</formula>
    </cfRule>
    <cfRule type="cellIs" dxfId="266" priority="1710" stopIfTrue="1" operator="lessThanOrEqual">
      <formula>50</formula>
    </cfRule>
  </conditionalFormatting>
  <conditionalFormatting sqref="Q848">
    <cfRule type="cellIs" dxfId="265" priority="3386" stopIfTrue="1" operator="lessThanOrEqual">
      <formula>50</formula>
    </cfRule>
    <cfRule type="cellIs" dxfId="264" priority="3385" stopIfTrue="1" operator="between">
      <formula>50</formula>
      <formula>59.9999</formula>
    </cfRule>
  </conditionalFormatting>
  <conditionalFormatting sqref="Q849">
    <cfRule type="cellIs" dxfId="263" priority="1702" stopIfTrue="1" operator="lessThanOrEqual">
      <formula>50</formula>
    </cfRule>
    <cfRule type="cellIs" dxfId="262" priority="1701" stopIfTrue="1" operator="between">
      <formula>50</formula>
      <formula>59.9999</formula>
    </cfRule>
  </conditionalFormatting>
  <conditionalFormatting sqref="Q850">
    <cfRule type="cellIs" dxfId="261" priority="4767" stopIfTrue="1" operator="between">
      <formula>50</formula>
      <formula>59.9999</formula>
    </cfRule>
    <cfRule type="cellIs" dxfId="260" priority="4768" stopIfTrue="1" operator="lessThanOrEqual">
      <formula>50</formula>
    </cfRule>
  </conditionalFormatting>
  <conditionalFormatting sqref="Q851">
    <cfRule type="cellIs" dxfId="259" priority="3457" stopIfTrue="1" operator="lessThanOrEqual">
      <formula>50</formula>
    </cfRule>
    <cfRule type="cellIs" dxfId="258" priority="3456" stopIfTrue="1" operator="between">
      <formula>50</formula>
      <formula>59.9999</formula>
    </cfRule>
  </conditionalFormatting>
  <conditionalFormatting sqref="Q852">
    <cfRule type="cellIs" dxfId="257" priority="1694" stopIfTrue="1" operator="lessThanOrEqual">
      <formula>50</formula>
    </cfRule>
    <cfRule type="cellIs" dxfId="256" priority="1693" stopIfTrue="1" operator="between">
      <formula>50</formula>
      <formula>59.9999</formula>
    </cfRule>
  </conditionalFormatting>
  <conditionalFormatting sqref="Q853:Q854">
    <cfRule type="cellIs" dxfId="255" priority="645" stopIfTrue="1" operator="between">
      <formula>50</formula>
      <formula>59.9999</formula>
    </cfRule>
    <cfRule type="cellIs" dxfId="254" priority="646" stopIfTrue="1" operator="lessThanOrEqual">
      <formula>50</formula>
    </cfRule>
  </conditionalFormatting>
  <conditionalFormatting sqref="Q855:Q856">
    <cfRule type="cellIs" dxfId="253" priority="635" stopIfTrue="1" operator="lessThanOrEqual">
      <formula>50</formula>
    </cfRule>
    <cfRule type="cellIs" dxfId="252" priority="634" stopIfTrue="1" operator="between">
      <formula>50</formula>
      <formula>59.9999</formula>
    </cfRule>
  </conditionalFormatting>
  <conditionalFormatting sqref="Q857 Q859">
    <cfRule type="cellIs" dxfId="251" priority="623" stopIfTrue="1" operator="between">
      <formula>50</formula>
      <formula>59.9999</formula>
    </cfRule>
    <cfRule type="cellIs" dxfId="250" priority="624" stopIfTrue="1" operator="lessThanOrEqual">
      <formula>50</formula>
    </cfRule>
  </conditionalFormatting>
  <conditionalFormatting sqref="Q858">
    <cfRule type="cellIs" dxfId="249" priority="617" stopIfTrue="1" operator="lessThanOrEqual">
      <formula>50</formula>
    </cfRule>
    <cfRule type="cellIs" dxfId="248" priority="616" stopIfTrue="1" operator="between">
      <formula>50</formula>
      <formula>59.9999</formula>
    </cfRule>
  </conditionalFormatting>
  <conditionalFormatting sqref="Q860">
    <cfRule type="cellIs" dxfId="247" priority="608" stopIfTrue="1" operator="between">
      <formula>50</formula>
      <formula>59.9999</formula>
    </cfRule>
    <cfRule type="cellIs" dxfId="246" priority="609" stopIfTrue="1" operator="lessThanOrEqual">
      <formula>50</formula>
    </cfRule>
  </conditionalFormatting>
  <conditionalFormatting sqref="Q861">
    <cfRule type="cellIs" dxfId="245" priority="3450" stopIfTrue="1" operator="lessThanOrEqual">
      <formula>50</formula>
    </cfRule>
    <cfRule type="cellIs" dxfId="244" priority="3449" stopIfTrue="1" operator="between">
      <formula>50</formula>
      <formula>59.9999</formula>
    </cfRule>
  </conditionalFormatting>
  <conditionalFormatting sqref="Q862">
    <cfRule type="cellIs" dxfId="243" priority="1685" stopIfTrue="1" operator="between">
      <formula>50</formula>
      <formula>59.9999</formula>
    </cfRule>
    <cfRule type="cellIs" dxfId="242" priority="1686" stopIfTrue="1" operator="lessThanOrEqual">
      <formula>50</formula>
    </cfRule>
  </conditionalFormatting>
  <conditionalFormatting sqref="Q863 Q865">
    <cfRule type="cellIs" dxfId="241" priority="381" stopIfTrue="1" operator="lessThanOrEqual">
      <formula>50</formula>
    </cfRule>
    <cfRule type="cellIs" dxfId="240" priority="380" stopIfTrue="1" operator="between">
      <formula>50</formula>
      <formula>59.9999</formula>
    </cfRule>
  </conditionalFormatting>
  <conditionalFormatting sqref="Q864">
    <cfRule type="cellIs" dxfId="239" priority="349" stopIfTrue="1" operator="between">
      <formula>50</formula>
      <formula>59.9999</formula>
    </cfRule>
    <cfRule type="cellIs" dxfId="238" priority="350" stopIfTrue="1" operator="lessThanOrEqual">
      <formula>50</formula>
    </cfRule>
  </conditionalFormatting>
  <conditionalFormatting sqref="Q866">
    <cfRule type="cellIs" dxfId="237" priority="342" stopIfTrue="1" operator="lessThanOrEqual">
      <formula>50</formula>
    </cfRule>
    <cfRule type="cellIs" dxfId="236" priority="341" stopIfTrue="1" operator="between">
      <formula>50</formula>
      <formula>59.9999</formula>
    </cfRule>
  </conditionalFormatting>
  <conditionalFormatting sqref="Q867 Q869">
    <cfRule type="cellIs" dxfId="235" priority="373" stopIfTrue="1" operator="lessThanOrEqual">
      <formula>50</formula>
    </cfRule>
    <cfRule type="cellIs" dxfId="234" priority="372" stopIfTrue="1" operator="between">
      <formula>50</formula>
      <formula>59.9999</formula>
    </cfRule>
  </conditionalFormatting>
  <conditionalFormatting sqref="Q868">
    <cfRule type="cellIs" dxfId="233" priority="334" stopIfTrue="1" operator="lessThanOrEqual">
      <formula>50</formula>
    </cfRule>
    <cfRule type="cellIs" dxfId="232" priority="333" stopIfTrue="1" operator="between">
      <formula>50</formula>
      <formula>59.9999</formula>
    </cfRule>
  </conditionalFormatting>
  <conditionalFormatting sqref="Q870">
    <cfRule type="cellIs" dxfId="231" priority="310" stopIfTrue="1" operator="lessThanOrEqual">
      <formula>50</formula>
    </cfRule>
    <cfRule type="cellIs" dxfId="230" priority="309" stopIfTrue="1" operator="between">
      <formula>50</formula>
      <formula>59.9999</formula>
    </cfRule>
  </conditionalFormatting>
  <conditionalFormatting sqref="Q871 Q873">
    <cfRule type="cellIs" dxfId="229" priority="364" stopIfTrue="1" operator="between">
      <formula>50</formula>
      <formula>59.9999</formula>
    </cfRule>
    <cfRule type="cellIs" dxfId="228" priority="365" stopIfTrue="1" operator="lessThanOrEqual">
      <formula>50</formula>
    </cfRule>
  </conditionalFormatting>
  <conditionalFormatting sqref="Q872">
    <cfRule type="cellIs" dxfId="227" priority="326" stopIfTrue="1" operator="lessThanOrEqual">
      <formula>50</formula>
    </cfRule>
    <cfRule type="cellIs" dxfId="226" priority="325" stopIfTrue="1" operator="between">
      <formula>50</formula>
      <formula>59.9999</formula>
    </cfRule>
  </conditionalFormatting>
  <conditionalFormatting sqref="Q874">
    <cfRule type="cellIs" dxfId="225" priority="302" stopIfTrue="1" operator="lessThanOrEqual">
      <formula>50</formula>
    </cfRule>
    <cfRule type="cellIs" dxfId="224" priority="301" stopIfTrue="1" operator="between">
      <formula>50</formula>
      <formula>59.9999</formula>
    </cfRule>
  </conditionalFormatting>
  <conditionalFormatting sqref="Q875 Q877">
    <cfRule type="cellIs" dxfId="223" priority="356" stopIfTrue="1" operator="between">
      <formula>50</formula>
      <formula>59.9999</formula>
    </cfRule>
    <cfRule type="cellIs" dxfId="222" priority="357" stopIfTrue="1" operator="lessThanOrEqual">
      <formula>50</formula>
    </cfRule>
  </conditionalFormatting>
  <conditionalFormatting sqref="Q876">
    <cfRule type="cellIs" dxfId="221" priority="317" stopIfTrue="1" operator="between">
      <formula>50</formula>
      <formula>59.9999</formula>
    </cfRule>
    <cfRule type="cellIs" dxfId="220" priority="318" stopIfTrue="1" operator="lessThanOrEqual">
      <formula>50</formula>
    </cfRule>
  </conditionalFormatting>
  <conditionalFormatting sqref="Q878">
    <cfRule type="cellIs" dxfId="219" priority="294" stopIfTrue="1" operator="lessThanOrEqual">
      <formula>50</formula>
    </cfRule>
    <cfRule type="cellIs" dxfId="218" priority="293" stopIfTrue="1" operator="between">
      <formula>50</formula>
      <formula>59.9999</formula>
    </cfRule>
  </conditionalFormatting>
  <conditionalFormatting sqref="Q879">
    <cfRule type="cellIs" dxfId="217" priority="2225" stopIfTrue="1" operator="between">
      <formula>50</formula>
      <formula>59.9999</formula>
    </cfRule>
    <cfRule type="cellIs" dxfId="216" priority="2226" stopIfTrue="1" operator="lessThanOrEqual">
      <formula>50</formula>
    </cfRule>
  </conditionalFormatting>
  <conditionalFormatting sqref="Q880">
    <cfRule type="cellIs" dxfId="215" priority="1678" stopIfTrue="1" operator="lessThanOrEqual">
      <formula>50</formula>
    </cfRule>
    <cfRule type="cellIs" dxfId="214" priority="1677" stopIfTrue="1" operator="between">
      <formula>50</formula>
      <formula>59.9999</formula>
    </cfRule>
  </conditionalFormatting>
  <conditionalFormatting sqref="Q881">
    <cfRule type="cellIs" dxfId="213" priority="2219" stopIfTrue="1" operator="lessThanOrEqual">
      <formula>50</formula>
    </cfRule>
    <cfRule type="cellIs" dxfId="212" priority="2218" stopIfTrue="1" operator="between">
      <formula>50</formula>
      <formula>59.9999</formula>
    </cfRule>
  </conditionalFormatting>
  <conditionalFormatting sqref="Q882">
    <cfRule type="cellIs" dxfId="211" priority="1669" stopIfTrue="1" operator="between">
      <formula>50</formula>
      <formula>59.9999</formula>
    </cfRule>
    <cfRule type="cellIs" dxfId="210" priority="1670" stopIfTrue="1" operator="lessThanOrEqual">
      <formula>50</formula>
    </cfRule>
  </conditionalFormatting>
  <conditionalFormatting sqref="Q885">
    <cfRule type="cellIs" dxfId="209" priority="4583" stopIfTrue="1" operator="lessThanOrEqual">
      <formula>50</formula>
    </cfRule>
    <cfRule type="cellIs" dxfId="208" priority="4582" stopIfTrue="1" operator="between">
      <formula>50</formula>
      <formula>59.9999</formula>
    </cfRule>
  </conditionalFormatting>
  <conditionalFormatting sqref="Q885:Q936">
    <cfRule type="cellIs" dxfId="207" priority="22" stopIfTrue="1" operator="between">
      <formula>60</formula>
      <formula>69.999999</formula>
    </cfRule>
    <cfRule type="cellIs" dxfId="206" priority="21" stopIfTrue="1" operator="greaterThanOrEqual">
      <formula>70</formula>
    </cfRule>
  </conditionalFormatting>
  <conditionalFormatting sqref="Q886:Q888">
    <cfRule type="cellIs" dxfId="205" priority="4576" stopIfTrue="1" operator="lessThanOrEqual">
      <formula>50</formula>
    </cfRule>
    <cfRule type="cellIs" dxfId="204" priority="4575" stopIfTrue="1" operator="between">
      <formula>50</formula>
      <formula>59.9999</formula>
    </cfRule>
  </conditionalFormatting>
  <conditionalFormatting sqref="Q889">
    <cfRule type="cellIs" dxfId="203" priority="3927" stopIfTrue="1" operator="lessThanOrEqual">
      <formula>50</formula>
    </cfRule>
    <cfRule type="cellIs" dxfId="202" priority="3926" stopIfTrue="1" operator="between">
      <formula>50</formula>
      <formula>59.9999</formula>
    </cfRule>
  </conditionalFormatting>
  <conditionalFormatting sqref="Q890">
    <cfRule type="cellIs" dxfId="201" priority="4626" stopIfTrue="1" operator="between">
      <formula>50</formula>
      <formula>59.9999</formula>
    </cfRule>
    <cfRule type="cellIs" dxfId="200" priority="4627" stopIfTrue="1" operator="lessThanOrEqual">
      <formula>50</formula>
    </cfRule>
  </conditionalFormatting>
  <conditionalFormatting sqref="Q891">
    <cfRule type="cellIs" dxfId="199" priority="4572" stopIfTrue="1" operator="lessThanOrEqual">
      <formula>50</formula>
    </cfRule>
    <cfRule type="cellIs" dxfId="198" priority="4571" stopIfTrue="1" operator="between">
      <formula>50</formula>
      <formula>59.9999</formula>
    </cfRule>
  </conditionalFormatting>
  <conditionalFormatting sqref="Q892">
    <cfRule type="cellIs" dxfId="197" priority="3923" stopIfTrue="1" operator="lessThanOrEqual">
      <formula>50</formula>
    </cfRule>
    <cfRule type="cellIs" dxfId="196" priority="3922" stopIfTrue="1" operator="between">
      <formula>50</formula>
      <formula>59.9999</formula>
    </cfRule>
  </conditionalFormatting>
  <conditionalFormatting sqref="Q893">
    <cfRule type="cellIs" dxfId="195" priority="3919" stopIfTrue="1" operator="lessThanOrEqual">
      <formula>50</formula>
    </cfRule>
    <cfRule type="cellIs" dxfId="194" priority="3918" stopIfTrue="1" operator="between">
      <formula>50</formula>
      <formula>59.9999</formula>
    </cfRule>
  </conditionalFormatting>
  <conditionalFormatting sqref="Q894:Q895">
    <cfRule type="cellIs" dxfId="193" priority="1488" stopIfTrue="1" operator="between">
      <formula>50</formula>
      <formula>59.9999</formula>
    </cfRule>
    <cfRule type="cellIs" dxfId="192" priority="1489" stopIfTrue="1" operator="lessThanOrEqual">
      <formula>50</formula>
    </cfRule>
  </conditionalFormatting>
  <conditionalFormatting sqref="Q896">
    <cfRule type="cellIs" dxfId="191" priority="3915" stopIfTrue="1" operator="lessThanOrEqual">
      <formula>50</formula>
    </cfRule>
    <cfRule type="cellIs" dxfId="190" priority="3914" stopIfTrue="1" operator="between">
      <formula>50</formula>
      <formula>59.9999</formula>
    </cfRule>
  </conditionalFormatting>
  <conditionalFormatting sqref="Q897">
    <cfRule type="cellIs" dxfId="189" priority="3910" stopIfTrue="1" operator="between">
      <formula>50</formula>
      <formula>59.9999</formula>
    </cfRule>
    <cfRule type="cellIs" dxfId="188" priority="3911" stopIfTrue="1" operator="lessThanOrEqual">
      <formula>50</formula>
    </cfRule>
  </conditionalFormatting>
  <conditionalFormatting sqref="Q898">
    <cfRule type="cellIs" dxfId="187" priority="23" stopIfTrue="1" operator="between">
      <formula>50</formula>
      <formula>59.9999</formula>
    </cfRule>
    <cfRule type="cellIs" dxfId="186" priority="24" stopIfTrue="1" operator="lessThanOrEqual">
      <formula>50</formula>
    </cfRule>
  </conditionalFormatting>
  <conditionalFormatting sqref="Q899">
    <cfRule type="cellIs" dxfId="185" priority="3907" stopIfTrue="1" operator="lessThanOrEqual">
      <formula>50</formula>
    </cfRule>
    <cfRule type="cellIs" dxfId="184" priority="3906" stopIfTrue="1" operator="between">
      <formula>50</formula>
      <formula>59.9999</formula>
    </cfRule>
  </conditionalFormatting>
  <conditionalFormatting sqref="Q900">
    <cfRule type="cellIs" dxfId="183" priority="3902" stopIfTrue="1" operator="between">
      <formula>50</formula>
      <formula>59.9999</formula>
    </cfRule>
    <cfRule type="cellIs" dxfId="182" priority="3903" stopIfTrue="1" operator="lessThanOrEqual">
      <formula>50</formula>
    </cfRule>
  </conditionalFormatting>
  <conditionalFormatting sqref="Q901">
    <cfRule type="cellIs" dxfId="181" priority="4618" stopIfTrue="1" operator="between">
      <formula>50</formula>
      <formula>59.9999</formula>
    </cfRule>
    <cfRule type="cellIs" dxfId="180" priority="4619" stopIfTrue="1" operator="lessThanOrEqual">
      <formula>50</formula>
    </cfRule>
  </conditionalFormatting>
  <conditionalFormatting sqref="Q902">
    <cfRule type="cellIs" dxfId="179" priority="3898" stopIfTrue="1" operator="between">
      <formula>50</formula>
      <formula>59.9999</formula>
    </cfRule>
    <cfRule type="cellIs" dxfId="178" priority="3899" stopIfTrue="1" operator="lessThanOrEqual">
      <formula>50</formula>
    </cfRule>
  </conditionalFormatting>
  <conditionalFormatting sqref="Q903">
    <cfRule type="cellIs" dxfId="177" priority="175" stopIfTrue="1" operator="lessThanOrEqual">
      <formula>50</formula>
    </cfRule>
    <cfRule type="cellIs" dxfId="176" priority="174" stopIfTrue="1" operator="between">
      <formula>50</formula>
      <formula>59.9999</formula>
    </cfRule>
  </conditionalFormatting>
  <conditionalFormatting sqref="Q904">
    <cfRule type="cellIs" dxfId="175" priority="167" stopIfTrue="1" operator="between">
      <formula>50</formula>
      <formula>59.9999</formula>
    </cfRule>
    <cfRule type="cellIs" dxfId="174" priority="168" stopIfTrue="1" operator="lessThanOrEqual">
      <formula>50</formula>
    </cfRule>
  </conditionalFormatting>
  <conditionalFormatting sqref="Q905:Q906">
    <cfRule type="cellIs" dxfId="173" priority="1427" stopIfTrue="1" operator="between">
      <formula>50</formula>
      <formula>59.9999</formula>
    </cfRule>
    <cfRule type="cellIs" dxfId="172" priority="1428" stopIfTrue="1" operator="lessThanOrEqual">
      <formula>50</formula>
    </cfRule>
  </conditionalFormatting>
  <conditionalFormatting sqref="Q907:Q909 Q911:Q912">
    <cfRule type="cellIs" dxfId="171" priority="2191" stopIfTrue="1" operator="lessThanOrEqual">
      <formula>50</formula>
    </cfRule>
    <cfRule type="cellIs" dxfId="170" priority="2190" stopIfTrue="1" operator="between">
      <formula>50</formula>
      <formula>59.9999</formula>
    </cfRule>
  </conditionalFormatting>
  <conditionalFormatting sqref="Q910">
    <cfRule type="cellIs" dxfId="169" priority="2184" stopIfTrue="1" operator="lessThanOrEqual">
      <formula>50</formula>
    </cfRule>
    <cfRule type="cellIs" dxfId="168" priority="2183" stopIfTrue="1" operator="between">
      <formula>50</formula>
      <formula>59.9999</formula>
    </cfRule>
  </conditionalFormatting>
  <conditionalFormatting sqref="Q913">
    <cfRule type="cellIs" dxfId="167" priority="3894" stopIfTrue="1" operator="between">
      <formula>50</formula>
      <formula>59.9999</formula>
    </cfRule>
    <cfRule type="cellIs" dxfId="166" priority="3895" stopIfTrue="1" operator="lessThanOrEqual">
      <formula>50</formula>
    </cfRule>
  </conditionalFormatting>
  <conditionalFormatting sqref="Q914">
    <cfRule type="cellIs" dxfId="165" priority="3890" stopIfTrue="1" operator="between">
      <formula>50</formula>
      <formula>59.9999</formula>
    </cfRule>
    <cfRule type="cellIs" dxfId="164" priority="3891" stopIfTrue="1" operator="lessThanOrEqual">
      <formula>50</formula>
    </cfRule>
  </conditionalFormatting>
  <conditionalFormatting sqref="Q915">
    <cfRule type="cellIs" dxfId="163" priority="3887" stopIfTrue="1" operator="lessThanOrEqual">
      <formula>50</formula>
    </cfRule>
    <cfRule type="cellIs" dxfId="162" priority="3886" stopIfTrue="1" operator="between">
      <formula>50</formula>
      <formula>59.9999</formula>
    </cfRule>
  </conditionalFormatting>
  <conditionalFormatting sqref="Q916">
    <cfRule type="cellIs" dxfId="161" priority="3882" stopIfTrue="1" operator="between">
      <formula>50</formula>
      <formula>59.9999</formula>
    </cfRule>
    <cfRule type="cellIs" dxfId="160" priority="3883" stopIfTrue="1" operator="lessThanOrEqual">
      <formula>50</formula>
    </cfRule>
  </conditionalFormatting>
  <conditionalFormatting sqref="Q917">
    <cfRule type="cellIs" dxfId="159" priority="3879" stopIfTrue="1" operator="lessThanOrEqual">
      <formula>50</formula>
    </cfRule>
    <cfRule type="cellIs" dxfId="158" priority="3878" stopIfTrue="1" operator="between">
      <formula>50</formula>
      <formula>59.9999</formula>
    </cfRule>
  </conditionalFormatting>
  <conditionalFormatting sqref="Q918">
    <cfRule type="cellIs" dxfId="157" priority="3875" stopIfTrue="1" operator="lessThanOrEqual">
      <formula>50</formula>
    </cfRule>
    <cfRule type="cellIs" dxfId="156" priority="3874" stopIfTrue="1" operator="between">
      <formula>50</formula>
      <formula>59.9999</formula>
    </cfRule>
  </conditionalFormatting>
  <conditionalFormatting sqref="Q919">
    <cfRule type="cellIs" dxfId="155" priority="4623" stopIfTrue="1" operator="lessThanOrEqual">
      <formula>50</formula>
    </cfRule>
    <cfRule type="cellIs" dxfId="154" priority="4622" stopIfTrue="1" operator="between">
      <formula>50</formula>
      <formula>59.9999</formula>
    </cfRule>
  </conditionalFormatting>
  <conditionalFormatting sqref="Q920">
    <cfRule type="cellIs" dxfId="153" priority="3870" stopIfTrue="1" operator="between">
      <formula>50</formula>
      <formula>59.9999</formula>
    </cfRule>
    <cfRule type="cellIs" dxfId="152" priority="3871" stopIfTrue="1" operator="lessThanOrEqual">
      <formula>50</formula>
    </cfRule>
  </conditionalFormatting>
  <conditionalFormatting sqref="Q921">
    <cfRule type="cellIs" dxfId="151" priority="3866" stopIfTrue="1" operator="between">
      <formula>50</formula>
      <formula>59.9999</formula>
    </cfRule>
    <cfRule type="cellIs" dxfId="150" priority="3867" stopIfTrue="1" operator="lessThanOrEqual">
      <formula>50</formula>
    </cfRule>
  </conditionalFormatting>
  <conditionalFormatting sqref="Q922">
    <cfRule type="cellIs" dxfId="149" priority="3862" stopIfTrue="1" operator="between">
      <formula>50</formula>
      <formula>59.9999</formula>
    </cfRule>
    <cfRule type="cellIs" dxfId="148" priority="3863" stopIfTrue="1" operator="lessThanOrEqual">
      <formula>50</formula>
    </cfRule>
  </conditionalFormatting>
  <conditionalFormatting sqref="Q923">
    <cfRule type="cellIs" dxfId="147" priority="3858" stopIfTrue="1" operator="between">
      <formula>50</formula>
      <formula>59.9999</formula>
    </cfRule>
    <cfRule type="cellIs" dxfId="146" priority="3859" stopIfTrue="1" operator="lessThanOrEqual">
      <formula>50</formula>
    </cfRule>
  </conditionalFormatting>
  <conditionalFormatting sqref="Q924">
    <cfRule type="cellIs" dxfId="145" priority="3854" stopIfTrue="1" operator="between">
      <formula>50</formula>
      <formula>59.9999</formula>
    </cfRule>
    <cfRule type="cellIs" dxfId="144" priority="3855" stopIfTrue="1" operator="lessThanOrEqual">
      <formula>50</formula>
    </cfRule>
  </conditionalFormatting>
  <conditionalFormatting sqref="Q925:Q927 Q929:Q930 Q932">
    <cfRule type="cellIs" dxfId="143" priority="2211" stopIfTrue="1" operator="between">
      <formula>50</formula>
      <formula>59.9999</formula>
    </cfRule>
    <cfRule type="cellIs" dxfId="142" priority="2212" stopIfTrue="1" operator="lessThanOrEqual">
      <formula>50</formula>
    </cfRule>
  </conditionalFormatting>
  <conditionalFormatting sqref="Q928">
    <cfRule type="cellIs" dxfId="141" priority="2204" stopIfTrue="1" operator="between">
      <formula>50</formula>
      <formula>59.9999</formula>
    </cfRule>
    <cfRule type="cellIs" dxfId="140" priority="2205" stopIfTrue="1" operator="lessThanOrEqual">
      <formula>50</formula>
    </cfRule>
  </conditionalFormatting>
  <conditionalFormatting sqref="Q931">
    <cfRule type="cellIs" dxfId="139" priority="2197" stopIfTrue="1" operator="between">
      <formula>50</formula>
      <formula>59.9999</formula>
    </cfRule>
    <cfRule type="cellIs" dxfId="138" priority="2198" stopIfTrue="1" operator="lessThanOrEqual">
      <formula>50</formula>
    </cfRule>
  </conditionalFormatting>
  <conditionalFormatting sqref="Q933">
    <cfRule type="cellIs" dxfId="137" priority="3851" stopIfTrue="1" operator="lessThanOrEqual">
      <formula>50</formula>
    </cfRule>
    <cfRule type="cellIs" dxfId="136" priority="3850" stopIfTrue="1" operator="between">
      <formula>50</formula>
      <formula>59.9999</formula>
    </cfRule>
  </conditionalFormatting>
  <conditionalFormatting sqref="Q934">
    <cfRule type="cellIs" dxfId="135" priority="3846" stopIfTrue="1" operator="between">
      <formula>50</formula>
      <formula>59.9999</formula>
    </cfRule>
    <cfRule type="cellIs" dxfId="134" priority="3847" stopIfTrue="1" operator="lessThanOrEqual">
      <formula>50</formula>
    </cfRule>
  </conditionalFormatting>
  <conditionalFormatting sqref="Q935">
    <cfRule type="cellIs" dxfId="133" priority="4564" stopIfTrue="1" operator="lessThanOrEqual">
      <formula>50</formula>
    </cfRule>
    <cfRule type="cellIs" dxfId="132" priority="4563" stopIfTrue="1" operator="between">
      <formula>50</formula>
      <formula>59.9999</formula>
    </cfRule>
  </conditionalFormatting>
  <conditionalFormatting sqref="Q936">
    <cfRule type="cellIs" dxfId="131" priority="3843" stopIfTrue="1" operator="lessThanOrEqual">
      <formula>50</formula>
    </cfRule>
    <cfRule type="cellIs" dxfId="130" priority="3842" stopIfTrue="1" operator="between">
      <formula>50</formula>
      <formula>59.9999</formula>
    </cfRule>
  </conditionalFormatting>
  <conditionalFormatting sqref="Q938">
    <cfRule type="cellIs" dxfId="129" priority="3838" stopIfTrue="1" operator="between">
      <formula>50</formula>
      <formula>59.9999</formula>
    </cfRule>
    <cfRule type="cellIs" dxfId="128" priority="3839" stopIfTrue="1" operator="lessThanOrEqual">
      <formula>50</formula>
    </cfRule>
  </conditionalFormatting>
  <conditionalFormatting sqref="Q938:Q966">
    <cfRule type="cellIs" dxfId="127" priority="85" stopIfTrue="1" operator="greaterThanOrEqual">
      <formula>70</formula>
    </cfRule>
    <cfRule type="cellIs" dxfId="126" priority="86" stopIfTrue="1" operator="between">
      <formula>60</formula>
      <formula>69.999999</formula>
    </cfRule>
  </conditionalFormatting>
  <conditionalFormatting sqref="Q939">
    <cfRule type="cellIs" dxfId="125" priority="3834" stopIfTrue="1" operator="between">
      <formula>50</formula>
      <formula>59.9999</formula>
    </cfRule>
    <cfRule type="cellIs" dxfId="124" priority="3835" stopIfTrue="1" operator="lessThanOrEqual">
      <formula>50</formula>
    </cfRule>
  </conditionalFormatting>
  <conditionalFormatting sqref="Q940">
    <cfRule type="cellIs" dxfId="123" priority="4606" stopIfTrue="1" operator="between">
      <formula>50</formula>
      <formula>59.9999</formula>
    </cfRule>
    <cfRule type="cellIs" dxfId="122" priority="4607" stopIfTrue="1" operator="lessThanOrEqual">
      <formula>50</formula>
    </cfRule>
  </conditionalFormatting>
  <conditionalFormatting sqref="Q941 Q943">
    <cfRule type="cellIs" dxfId="121" priority="4615" stopIfTrue="1" operator="lessThanOrEqual">
      <formula>50</formula>
    </cfRule>
    <cfRule type="cellIs" dxfId="120" priority="4614" stopIfTrue="1" operator="between">
      <formula>50</formula>
      <formula>59.9999</formula>
    </cfRule>
  </conditionalFormatting>
  <conditionalFormatting sqref="Q942">
    <cfRule type="cellIs" dxfId="119" priority="3830" stopIfTrue="1" operator="between">
      <formula>50</formula>
      <formula>59.9999</formula>
    </cfRule>
    <cfRule type="cellIs" dxfId="118" priority="3831" stopIfTrue="1" operator="lessThanOrEqual">
      <formula>50</formula>
    </cfRule>
  </conditionalFormatting>
  <conditionalFormatting sqref="Q944">
    <cfRule type="cellIs" dxfId="117" priority="3827" stopIfTrue="1" operator="lessThanOrEqual">
      <formula>50</formula>
    </cfRule>
    <cfRule type="cellIs" dxfId="116" priority="3826" stopIfTrue="1" operator="between">
      <formula>50</formula>
      <formula>59.9999</formula>
    </cfRule>
  </conditionalFormatting>
  <conditionalFormatting sqref="Q945">
    <cfRule type="cellIs" dxfId="115" priority="3822" stopIfTrue="1" operator="between">
      <formula>50</formula>
      <formula>59.9999</formula>
    </cfRule>
    <cfRule type="cellIs" dxfId="114" priority="3823" stopIfTrue="1" operator="lessThanOrEqual">
      <formula>50</formula>
    </cfRule>
  </conditionalFormatting>
  <conditionalFormatting sqref="Q946">
    <cfRule type="cellIs" dxfId="113" priority="3818" stopIfTrue="1" operator="between">
      <formula>50</formula>
      <formula>59.9999</formula>
    </cfRule>
    <cfRule type="cellIs" dxfId="112" priority="3819" stopIfTrue="1" operator="lessThanOrEqual">
      <formula>50</formula>
    </cfRule>
  </conditionalFormatting>
  <conditionalFormatting sqref="Q947">
    <cfRule type="cellIs" dxfId="111" priority="3814" stopIfTrue="1" operator="between">
      <formula>50</formula>
      <formula>59.9999</formula>
    </cfRule>
    <cfRule type="cellIs" dxfId="110" priority="3815" stopIfTrue="1" operator="lessThanOrEqual">
      <formula>50</formula>
    </cfRule>
  </conditionalFormatting>
  <conditionalFormatting sqref="Q948">
    <cfRule type="cellIs" dxfId="109" priority="3810" stopIfTrue="1" operator="between">
      <formula>50</formula>
      <formula>59.9999</formula>
    </cfRule>
    <cfRule type="cellIs" dxfId="108" priority="3811" stopIfTrue="1" operator="lessThanOrEqual">
      <formula>50</formula>
    </cfRule>
  </conditionalFormatting>
  <conditionalFormatting sqref="Q949 Q951">
    <cfRule type="cellIs" dxfId="107" priority="4594" stopIfTrue="1" operator="between">
      <formula>50</formula>
      <formula>59.9999</formula>
    </cfRule>
    <cfRule type="cellIs" dxfId="106" priority="4595" stopIfTrue="1" operator="lessThanOrEqual">
      <formula>50</formula>
    </cfRule>
  </conditionalFormatting>
  <conditionalFormatting sqref="Q950">
    <cfRule type="cellIs" dxfId="105" priority="4559" stopIfTrue="1" operator="between">
      <formula>50</formula>
      <formula>59.9999</formula>
    </cfRule>
    <cfRule type="cellIs" dxfId="104" priority="4560" stopIfTrue="1" operator="lessThanOrEqual">
      <formula>50</formula>
    </cfRule>
  </conditionalFormatting>
  <conditionalFormatting sqref="Q952">
    <cfRule type="cellIs" dxfId="103" priority="4556" stopIfTrue="1" operator="lessThanOrEqual">
      <formula>50</formula>
    </cfRule>
    <cfRule type="cellIs" dxfId="102" priority="4555" stopIfTrue="1" operator="between">
      <formula>50</formula>
      <formula>59.9999</formula>
    </cfRule>
  </conditionalFormatting>
  <conditionalFormatting sqref="Q953 Q957 Q955">
    <cfRule type="cellIs" dxfId="101" priority="4603" stopIfTrue="1" operator="lessThanOrEqual">
      <formula>50</formula>
    </cfRule>
    <cfRule type="cellIs" dxfId="100" priority="4602" stopIfTrue="1" operator="between">
      <formula>50</formula>
      <formula>59.9999</formula>
    </cfRule>
  </conditionalFormatting>
  <conditionalFormatting sqref="Q954">
    <cfRule type="cellIs" dxfId="99" priority="4551" stopIfTrue="1" operator="between">
      <formula>50</formula>
      <formula>59.9999</formula>
    </cfRule>
    <cfRule type="cellIs" dxfId="98" priority="4552" stopIfTrue="1" operator="lessThanOrEqual">
      <formula>50</formula>
    </cfRule>
  </conditionalFormatting>
  <conditionalFormatting sqref="Q956">
    <cfRule type="cellIs" dxfId="97" priority="4568" stopIfTrue="1" operator="lessThanOrEqual">
      <formula>50</formula>
    </cfRule>
    <cfRule type="cellIs" dxfId="96" priority="4567" stopIfTrue="1" operator="between">
      <formula>50</formula>
      <formula>59.9999</formula>
    </cfRule>
  </conditionalFormatting>
  <conditionalFormatting sqref="Q958">
    <cfRule type="cellIs" dxfId="95" priority="4547" stopIfTrue="1" operator="between">
      <formula>50</formula>
      <formula>59.9999</formula>
    </cfRule>
    <cfRule type="cellIs" dxfId="94" priority="4548" stopIfTrue="1" operator="lessThanOrEqual">
      <formula>50</formula>
    </cfRule>
  </conditionalFormatting>
  <conditionalFormatting sqref="Q959">
    <cfRule type="cellIs" dxfId="93" priority="94" stopIfTrue="1" operator="between">
      <formula>50</formula>
      <formula>59.9999</formula>
    </cfRule>
    <cfRule type="cellIs" dxfId="92" priority="95" stopIfTrue="1" operator="lessThanOrEqual">
      <formula>50</formula>
    </cfRule>
  </conditionalFormatting>
  <conditionalFormatting sqref="Q960">
    <cfRule type="cellIs" dxfId="91" priority="88" stopIfTrue="1" operator="lessThanOrEqual">
      <formula>50</formula>
    </cfRule>
    <cfRule type="cellIs" dxfId="90" priority="87" stopIfTrue="1" operator="between">
      <formula>50</formula>
      <formula>59.9999</formula>
    </cfRule>
  </conditionalFormatting>
  <conditionalFormatting sqref="Q961">
    <cfRule type="cellIs" dxfId="89" priority="1322" stopIfTrue="1" operator="lessThanOrEqual">
      <formula>50</formula>
    </cfRule>
    <cfRule type="cellIs" dxfId="88" priority="1321" stopIfTrue="1" operator="between">
      <formula>50</formula>
      <formula>59.9999</formula>
    </cfRule>
  </conditionalFormatting>
  <conditionalFormatting sqref="Q962">
    <cfRule type="cellIs" dxfId="87" priority="1315" stopIfTrue="1" operator="lessThanOrEqual">
      <formula>50</formula>
    </cfRule>
    <cfRule type="cellIs" dxfId="86" priority="1314" stopIfTrue="1" operator="between">
      <formula>50</formula>
      <formula>59.9999</formula>
    </cfRule>
  </conditionalFormatting>
  <conditionalFormatting sqref="Q963:Q964">
    <cfRule type="cellIs" dxfId="85" priority="551" stopIfTrue="1" operator="between">
      <formula>50</formula>
      <formula>59.9999</formula>
    </cfRule>
    <cfRule type="cellIs" dxfId="84" priority="552" stopIfTrue="1" operator="lessThanOrEqual">
      <formula>50</formula>
    </cfRule>
  </conditionalFormatting>
  <conditionalFormatting sqref="Q965">
    <cfRule type="cellIs" dxfId="83" priority="3807" stopIfTrue="1" operator="lessThanOrEqual">
      <formula>50</formula>
    </cfRule>
    <cfRule type="cellIs" dxfId="82" priority="3806" stopIfTrue="1" operator="between">
      <formula>50</formula>
      <formula>59.9999</formula>
    </cfRule>
  </conditionalFormatting>
  <conditionalFormatting sqref="Q966">
    <cfRule type="cellIs" dxfId="81" priority="3803" stopIfTrue="1" operator="lessThanOrEqual">
      <formula>50</formula>
    </cfRule>
    <cfRule type="cellIs" dxfId="80" priority="3802" stopIfTrue="1" operator="between">
      <formula>50</formula>
      <formula>59.9999</formula>
    </cfRule>
  </conditionalFormatting>
  <conditionalFormatting sqref="Q968">
    <cfRule type="cellIs" dxfId="79" priority="3798" stopIfTrue="1" operator="between">
      <formula>50</formula>
      <formula>59.9999</formula>
    </cfRule>
    <cfRule type="cellIs" dxfId="78" priority="3799" stopIfTrue="1" operator="lessThanOrEqual">
      <formula>50</formula>
    </cfRule>
  </conditionalFormatting>
  <conditionalFormatting sqref="Q968:Q1024">
    <cfRule type="cellIs" dxfId="77" priority="387" stopIfTrue="1" operator="between">
      <formula>60</formula>
      <formula>69.999999</formula>
    </cfRule>
    <cfRule type="cellIs" dxfId="76" priority="386" stopIfTrue="1" operator="greaterThanOrEqual">
      <formula>70</formula>
    </cfRule>
  </conditionalFormatting>
  <conditionalFormatting sqref="Q969">
    <cfRule type="cellIs" dxfId="75" priority="3794" stopIfTrue="1" operator="between">
      <formula>50</formula>
      <formula>59.9999</formula>
    </cfRule>
    <cfRule type="cellIs" dxfId="74" priority="3795" stopIfTrue="1" operator="lessThanOrEqual">
      <formula>50</formula>
    </cfRule>
  </conditionalFormatting>
  <conditionalFormatting sqref="Q970:Q973">
    <cfRule type="cellIs" dxfId="73" priority="3790" stopIfTrue="1" operator="between">
      <formula>50</formula>
      <formula>59.9999</formula>
    </cfRule>
    <cfRule type="cellIs" dxfId="72" priority="3791" stopIfTrue="1" operator="lessThanOrEqual">
      <formula>50</formula>
    </cfRule>
  </conditionalFormatting>
  <conditionalFormatting sqref="Q974">
    <cfRule type="cellIs" dxfId="71" priority="3787" stopIfTrue="1" operator="lessThanOrEqual">
      <formula>50</formula>
    </cfRule>
    <cfRule type="cellIs" dxfId="70" priority="3786" stopIfTrue="1" operator="between">
      <formula>50</formula>
      <formula>59.9999</formula>
    </cfRule>
  </conditionalFormatting>
  <conditionalFormatting sqref="Q975">
    <cfRule type="cellIs" dxfId="69" priority="3783" stopIfTrue="1" operator="lessThanOrEqual">
      <formula>50</formula>
    </cfRule>
    <cfRule type="cellIs" dxfId="68" priority="3782" stopIfTrue="1" operator="between">
      <formula>50</formula>
      <formula>59.9999</formula>
    </cfRule>
  </conditionalFormatting>
  <conditionalFormatting sqref="Q976">
    <cfRule type="cellIs" dxfId="67" priority="4611" stopIfTrue="1" operator="lessThanOrEqual">
      <formula>50</formula>
    </cfRule>
    <cfRule type="cellIs" dxfId="66" priority="4610" stopIfTrue="1" operator="between">
      <formula>50</formula>
      <formula>59.9999</formula>
    </cfRule>
  </conditionalFormatting>
  <conditionalFormatting sqref="Q977">
    <cfRule type="cellIs" dxfId="65" priority="4544" stopIfTrue="1" operator="lessThanOrEqual">
      <formula>50</formula>
    </cfRule>
    <cfRule type="cellIs" dxfId="64" priority="4543" stopIfTrue="1" operator="between">
      <formula>50</formula>
      <formula>59.9999</formula>
    </cfRule>
  </conditionalFormatting>
  <conditionalFormatting sqref="Q978 Q987">
    <cfRule type="cellIs" dxfId="63" priority="4590" stopIfTrue="1" operator="between">
      <formula>50</formula>
      <formula>59.9999</formula>
    </cfRule>
    <cfRule type="cellIs" dxfId="62" priority="4591" stopIfTrue="1" operator="lessThanOrEqual">
      <formula>50</formula>
    </cfRule>
  </conditionalFormatting>
  <conditionalFormatting sqref="Q979">
    <cfRule type="cellIs" dxfId="61" priority="4540" stopIfTrue="1" operator="lessThanOrEqual">
      <formula>50</formula>
    </cfRule>
    <cfRule type="cellIs" dxfId="60" priority="4539" stopIfTrue="1" operator="between">
      <formula>50</formula>
      <formula>59.9999</formula>
    </cfRule>
  </conditionalFormatting>
  <conditionalFormatting sqref="Q980">
    <cfRule type="cellIs" dxfId="59" priority="1260" stopIfTrue="1" operator="lessThanOrEqual">
      <formula>50</formula>
    </cfRule>
    <cfRule type="cellIs" dxfId="58" priority="1259" stopIfTrue="1" operator="between">
      <formula>50</formula>
      <formula>59.9999</formula>
    </cfRule>
  </conditionalFormatting>
  <conditionalFormatting sqref="Q981">
    <cfRule type="cellIs" dxfId="57" priority="1253" stopIfTrue="1" operator="lessThanOrEqual">
      <formula>50</formula>
    </cfRule>
    <cfRule type="cellIs" dxfId="56" priority="1252" stopIfTrue="1" operator="between">
      <formula>50</formula>
      <formula>59.9999</formula>
    </cfRule>
  </conditionalFormatting>
  <conditionalFormatting sqref="Q982:Q983">
    <cfRule type="cellIs" dxfId="55" priority="1227" stopIfTrue="1" operator="lessThanOrEqual">
      <formula>50</formula>
    </cfRule>
    <cfRule type="cellIs" dxfId="54" priority="1226" stopIfTrue="1" operator="between">
      <formula>50</formula>
      <formula>59.9999</formula>
    </cfRule>
  </conditionalFormatting>
  <conditionalFormatting sqref="Q984:Q985">
    <cfRule type="cellIs" dxfId="53" priority="1245" stopIfTrue="1" operator="lessThanOrEqual">
      <formula>50</formula>
    </cfRule>
    <cfRule type="cellIs" dxfId="52" priority="1244" stopIfTrue="1" operator="between">
      <formula>50</formula>
      <formula>59.9999</formula>
    </cfRule>
  </conditionalFormatting>
  <conditionalFormatting sqref="Q986">
    <cfRule type="cellIs" dxfId="51" priority="1237" stopIfTrue="1" operator="between">
      <formula>50</formula>
      <formula>59.9999</formula>
    </cfRule>
    <cfRule type="cellIs" dxfId="50" priority="1238" stopIfTrue="1" operator="lessThanOrEqual">
      <formula>50</formula>
    </cfRule>
  </conditionalFormatting>
  <conditionalFormatting sqref="Q988">
    <cfRule type="cellIs" dxfId="49" priority="3779" stopIfTrue="1" operator="lessThanOrEqual">
      <formula>50</formula>
    </cfRule>
    <cfRule type="cellIs" dxfId="48" priority="3778" stopIfTrue="1" operator="between">
      <formula>50</formula>
      <formula>59.9999</formula>
    </cfRule>
  </conditionalFormatting>
  <conditionalFormatting sqref="Q989:Q990">
    <cfRule type="cellIs" dxfId="47" priority="916" stopIfTrue="1" operator="between">
      <formula>50</formula>
      <formula>59.9999</formula>
    </cfRule>
    <cfRule type="cellIs" dxfId="46" priority="917" stopIfTrue="1" operator="lessThanOrEqual">
      <formula>50</formula>
    </cfRule>
  </conditionalFormatting>
  <conditionalFormatting sqref="Q991">
    <cfRule type="cellIs" dxfId="45" priority="909" stopIfTrue="1" operator="between">
      <formula>50</formula>
      <formula>59.9999</formula>
    </cfRule>
    <cfRule type="cellIs" dxfId="44" priority="910" stopIfTrue="1" operator="lessThanOrEqual">
      <formula>50</formula>
    </cfRule>
  </conditionalFormatting>
  <conditionalFormatting sqref="Q992">
    <cfRule type="cellIs" dxfId="43" priority="3774" stopIfTrue="1" operator="between">
      <formula>50</formula>
      <formula>59.9999</formula>
    </cfRule>
    <cfRule type="cellIs" dxfId="42" priority="3775" stopIfTrue="1" operator="lessThanOrEqual">
      <formula>50</formula>
    </cfRule>
  </conditionalFormatting>
  <conditionalFormatting sqref="Q993">
    <cfRule type="cellIs" dxfId="41" priority="3770" stopIfTrue="1" operator="between">
      <formula>50</formula>
      <formula>59.9999</formula>
    </cfRule>
    <cfRule type="cellIs" dxfId="40" priority="3771" stopIfTrue="1" operator="lessThanOrEqual">
      <formula>50</formula>
    </cfRule>
  </conditionalFormatting>
  <conditionalFormatting sqref="Q994:Q995">
    <cfRule type="cellIs" dxfId="39" priority="4587" stopIfTrue="1" operator="lessThanOrEqual">
      <formula>50</formula>
    </cfRule>
    <cfRule type="cellIs" dxfId="38" priority="4586" stopIfTrue="1" operator="between">
      <formula>50</formula>
      <formula>59.9999</formula>
    </cfRule>
  </conditionalFormatting>
  <conditionalFormatting sqref="Q996:Q999">
    <cfRule type="cellIs" dxfId="37" priority="2177" stopIfTrue="1" operator="lessThanOrEqual">
      <formula>50</formula>
    </cfRule>
    <cfRule type="cellIs" dxfId="36" priority="2176" stopIfTrue="1" operator="between">
      <formula>50</formula>
      <formula>59.9999</formula>
    </cfRule>
  </conditionalFormatting>
  <conditionalFormatting sqref="Q1000">
    <cfRule type="cellIs" dxfId="35" priority="3766" stopIfTrue="1" operator="between">
      <formula>50</formula>
      <formula>59.9999</formula>
    </cfRule>
    <cfRule type="cellIs" dxfId="34" priority="3767" stopIfTrue="1" operator="lessThanOrEqual">
      <formula>50</formula>
    </cfRule>
  </conditionalFormatting>
  <conditionalFormatting sqref="Q1001">
    <cfRule type="cellIs" dxfId="33" priority="3442" stopIfTrue="1" operator="between">
      <formula>50</formula>
      <formula>59.9999</formula>
    </cfRule>
    <cfRule type="cellIs" dxfId="32" priority="3443" stopIfTrue="1" operator="lessThanOrEqual">
      <formula>50</formula>
    </cfRule>
  </conditionalFormatting>
  <conditionalFormatting sqref="Q1002">
    <cfRule type="cellIs" dxfId="31" priority="834" stopIfTrue="1" operator="lessThanOrEqual">
      <formula>50</formula>
    </cfRule>
    <cfRule type="cellIs" dxfId="30" priority="833" stopIfTrue="1" operator="between">
      <formula>50</formula>
      <formula>59.9999</formula>
    </cfRule>
  </conditionalFormatting>
  <conditionalFormatting sqref="Q1003">
    <cfRule type="cellIs" dxfId="29" priority="827" stopIfTrue="1" operator="lessThanOrEqual">
      <formula>50</formula>
    </cfRule>
    <cfRule type="cellIs" dxfId="28" priority="826" stopIfTrue="1" operator="between">
      <formula>50</formula>
      <formula>59.9999</formula>
    </cfRule>
  </conditionalFormatting>
  <conditionalFormatting sqref="Q1004">
    <cfRule type="cellIs" dxfId="27" priority="3762" stopIfTrue="1" operator="between">
      <formula>50</formula>
      <formula>59.9999</formula>
    </cfRule>
    <cfRule type="cellIs" dxfId="26" priority="3763" stopIfTrue="1" operator="lessThanOrEqual">
      <formula>50</formula>
    </cfRule>
  </conditionalFormatting>
  <conditionalFormatting sqref="Q1005">
    <cfRule type="cellIs" dxfId="25" priority="3439" stopIfTrue="1" operator="lessThanOrEqual">
      <formula>50</formula>
    </cfRule>
    <cfRule type="cellIs" dxfId="24" priority="3438" stopIfTrue="1" operator="between">
      <formula>50</formula>
      <formula>59.9999</formula>
    </cfRule>
  </conditionalFormatting>
  <conditionalFormatting sqref="Q1006">
    <cfRule type="cellIs" dxfId="23" priority="4598" stopIfTrue="1" operator="between">
      <formula>50</formula>
      <formula>59.9999</formula>
    </cfRule>
    <cfRule type="cellIs" dxfId="22" priority="4599" stopIfTrue="1" operator="lessThanOrEqual">
      <formula>50</formula>
    </cfRule>
  </conditionalFormatting>
  <conditionalFormatting sqref="Q1007">
    <cfRule type="cellIs" dxfId="21" priority="3759" stopIfTrue="1" operator="lessThanOrEqual">
      <formula>50</formula>
    </cfRule>
    <cfRule type="cellIs" dxfId="20" priority="3758" stopIfTrue="1" operator="between">
      <formula>50</formula>
      <formula>59.9999</formula>
    </cfRule>
  </conditionalFormatting>
  <conditionalFormatting sqref="Q1008:Q1009">
    <cfRule type="cellIs" dxfId="19" priority="678" stopIfTrue="1" operator="between">
      <formula>50</formula>
      <formula>59.9999</formula>
    </cfRule>
    <cfRule type="cellIs" dxfId="18" priority="679" stopIfTrue="1" operator="lessThanOrEqual">
      <formula>50</formula>
    </cfRule>
  </conditionalFormatting>
  <conditionalFormatting sqref="Q1010:Q1011">
    <cfRule type="cellIs" dxfId="17" priority="667" stopIfTrue="1" operator="between">
      <formula>50</formula>
      <formula>59.9999</formula>
    </cfRule>
    <cfRule type="cellIs" dxfId="16" priority="668" stopIfTrue="1" operator="lessThanOrEqual">
      <formula>50</formula>
    </cfRule>
  </conditionalFormatting>
  <conditionalFormatting sqref="Q1012:Q1013">
    <cfRule type="cellIs" dxfId="15" priority="657" stopIfTrue="1" operator="lessThanOrEqual">
      <formula>50</formula>
    </cfRule>
    <cfRule type="cellIs" dxfId="14" priority="656" stopIfTrue="1" operator="between">
      <formula>50</formula>
      <formula>59.9999</formula>
    </cfRule>
  </conditionalFormatting>
  <conditionalFormatting sqref="Q1014">
    <cfRule type="cellIs" dxfId="13" priority="3755" stopIfTrue="1" operator="lessThanOrEqual">
      <formula>50</formula>
    </cfRule>
    <cfRule type="cellIs" dxfId="12" priority="3754" stopIfTrue="1" operator="between">
      <formula>50</formula>
      <formula>59.9999</formula>
    </cfRule>
  </conditionalFormatting>
  <conditionalFormatting sqref="Q1015:Q1016">
    <cfRule type="cellIs" dxfId="11" priority="412" stopIfTrue="1" operator="between">
      <formula>50</formula>
      <formula>59.9999</formula>
    </cfRule>
    <cfRule type="cellIs" dxfId="10" priority="413" stopIfTrue="1" operator="lessThanOrEqual">
      <formula>50</formula>
    </cfRule>
  </conditionalFormatting>
  <conditionalFormatting sqref="Q1017:Q1018">
    <cfRule type="cellIs" dxfId="9" priority="405" stopIfTrue="1" operator="lessThanOrEqual">
      <formula>50</formula>
    </cfRule>
    <cfRule type="cellIs" dxfId="8" priority="404" stopIfTrue="1" operator="between">
      <formula>50</formula>
      <formula>59.9999</formula>
    </cfRule>
  </conditionalFormatting>
  <conditionalFormatting sqref="Q1019:Q1020">
    <cfRule type="cellIs" dxfId="7" priority="397" stopIfTrue="1" operator="lessThanOrEqual">
      <formula>50</formula>
    </cfRule>
    <cfRule type="cellIs" dxfId="6" priority="396" stopIfTrue="1" operator="between">
      <formula>50</formula>
      <formula>59.9999</formula>
    </cfRule>
  </conditionalFormatting>
  <conditionalFormatting sqref="Q1021:Q1022">
    <cfRule type="cellIs" dxfId="5" priority="388" stopIfTrue="1" operator="between">
      <formula>50</formula>
      <formula>59.9999</formula>
    </cfRule>
    <cfRule type="cellIs" dxfId="4" priority="389" stopIfTrue="1" operator="lessThanOrEqual">
      <formula>50</formula>
    </cfRule>
  </conditionalFormatting>
  <conditionalFormatting sqref="Q1023">
    <cfRule type="cellIs" dxfId="3" priority="2169" stopIfTrue="1" operator="between">
      <formula>50</formula>
      <formula>59.9999</formula>
    </cfRule>
    <cfRule type="cellIs" dxfId="2" priority="2170" stopIfTrue="1" operator="lessThanOrEqual">
      <formula>50</formula>
    </cfRule>
  </conditionalFormatting>
  <conditionalFormatting sqref="Q1024">
    <cfRule type="cellIs" dxfId="1" priority="2162" stopIfTrue="1" operator="between">
      <formula>50</formula>
      <formula>59.9999</formula>
    </cfRule>
    <cfRule type="cellIs" dxfId="0" priority="2163" stopIfTrue="1" operator="lessThanOrEqual">
      <formula>50</formula>
    </cfRule>
  </conditionalFormatting>
  <dataValidations count="3">
    <dataValidation type="whole" allowBlank="1" showInputMessage="1" showErrorMessage="1" errorTitle="Severity Score" error="Severity Score should be 1 to 5." sqref="P659:P660 L661:L663 L668 P673 I3:I5 I107:I130 P662:P663 I683 I874 I145:I167 I815 I812:I813 I858 I810 I8:I27 I559:I681 I312:I386 I984:I1007 I817:I852 I1023:I1048576 I247:I270 I419 I1014 I860:I862 I907:I981 I864 I866 I868 I872 I876 I870 I428:I553 I30:I104 I277 I170:I244 I286:I309 I685:I808 I878:I904 P667:P669 I389:I412" xr:uid="{FC401646-8E0C-433A-B190-7AF481A91A74}">
      <formula1>1</formula1>
      <formula2>5</formula2>
    </dataValidation>
    <dataValidation type="whole" allowBlank="1" showInputMessage="1" showErrorMessage="1" errorTitle="Occurrence Score" error="Occurrence Score should be 1 to 5." sqref="P654:P655 L658:L660 L568:L656 L3:L5 L107:L130 L664:L667 L145:L167 L685:L808 L858 L874 L810 L8:L27 L247:L270 L389:L412 L530:L553 L984:L1007 L812:L852 L1023:L1048576 L277 L419 L1014 L860:L862 L907:L981 L864 L866 L868 L872 L876 L870 L428:L450 L30:L104 L286:L309 L170:L244 L312:L386 L453:L527 L878:L904 L669:L681" xr:uid="{93DEB3D3-B234-412D-AAF6-48062F358259}">
      <formula1>1</formula1>
      <formula2>5</formula2>
    </dataValidation>
    <dataValidation type="whole" allowBlank="1" showInputMessage="1" showErrorMessage="1" errorTitle="Detection Score" error="Detection Score should be 1 to 5." sqref="L657 P656:P658 P661 P670:P672 P664:P666 P3:P653 P674:P1048576" xr:uid="{052A7BB5-A91C-41A2-BFEA-21509D508D27}">
      <formula1>1</formula1>
      <formula2>5</formula2>
    </dataValidation>
  </dataValidations>
  <pageMargins left="0.75" right="0.75" top="0.61" bottom="0.68" header="0.5" footer="0.25"/>
  <pageSetup paperSize="5" scale="53" fitToHeight="4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4"/>
  <sheetViews>
    <sheetView workbookViewId="0"/>
  </sheetViews>
  <sheetFormatPr defaultRowHeight="12.75" x14ac:dyDescent="0.2"/>
  <cols>
    <col min="1" max="1" width="14.7109375" bestFit="1" customWidth="1"/>
  </cols>
  <sheetData>
    <row r="1" spans="1:1" x14ac:dyDescent="0.2">
      <c r="A1" s="66" t="s">
        <v>219</v>
      </c>
    </row>
    <row r="2" spans="1:1" x14ac:dyDescent="0.2">
      <c r="A2" t="s">
        <v>184</v>
      </c>
    </row>
    <row r="3" spans="1:1" x14ac:dyDescent="0.2">
      <c r="A3" s="66" t="s">
        <v>186</v>
      </c>
    </row>
    <row r="4" spans="1:1" x14ac:dyDescent="0.2">
      <c r="A4" s="66" t="s">
        <v>185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BBC4C2D3967A4690353A0179DF5447" ma:contentTypeVersion="2" ma:contentTypeDescription="Create a new document." ma:contentTypeScope="" ma:versionID="ca63754b0b9f69cc6cedf4a586266cca">
  <xsd:schema xmlns:xsd="http://www.w3.org/2001/XMLSchema" xmlns:xs="http://www.w3.org/2001/XMLSchema" xmlns:p="http://schemas.microsoft.com/office/2006/metadata/properties" xmlns:ns2="d9639f94-6464-451d-9dd7-750d9b2bec31" targetNamespace="http://schemas.microsoft.com/office/2006/metadata/properties" ma:root="true" ma:fieldsID="a239186ef32374974f21c7b43a509ba4" ns2:_="">
    <xsd:import namespace="d9639f94-6464-451d-9dd7-750d9b2bec31"/>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639f94-6464-451d-9dd7-750d9b2bec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5630CF-4D85-47D4-8A4F-717453938E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639f94-6464-451d-9dd7-750d9b2bec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C745330-F277-477B-B614-608B9AD33DB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E0C8D28-EC33-4C07-8490-B2DA302BA7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Title</vt:lpstr>
      <vt:lpstr>Revision History</vt:lpstr>
      <vt:lpstr>Definitions-Terms</vt:lpstr>
      <vt:lpstr>Scores </vt:lpstr>
      <vt:lpstr>S-O-D Definitions</vt:lpstr>
      <vt:lpstr>Design-Traceability</vt:lpstr>
      <vt:lpstr>Power Supply - Architecture</vt:lpstr>
      <vt:lpstr>Bypass - Architecture</vt:lpstr>
      <vt:lpstr>MVAr - Architecture</vt:lpstr>
      <vt:lpstr>Functional Block Diagram </vt:lpstr>
      <vt:lpstr>DFMECA</vt:lpstr>
      <vt:lpstr>Data Validation</vt:lpstr>
      <vt:lpstr>DFMECA!Criteria</vt:lpstr>
      <vt:lpstr>DFMECA!Print_Titles</vt:lpstr>
    </vt:vector>
  </TitlesOfParts>
  <Manager>Amrit</Manager>
  <Company>Smart Wires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FMECA-SmartValve</dc:title>
  <dc:subject/>
  <dc:creator>PS19SQA</dc:creator>
  <cp:keywords/>
  <dc:description/>
  <cp:lastModifiedBy>Zohaib Nayyar</cp:lastModifiedBy>
  <cp:revision/>
  <dcterms:created xsi:type="dcterms:W3CDTF">1999-10-19T12:54:51Z</dcterms:created>
  <dcterms:modified xsi:type="dcterms:W3CDTF">2025-11-14T12:20:55Z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0x0101006DBBC4C2D3967A4690353A0179DF5447</vt:lpwstr>
  </property>
</Properties>
</file>