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showInkAnnotation="0" updateLinks="never" codeName="ThisWorkbook"/>
  <mc:AlternateContent xmlns:mc="http://schemas.openxmlformats.org/markup-compatibility/2006">
    <mc:Choice Requires="x15">
      <x15ac:absPath xmlns:x15ac="http://schemas.microsoft.com/office/spreadsheetml/2010/11/ac" url="D:\FMECA-HWATM Integrations\backend\boards\SCR\"/>
    </mc:Choice>
  </mc:AlternateContent>
  <xr:revisionPtr revIDLastSave="0" documentId="13_ncr:1_{34D0BC17-E49D-4251-9FA9-E3CAB75ACF17}" xr6:coauthVersionLast="36" xr6:coauthVersionMax="47" xr10:uidLastSave="{00000000-0000-0000-0000-000000000000}"/>
  <bookViews>
    <workbookView xWindow="0" yWindow="0" windowWidth="21570" windowHeight="9330" tabRatio="717" firstSheet="2" activeTab="10" xr2:uid="{00000000-000D-0000-FFFF-FFFF00000000}"/>
  </bookViews>
  <sheets>
    <sheet name="Title" sheetId="26" r:id="rId1"/>
    <sheet name="Revision History" sheetId="36" r:id="rId2"/>
    <sheet name="Definitions-Terms" sheetId="27" r:id="rId3"/>
    <sheet name="Design-Traceability" sheetId="30" r:id="rId4"/>
    <sheet name="Scores " sheetId="24" r:id="rId5"/>
    <sheet name="S-O-D Definitions" sheetId="7" r:id="rId6"/>
    <sheet name="Lookup_Table" sheetId="37" r:id="rId7"/>
    <sheet name="Bypass - Architecture" sheetId="34" r:id="rId8"/>
    <sheet name="MVAr - Architecture" sheetId="35" r:id="rId9"/>
    <sheet name="Functional Block Diagram " sheetId="33" r:id="rId10"/>
    <sheet name="DFMECA" sheetId="28" r:id="rId11"/>
    <sheet name="Data Validation" sheetId="29" state="hidden" r:id="rId12"/>
  </sheets>
  <externalReferences>
    <externalReference r:id="rId13"/>
  </externalReferences>
  <definedNames>
    <definedName name="_xlnm._FilterDatabase" localSheetId="10" hidden="1">DFMECA!$A$2:$HG$389</definedName>
    <definedName name="_polarion_4" localSheetId="7">OFFSET(_polarion_options_start,MATCH(CONCATENATE('Bypass - Architecture'!_polarion_type,":","PRD-Section"),_polarion_options_types,0),1,COUNTIF(_polarion_options_types,CONCATENATE('Bypass - Architecture'!_polarion_type,":","PRD-Section")),1)</definedName>
    <definedName name="_polarion_4" localSheetId="6">OFFSET(_polarion_options_start,MATCH(CONCATENATE(Lookup_Table!_polarion_type,":","PRD-Section"),_polarion_options_types,0),1,COUNTIF(_polarion_options_types,CONCATENATE(Lookup_Table!_polarion_type,":","PRD-Section")),1)</definedName>
    <definedName name="_polarion_4" localSheetId="8">OFFSET(_polarion_options_start,MATCH(CONCATENATE('MVAr - Architecture'!_polarion_type,":","PRD-Section"),_polarion_options_types,0),1,COUNTIF(_polarion_options_types,CONCATENATE('MVAr - Architecture'!_polarion_type,":","PRD-Section")),1)</definedName>
    <definedName name="_polarion_4" localSheetId="1">OFFSET(_polarion_options_start,MATCH(CONCATENATE('Revision History'!_polarion_type,":","PRD-Section"),_polarion_options_types,0),1,COUNTIF(_polarion_options_types,CONCATENATE('Revision History'!_polarion_type,":","PRD-Section")),1)</definedName>
    <definedName name="_polarion_4" localSheetId="4">OFFSET(_polarion_options_start,MATCH(CONCATENATE('Scores '!_polarion_type,":","PRD-Section"),_polarion_options_types,0),1,COUNTIF(_polarion_options_types,CONCATENATE('Scores '!_polarion_type,":","PRD-Section")),1)</definedName>
    <definedName name="_polarion_4" localSheetId="0">OFFSET(_polarion_options_start,MATCH(CONCATENATE(Title!_polarion_type,":","PRD-Section"),_polarion_options_types,0),1,COUNTIF(_polarion_options_types,CONCATENATE(Title!_polarion_type,":","PRD-Section")),1)</definedName>
    <definedName name="_polarion_4">OFFSET(_polarion_options_start,MATCH(CONCATENATE(_polarion_type,":","PRD-Section"),_polarion_options_types,0),1,COUNTIF(_polarion_options_types,CONCATENATE(_polarion_type,":","PRD-Section")),1)</definedName>
    <definedName name="_polarion_info" localSheetId="6">#REF!</definedName>
    <definedName name="_polarion_info" localSheetId="1">#REF!</definedName>
    <definedName name="_polarion_info" localSheetId="4">#REF!</definedName>
    <definedName name="_polarion_info" localSheetId="0">#REF!</definedName>
    <definedName name="_polarion_info">#REF!</definedName>
    <definedName name="_polarion_options_start">[1]!_polarion_options[[#Headers],[Type]]</definedName>
    <definedName name="_polarion_options_types">[1]!_polarion_options[Type]</definedName>
    <definedName name="_polarion_project" localSheetId="7">IF(ISBLANK(_polarion_info),"PrimaryProtectionSystem",LEFT(_polarion_info,SEARCH("/",_polarion_info,1)-1))</definedName>
    <definedName name="_polarion_project" localSheetId="6">IF(ISBLANK(Lookup_Table!_polarion_info),"PrimaryProtectionSystem",LEFT(Lookup_Table!_polarion_info,SEARCH("/",Lookup_Table!_polarion_info,1)-1))</definedName>
    <definedName name="_polarion_project" localSheetId="8">IF(ISBLANK(_polarion_info),"PrimaryProtectionSystem",LEFT(_polarion_info,SEARCH("/",_polarion_info,1)-1))</definedName>
    <definedName name="_polarion_project" localSheetId="1">IF(ISBLANK('Revision History'!_polarion_info),"PrimaryProtectionSystem",LEFT('Revision History'!_polarion_info,SEARCH("/",'Revision History'!_polarion_info,1)-1))</definedName>
    <definedName name="_polarion_project" localSheetId="4">IF(ISBLANK('Scores '!_polarion_info),"PrimaryProtectionSystem",LEFT('Scores '!_polarion_info,SEARCH("/",'Scores '!_polarion_info,1)-1))</definedName>
    <definedName name="_polarion_project" localSheetId="0">IF(ISBLANK(Title!_polarion_info),"PrimaryProtectionSystem",LEFT(Title!_polarion_info,SEARCH("/",Title!_polarion_info,1)-1))</definedName>
    <definedName name="_polarion_project">IF(ISBLANK(_polarion_info),"PrimaryProtectionSystem",LEFT(_polarion_info,SEARCH("/",_polarion_info,1)-1))</definedName>
    <definedName name="_polarion_type" localSheetId="7">CONCATENATE('Bypass - Architecture'!_polarion_project,"/",IF(ISBLANK(#REF!),"requirement",#REF!))</definedName>
    <definedName name="_polarion_type" localSheetId="6">CONCATENATE(Lookup_Table!_polarion_project,"/",IF(ISBLANK(#REF!),"requirement",#REF!))</definedName>
    <definedName name="_polarion_type" localSheetId="8">CONCATENATE('MVAr - Architecture'!_polarion_project,"/",IF(ISBLANK(#REF!),"requirement",#REF!))</definedName>
    <definedName name="_polarion_type" localSheetId="1">CONCATENATE('Revision History'!_polarion_project,"/",IF(ISBLANK(#REF!),"requirement",#REF!))</definedName>
    <definedName name="_polarion_type" localSheetId="4">CONCATENATE('Scores '!_polarion_project,"/",IF(ISBLANK(#REF!),"requirement",#REF!))</definedName>
    <definedName name="_polarion_type" localSheetId="0">CONCATENATE(Title!_polarion_project,"/",IF(ISBLANK(#REF!),"requirement",#REF!))</definedName>
    <definedName name="_polarion_type">CONCATENATE(_polarion_project,"/",IF(ISBLANK(#REF!),"requirement",#REF!))</definedName>
    <definedName name="a">#N/A</definedName>
    <definedName name="abc" localSheetId="6">OFFSET(_polarion_options_start,MATCH(CONCATENATE(Lookup_Table!_polarion_type,":","PRD-Section"),_polarion_options_types,0),1,COUNTIF(_polarion_options_types,CONCATENATE(Lookup_Table!_polarion_type,":","PRD-Section")),1)</definedName>
    <definedName name="abc">OFFSET(_polarion_options_start,MATCH(CONCATENATE('Revision History'!_polarion_type,":","PRD-Section"),_polarion_options_types,0),1,COUNTIF(_polarion_options_types,CONCATENATE('Revision History'!_polarion_type,":","PRD-Section")),1)</definedName>
    <definedName name="_xlnm.Print_Titles" localSheetId="10">DFMECA!$1:$2</definedName>
    <definedName name="ValidPPDPhase" localSheetId="6">#REF!</definedName>
    <definedName name="ValidPPDPhase" localSheetId="1">#REF!</definedName>
    <definedName name="ValidPPDPhase" localSheetId="0">#REF!</definedName>
    <definedName name="ValidPPDPhase">#REF!</definedName>
  </definedNames>
  <calcPr calcId="191029"/>
</workbook>
</file>

<file path=xl/calcChain.xml><?xml version="1.0" encoding="utf-8"?>
<calcChain xmlns="http://schemas.openxmlformats.org/spreadsheetml/2006/main">
  <c r="M295" i="28" l="1"/>
  <c r="Q269" i="28"/>
  <c r="Q267" i="28"/>
  <c r="Q268" i="28"/>
  <c r="Q371" i="28" l="1"/>
  <c r="Q99" i="28"/>
  <c r="Q91" i="28"/>
  <c r="AD4" i="28" l="1"/>
  <c r="AD5" i="28"/>
  <c r="AD6" i="28"/>
  <c r="AD7" i="28"/>
  <c r="AD8" i="28"/>
  <c r="AD9" i="28"/>
  <c r="AD10" i="28"/>
  <c r="AD11" i="28"/>
  <c r="AD12" i="28"/>
  <c r="AD13" i="28"/>
  <c r="AD14" i="28"/>
  <c r="AD15" i="28"/>
  <c r="AD16" i="28"/>
  <c r="AD17" i="28"/>
  <c r="AD18" i="28"/>
  <c r="AD19" i="28"/>
  <c r="AD20" i="28"/>
  <c r="AD21" i="28"/>
  <c r="AD22" i="28"/>
  <c r="AD23" i="28"/>
  <c r="AD24" i="28"/>
  <c r="AD25" i="28"/>
  <c r="AD26" i="28"/>
  <c r="AD27" i="28"/>
  <c r="AD28" i="28"/>
  <c r="AD29" i="28"/>
  <c r="AD30" i="28"/>
  <c r="AD31" i="28"/>
  <c r="AD32" i="28"/>
  <c r="AD33" i="28"/>
  <c r="AD34" i="28"/>
  <c r="AD35" i="28"/>
  <c r="AD36" i="28"/>
  <c r="AD37" i="28"/>
  <c r="AD38" i="28"/>
  <c r="AD39" i="28"/>
  <c r="AD40" i="28"/>
  <c r="AD41" i="28"/>
  <c r="AD42" i="28"/>
  <c r="AD43" i="28"/>
  <c r="AD44" i="28"/>
  <c r="AD45" i="28"/>
  <c r="AD46" i="28"/>
  <c r="AD47" i="28"/>
  <c r="AD48" i="28"/>
  <c r="AD49" i="28"/>
  <c r="AD50" i="28"/>
  <c r="AD51" i="28"/>
  <c r="AD52" i="28"/>
  <c r="AD53" i="28"/>
  <c r="AD54" i="28"/>
  <c r="AD55" i="28"/>
  <c r="AD56" i="28"/>
  <c r="AD57" i="28"/>
  <c r="AD58" i="28"/>
  <c r="AD59" i="28"/>
  <c r="AD60" i="28"/>
  <c r="AD61" i="28"/>
  <c r="AD62" i="28"/>
  <c r="AD63" i="28"/>
  <c r="AD64" i="28"/>
  <c r="AD65" i="28"/>
  <c r="AD66" i="28"/>
  <c r="AD67" i="28"/>
  <c r="AD68" i="28"/>
  <c r="AD69" i="28"/>
  <c r="AD70" i="28"/>
  <c r="AD71" i="28"/>
  <c r="AD72" i="28"/>
  <c r="AD73" i="28"/>
  <c r="AD74" i="28"/>
  <c r="AD75" i="28"/>
  <c r="AD76" i="28"/>
  <c r="AD77" i="28"/>
  <c r="AD78" i="28"/>
  <c r="AD79" i="28"/>
  <c r="AD80" i="28"/>
  <c r="AD81" i="28"/>
  <c r="AD82" i="28"/>
  <c r="AD83" i="28"/>
  <c r="AD84" i="28"/>
  <c r="AD85" i="28"/>
  <c r="AD86" i="28"/>
  <c r="AD87" i="28"/>
  <c r="AD88" i="28"/>
  <c r="AD89" i="28"/>
  <c r="AD90" i="28"/>
  <c r="AD91" i="28"/>
  <c r="AD92" i="28"/>
  <c r="AD93" i="28"/>
  <c r="AD94" i="28"/>
  <c r="AD95" i="28"/>
  <c r="AD96" i="28"/>
  <c r="AD97" i="28"/>
  <c r="AD98" i="28"/>
  <c r="AD99" i="28"/>
  <c r="AD100" i="28"/>
  <c r="AD101" i="28"/>
  <c r="AD102" i="28"/>
  <c r="AD103" i="28"/>
  <c r="AD104" i="28"/>
  <c r="AD105" i="28"/>
  <c r="AD106" i="28"/>
  <c r="AD107" i="28"/>
  <c r="AD108" i="28"/>
  <c r="AD109" i="28"/>
  <c r="AD110" i="28"/>
  <c r="AD111" i="28"/>
  <c r="AD112" i="28"/>
  <c r="AD113" i="28"/>
  <c r="AD114" i="28"/>
  <c r="AD115" i="28"/>
  <c r="AD116" i="28"/>
  <c r="AD117" i="28"/>
  <c r="AD118" i="28"/>
  <c r="AD119" i="28"/>
  <c r="AD120" i="28"/>
  <c r="AD121" i="28"/>
  <c r="AD122" i="28"/>
  <c r="AD123" i="28"/>
  <c r="AD124" i="28"/>
  <c r="AD125" i="28"/>
  <c r="AD126" i="28"/>
  <c r="AD127" i="28"/>
  <c r="AD128" i="28"/>
  <c r="AD129" i="28"/>
  <c r="AD130" i="28"/>
  <c r="AD131" i="28"/>
  <c r="AD132" i="28"/>
  <c r="AD133" i="28"/>
  <c r="AD134" i="28"/>
  <c r="AD135" i="28"/>
  <c r="AD136" i="28"/>
  <c r="AD137" i="28"/>
  <c r="AD138" i="28"/>
  <c r="AD139" i="28"/>
  <c r="AD140" i="28"/>
  <c r="AD141" i="28"/>
  <c r="AD142" i="28"/>
  <c r="AD143" i="28"/>
  <c r="AD144" i="28"/>
  <c r="AD145" i="28"/>
  <c r="AD146" i="28"/>
  <c r="AD147" i="28"/>
  <c r="AD148" i="28"/>
  <c r="AD149" i="28"/>
  <c r="AD150" i="28"/>
  <c r="AD151" i="28"/>
  <c r="AD152" i="28"/>
  <c r="AD153" i="28"/>
  <c r="AD154" i="28"/>
  <c r="AD155" i="28"/>
  <c r="AD156" i="28"/>
  <c r="AD157" i="28"/>
  <c r="AD158" i="28"/>
  <c r="AD159" i="28"/>
  <c r="AD160" i="28"/>
  <c r="AD161" i="28"/>
  <c r="AD162" i="28"/>
  <c r="AD163" i="28"/>
  <c r="AD164" i="28"/>
  <c r="AD165" i="28"/>
  <c r="AD166" i="28"/>
  <c r="AD167" i="28"/>
  <c r="AD168" i="28"/>
  <c r="AD169" i="28"/>
  <c r="AD170" i="28"/>
  <c r="AD171" i="28"/>
  <c r="AD172" i="28"/>
  <c r="AD173" i="28"/>
  <c r="AD174" i="28"/>
  <c r="AD175" i="28"/>
  <c r="AD176" i="28"/>
  <c r="AD177" i="28"/>
  <c r="AD178" i="28"/>
  <c r="AD179" i="28"/>
  <c r="AD180" i="28"/>
  <c r="AD181" i="28"/>
  <c r="AD182" i="28"/>
  <c r="AD183" i="28"/>
  <c r="AD184" i="28"/>
  <c r="AD185" i="28"/>
  <c r="AD186" i="28"/>
  <c r="AD187" i="28"/>
  <c r="AD188" i="28"/>
  <c r="AD189" i="28"/>
  <c r="AD190" i="28"/>
  <c r="AD191" i="28"/>
  <c r="AD192" i="28"/>
  <c r="AD193" i="28"/>
  <c r="AD194" i="28"/>
  <c r="AD195" i="28"/>
  <c r="AD196" i="28"/>
  <c r="AD197" i="28"/>
  <c r="AD198" i="28"/>
  <c r="AD199" i="28"/>
  <c r="AD200" i="28"/>
  <c r="AD201" i="28"/>
  <c r="AD202" i="28"/>
  <c r="AD203" i="28"/>
  <c r="AD204" i="28"/>
  <c r="AD205" i="28"/>
  <c r="AD206" i="28"/>
  <c r="AD207" i="28"/>
  <c r="AD208" i="28"/>
  <c r="AD209" i="28"/>
  <c r="AD210" i="28"/>
  <c r="AD211" i="28"/>
  <c r="AD212" i="28"/>
  <c r="AD213" i="28"/>
  <c r="AD214" i="28"/>
  <c r="AD215" i="28"/>
  <c r="AD216" i="28"/>
  <c r="AD217" i="28"/>
  <c r="AD218" i="28"/>
  <c r="AD219" i="28"/>
  <c r="AD220" i="28"/>
  <c r="AD221" i="28"/>
  <c r="AD222" i="28"/>
  <c r="AD223" i="28"/>
  <c r="AD224" i="28"/>
  <c r="AD225" i="28"/>
  <c r="AD226" i="28"/>
  <c r="AD227" i="28"/>
  <c r="AD228" i="28"/>
  <c r="AD229" i="28"/>
  <c r="AD230" i="28"/>
  <c r="AD231" i="28"/>
  <c r="AD232" i="28"/>
  <c r="AD233" i="28"/>
  <c r="AD234" i="28"/>
  <c r="AD235" i="28"/>
  <c r="AD236" i="28"/>
  <c r="AD237" i="28"/>
  <c r="AD238" i="28"/>
  <c r="AD239" i="28"/>
  <c r="AD240" i="28"/>
  <c r="AD241" i="28"/>
  <c r="AD242" i="28"/>
  <c r="AD243" i="28"/>
  <c r="AD244" i="28"/>
  <c r="AD245" i="28"/>
  <c r="AD246" i="28"/>
  <c r="AD247" i="28"/>
  <c r="AD248" i="28"/>
  <c r="AD249" i="28"/>
  <c r="AD250" i="28"/>
  <c r="AD251" i="28"/>
  <c r="AD252" i="28"/>
  <c r="AD253" i="28"/>
  <c r="AD254" i="28"/>
  <c r="AD255" i="28"/>
  <c r="AD256" i="28"/>
  <c r="AD257" i="28"/>
  <c r="AD258" i="28"/>
  <c r="AD259" i="28"/>
  <c r="AD260" i="28"/>
  <c r="AD261" i="28"/>
  <c r="AD262" i="28"/>
  <c r="AD263" i="28"/>
  <c r="AD264" i="28"/>
  <c r="AD265" i="28"/>
  <c r="AD266" i="28"/>
  <c r="AD267" i="28"/>
  <c r="AD268" i="28"/>
  <c r="AD269" i="28"/>
  <c r="AD270" i="28"/>
  <c r="AD271" i="28"/>
  <c r="AD272" i="28"/>
  <c r="AD273" i="28"/>
  <c r="AD274" i="28"/>
  <c r="AD275" i="28"/>
  <c r="AD276" i="28"/>
  <c r="AD277" i="28"/>
  <c r="AD278" i="28"/>
  <c r="AD279" i="28"/>
  <c r="AD280" i="28"/>
  <c r="AD281" i="28"/>
  <c r="AD282" i="28"/>
  <c r="AD283" i="28"/>
  <c r="AD284" i="28"/>
  <c r="AD285" i="28"/>
  <c r="AD286" i="28"/>
  <c r="AD287" i="28"/>
  <c r="AD288" i="28"/>
  <c r="AD289" i="28"/>
  <c r="AD290" i="28"/>
  <c r="AD291" i="28"/>
  <c r="AD292" i="28"/>
  <c r="AD293" i="28"/>
  <c r="AD294" i="28"/>
  <c r="AD295" i="28"/>
  <c r="AD296" i="28"/>
  <c r="AD297" i="28"/>
  <c r="AD298" i="28"/>
  <c r="AD299" i="28"/>
  <c r="AD300" i="28"/>
  <c r="AD301" i="28"/>
  <c r="AD302" i="28"/>
  <c r="AD303" i="28"/>
  <c r="AD304" i="28"/>
  <c r="AD305" i="28"/>
  <c r="AD306" i="28"/>
  <c r="AD307" i="28"/>
  <c r="AD308" i="28"/>
  <c r="AD309" i="28"/>
  <c r="AD310" i="28"/>
  <c r="AD311" i="28"/>
  <c r="AD312" i="28"/>
  <c r="AD313" i="28"/>
  <c r="AD314" i="28"/>
  <c r="AD315" i="28"/>
  <c r="AD316" i="28"/>
  <c r="AD317" i="28"/>
  <c r="AD318" i="28"/>
  <c r="AD319" i="28"/>
  <c r="AD320" i="28"/>
  <c r="AD321" i="28"/>
  <c r="AD322" i="28"/>
  <c r="AD323" i="28"/>
  <c r="AD324" i="28"/>
  <c r="AD325" i="28"/>
  <c r="AD326" i="28"/>
  <c r="AD327" i="28"/>
  <c r="AD328" i="28"/>
  <c r="AD329" i="28"/>
  <c r="AD330" i="28"/>
  <c r="AD331" i="28"/>
  <c r="AD332" i="28"/>
  <c r="AD333" i="28"/>
  <c r="AD334" i="28"/>
  <c r="AD335" i="28"/>
  <c r="AD336" i="28"/>
  <c r="AD337" i="28"/>
  <c r="AD338" i="28"/>
  <c r="AD339" i="28"/>
  <c r="AD340" i="28"/>
  <c r="AD341" i="28"/>
  <c r="AD342" i="28"/>
  <c r="AD343" i="28"/>
  <c r="AD344" i="28"/>
  <c r="AD345" i="28"/>
  <c r="AD346" i="28"/>
  <c r="AD347" i="28"/>
  <c r="AD348" i="28"/>
  <c r="AD349" i="28"/>
  <c r="AD350" i="28"/>
  <c r="AD351" i="28"/>
  <c r="AD352" i="28"/>
  <c r="AD353" i="28"/>
  <c r="AD354" i="28"/>
  <c r="AD355" i="28"/>
  <c r="AD356" i="28"/>
  <c r="AD357" i="28"/>
  <c r="AD358" i="28"/>
  <c r="AD359" i="28"/>
  <c r="AD360" i="28"/>
  <c r="AD361" i="28"/>
  <c r="AD362" i="28"/>
  <c r="AD363" i="28"/>
  <c r="AD364" i="28"/>
  <c r="AD365" i="28"/>
  <c r="AD366" i="28"/>
  <c r="AD367" i="28"/>
  <c r="AD368" i="28"/>
  <c r="AD369" i="28"/>
  <c r="AD370" i="28"/>
  <c r="AD371" i="28"/>
  <c r="AD372" i="28"/>
  <c r="AD373" i="28"/>
  <c r="AD374" i="28"/>
  <c r="AD375" i="28"/>
  <c r="AD376" i="28"/>
  <c r="AD377" i="28"/>
  <c r="AD378" i="28"/>
  <c r="AD379" i="28"/>
  <c r="AD380" i="28"/>
  <c r="AD381" i="28"/>
  <c r="AD382" i="28"/>
  <c r="AD383" i="28"/>
  <c r="AD384" i="28"/>
  <c r="AD385" i="28"/>
  <c r="AD386" i="28"/>
  <c r="AD387" i="28"/>
  <c r="AD388" i="28"/>
  <c r="AD389" i="28"/>
  <c r="AD390" i="28"/>
  <c r="AD391" i="28"/>
  <c r="AD3" i="28"/>
  <c r="Q159" i="28" l="1"/>
  <c r="M159" i="28"/>
  <c r="Q158" i="28"/>
  <c r="M158" i="28"/>
  <c r="Q259" i="28"/>
  <c r="M259" i="28"/>
  <c r="Q260" i="28"/>
  <c r="M260" i="28"/>
  <c r="Q153" i="28"/>
  <c r="M153" i="28"/>
  <c r="Q151" i="28"/>
  <c r="M151" i="28"/>
  <c r="Q150" i="28"/>
  <c r="M150" i="28"/>
  <c r="Q152" i="28"/>
  <c r="M152" i="28"/>
  <c r="Q305" i="28"/>
  <c r="M305" i="28"/>
  <c r="Q195" i="28"/>
  <c r="M195" i="28"/>
  <c r="Q196" i="28"/>
  <c r="M196" i="28"/>
  <c r="Q194" i="28"/>
  <c r="M194" i="28"/>
  <c r="Q193" i="28"/>
  <c r="M193" i="28"/>
  <c r="Q239" i="28"/>
  <c r="M239" i="28"/>
  <c r="Q240" i="28"/>
  <c r="M240" i="28"/>
  <c r="Q238" i="28"/>
  <c r="M238" i="28"/>
  <c r="Q237" i="28"/>
  <c r="M237" i="28"/>
  <c r="Q236" i="28"/>
  <c r="M236" i="28"/>
  <c r="Q242" i="28"/>
  <c r="M242" i="28"/>
  <c r="Q241" i="28"/>
  <c r="M241" i="28"/>
  <c r="Q258" i="28"/>
  <c r="M258" i="28"/>
  <c r="Q257" i="28"/>
  <c r="M257" i="28"/>
  <c r="Q279" i="28"/>
  <c r="M279" i="28"/>
  <c r="Q278" i="28"/>
  <c r="M278" i="28"/>
  <c r="Q277" i="28"/>
  <c r="M277" i="28"/>
  <c r="Q276" i="28"/>
  <c r="M276" i="28"/>
  <c r="Q286" i="28"/>
  <c r="M286" i="28"/>
  <c r="Q300" i="28"/>
  <c r="M300" i="28"/>
  <c r="Q301" i="28"/>
  <c r="M301" i="28"/>
  <c r="Q302" i="28"/>
  <c r="M302" i="28"/>
  <c r="Q303" i="28"/>
  <c r="M303" i="28"/>
  <c r="Q309" i="28"/>
  <c r="M309" i="28"/>
  <c r="Q308" i="28"/>
  <c r="M308" i="28"/>
  <c r="Q346" i="28"/>
  <c r="Q347" i="28"/>
  <c r="M346" i="28"/>
  <c r="M347" i="28"/>
  <c r="Q311" i="28"/>
  <c r="M311" i="28"/>
  <c r="Q310" i="28"/>
  <c r="M310" i="28"/>
  <c r="Q349" i="28"/>
  <c r="M349" i="28"/>
  <c r="Q106" i="28"/>
  <c r="Q107" i="28"/>
  <c r="Q108" i="28"/>
  <c r="Q109" i="28"/>
  <c r="M91" i="28"/>
  <c r="Q90" i="28"/>
  <c r="M90" i="28"/>
  <c r="Q89" i="28"/>
  <c r="M89" i="28"/>
  <c r="Q88" i="28"/>
  <c r="M88" i="28"/>
  <c r="Q87" i="28"/>
  <c r="M87" i="28"/>
  <c r="Q86" i="28"/>
  <c r="M86" i="28"/>
  <c r="Q125" i="28"/>
  <c r="M125" i="28"/>
  <c r="Q124" i="28"/>
  <c r="M124" i="28"/>
  <c r="Q123" i="28"/>
  <c r="M123" i="28"/>
  <c r="M141" i="28"/>
  <c r="M142" i="28"/>
  <c r="Q142" i="28"/>
  <c r="Q141" i="28"/>
  <c r="Q140" i="28"/>
  <c r="M140" i="28"/>
  <c r="Q139" i="28"/>
  <c r="M139" i="28"/>
  <c r="Q138" i="28"/>
  <c r="M138" i="28"/>
  <c r="Q137" i="28"/>
  <c r="M137" i="28"/>
  <c r="Q291" i="28"/>
  <c r="M291" i="28"/>
  <c r="Q290" i="28"/>
  <c r="M290" i="28"/>
  <c r="Q293" i="28"/>
  <c r="M293" i="28"/>
  <c r="Q292" i="28"/>
  <c r="M292" i="28"/>
  <c r="Q313" i="28"/>
  <c r="M313" i="28"/>
  <c r="Q312" i="28"/>
  <c r="M312" i="28"/>
  <c r="Q304" i="28"/>
  <c r="M304" i="28"/>
  <c r="Q337" i="28"/>
  <c r="M337" i="28"/>
  <c r="Q336" i="28"/>
  <c r="M336" i="28"/>
  <c r="Q357" i="28"/>
  <c r="M357" i="28"/>
  <c r="Q356" i="28"/>
  <c r="M356" i="28"/>
  <c r="Q355" i="28"/>
  <c r="M355" i="28"/>
  <c r="Q354" i="28"/>
  <c r="M354" i="28"/>
  <c r="Q361" i="28"/>
  <c r="M361" i="28"/>
  <c r="Q360" i="28"/>
  <c r="M360" i="28"/>
  <c r="Q364" i="28"/>
  <c r="M364" i="28"/>
  <c r="Q363" i="28"/>
  <c r="M363" i="28"/>
  <c r="Q362" i="28"/>
  <c r="M362" i="28"/>
  <c r="Q368" i="28"/>
  <c r="M368" i="28"/>
  <c r="Q367" i="28"/>
  <c r="M367" i="28"/>
  <c r="M369" i="28"/>
  <c r="Q369" i="28"/>
  <c r="Q380" i="28"/>
  <c r="M380" i="28"/>
  <c r="Q379" i="28"/>
  <c r="M379" i="28"/>
  <c r="Q378" i="28"/>
  <c r="M378" i="28"/>
  <c r="Q377" i="28"/>
  <c r="M377" i="28"/>
  <c r="Q376" i="28"/>
  <c r="M376" i="28"/>
  <c r="Q375" i="28"/>
  <c r="M375" i="28"/>
  <c r="Q383" i="28"/>
  <c r="M383" i="28"/>
  <c r="Q382" i="28"/>
  <c r="M382" i="28"/>
  <c r="Q381" i="28"/>
  <c r="M381" i="28"/>
  <c r="M384" i="28"/>
  <c r="Q384" i="28"/>
  <c r="Q389" i="28"/>
  <c r="M389" i="28"/>
  <c r="Q388" i="28"/>
  <c r="M388" i="28"/>
  <c r="Q387" i="28"/>
  <c r="M387" i="28"/>
  <c r="Q372" i="28"/>
  <c r="M372" i="28"/>
  <c r="M371" i="28"/>
  <c r="Q374" i="28"/>
  <c r="M374" i="28"/>
  <c r="Q373" i="28"/>
  <c r="M373" i="28"/>
  <c r="Q385" i="28"/>
  <c r="M385" i="28"/>
  <c r="Q359" i="28"/>
  <c r="M359" i="28"/>
  <c r="Q358" i="28"/>
  <c r="M358" i="28"/>
  <c r="Q366" i="28"/>
  <c r="M366" i="28"/>
  <c r="Q365" i="28"/>
  <c r="M365" i="28"/>
  <c r="Q370" i="28"/>
  <c r="M370" i="28"/>
  <c r="Q386" i="28"/>
  <c r="M386" i="28"/>
  <c r="Q289" i="28"/>
  <c r="M289" i="28"/>
  <c r="Q288" i="28"/>
  <c r="M288" i="28"/>
  <c r="Q122" i="28"/>
  <c r="Q126" i="28"/>
  <c r="Q127" i="28"/>
  <c r="Q128" i="28"/>
  <c r="Q129" i="28"/>
  <c r="Q130" i="28"/>
  <c r="M122" i="28"/>
  <c r="M126" i="28"/>
  <c r="M107" i="28"/>
  <c r="M106" i="28"/>
  <c r="Q71" i="28"/>
  <c r="Q72" i="28"/>
  <c r="M71" i="28"/>
  <c r="M72" i="28"/>
  <c r="Q70" i="28"/>
  <c r="M70" i="28"/>
  <c r="Q43" i="28"/>
  <c r="M43" i="28"/>
  <c r="Q283" i="28"/>
  <c r="M283" i="28"/>
  <c r="Q282" i="28"/>
  <c r="M282" i="28"/>
  <c r="Q339" i="28"/>
  <c r="M339" i="28"/>
  <c r="Q338" i="28"/>
  <c r="M338" i="28"/>
  <c r="Q244" i="28"/>
  <c r="M244" i="28"/>
  <c r="Q243" i="28"/>
  <c r="M243" i="28"/>
  <c r="M197" i="28"/>
  <c r="Q197" i="28"/>
  <c r="Q84" i="28"/>
  <c r="Q85" i="28"/>
  <c r="M84" i="28"/>
  <c r="M85" i="28"/>
  <c r="Q231" i="28"/>
  <c r="Q230" i="28"/>
  <c r="Q229" i="28"/>
  <c r="Q228" i="28"/>
  <c r="Q225" i="28"/>
  <c r="Q223" i="28"/>
  <c r="Q224" i="28"/>
  <c r="Q222" i="28"/>
  <c r="Q36" i="28"/>
  <c r="M36" i="28"/>
  <c r="Q252" i="28"/>
  <c r="M252" i="28"/>
  <c r="Q250" i="28"/>
  <c r="M250" i="28"/>
  <c r="Q246" i="28"/>
  <c r="M246" i="28"/>
  <c r="Q227" i="28"/>
  <c r="M227" i="28"/>
  <c r="Q146" i="28"/>
  <c r="M146" i="28"/>
  <c r="Q32" i="28"/>
  <c r="M32" i="28"/>
  <c r="Q295" i="28"/>
  <c r="Q270" i="28"/>
  <c r="M270" i="28"/>
  <c r="M268" i="28"/>
  <c r="Q256" i="28"/>
  <c r="M256" i="28"/>
  <c r="Q255" i="28"/>
  <c r="M255" i="28"/>
  <c r="Q210" i="28"/>
  <c r="M210" i="28"/>
  <c r="Q144" i="28"/>
  <c r="M144" i="28"/>
  <c r="Q136" i="28"/>
  <c r="M136" i="28"/>
  <c r="M130" i="28"/>
  <c r="Q56" i="28"/>
  <c r="M56" i="28"/>
  <c r="Q53" i="28"/>
  <c r="M53" i="28"/>
  <c r="Q35" i="28"/>
  <c r="M35" i="28"/>
  <c r="Q215" i="28"/>
  <c r="M215" i="28"/>
  <c r="Q217" i="28"/>
  <c r="M217" i="28"/>
  <c r="Q219" i="28"/>
  <c r="M219" i="28"/>
  <c r="M225" i="28"/>
  <c r="Q212" i="28"/>
  <c r="M212" i="28"/>
  <c r="Q208" i="28"/>
  <c r="M208" i="28"/>
  <c r="Q206" i="28"/>
  <c r="M206" i="28"/>
  <c r="Q204" i="28"/>
  <c r="M204" i="28"/>
  <c r="Q202" i="28"/>
  <c r="M202" i="28"/>
  <c r="Q200" i="28"/>
  <c r="M200" i="28"/>
  <c r="Q198" i="28"/>
  <c r="M198" i="28"/>
  <c r="Q191" i="28"/>
  <c r="M191" i="28"/>
  <c r="Q189" i="28"/>
  <c r="M189" i="28"/>
  <c r="Q187" i="28"/>
  <c r="M187" i="28"/>
  <c r="Q185" i="28"/>
  <c r="M185" i="28"/>
  <c r="Q169" i="28"/>
  <c r="M169" i="28"/>
  <c r="Q171" i="28"/>
  <c r="M171" i="28"/>
  <c r="Q173" i="28"/>
  <c r="M173" i="28"/>
  <c r="Q174" i="28"/>
  <c r="M174" i="28"/>
  <c r="Q176" i="28"/>
  <c r="M176" i="28"/>
  <c r="Q167" i="28"/>
  <c r="M167" i="28"/>
  <c r="Q163" i="28"/>
  <c r="M163" i="28"/>
  <c r="Q161" i="28"/>
  <c r="M161" i="28"/>
  <c r="Q155" i="28"/>
  <c r="M155" i="28"/>
  <c r="M156" i="28"/>
  <c r="Q156" i="28"/>
  <c r="Q103" i="28"/>
  <c r="M103" i="28"/>
  <c r="Q183" i="28"/>
  <c r="M183" i="28"/>
  <c r="Q181" i="28"/>
  <c r="M181" i="28"/>
  <c r="Q179" i="28"/>
  <c r="M179" i="28"/>
  <c r="M274" i="28"/>
  <c r="Q274" i="28" s="1"/>
  <c r="M272" i="28"/>
  <c r="Q272" i="28" s="1"/>
  <c r="Q265" i="28"/>
  <c r="M265" i="28"/>
  <c r="Q262" i="28"/>
  <c r="M262" i="28"/>
  <c r="Q254" i="28"/>
  <c r="M254" i="28"/>
  <c r="Q332" i="28"/>
  <c r="M332" i="28"/>
  <c r="Q330" i="28"/>
  <c r="M330" i="28"/>
  <c r="Q328" i="28"/>
  <c r="M328" i="28"/>
  <c r="Q323" i="28"/>
  <c r="M323" i="28"/>
  <c r="Q321" i="28"/>
  <c r="M321" i="28"/>
  <c r="Q319" i="28"/>
  <c r="M319" i="28"/>
  <c r="Q351" i="28"/>
  <c r="M351" i="28"/>
  <c r="Q345" i="28"/>
  <c r="M345" i="28"/>
  <c r="Q119" i="28"/>
  <c r="M119" i="28"/>
  <c r="Q114" i="28"/>
  <c r="M114" i="28"/>
  <c r="M109" i="28"/>
  <c r="Q105" i="28"/>
  <c r="M105" i="28"/>
  <c r="Q100" i="28"/>
  <c r="M100" i="28"/>
  <c r="Q83" i="28"/>
  <c r="M83" i="28"/>
  <c r="Q81" i="28"/>
  <c r="M81" i="28"/>
  <c r="Q74" i="28"/>
  <c r="M74" i="28"/>
  <c r="Q69" i="28"/>
  <c r="M69" i="28"/>
  <c r="Q67" i="28"/>
  <c r="M67" i="28"/>
  <c r="Q65" i="28"/>
  <c r="M65" i="28"/>
  <c r="Q63" i="28"/>
  <c r="M63" i="28"/>
  <c r="Q61" i="28"/>
  <c r="M61" i="28"/>
  <c r="Q59" i="28"/>
  <c r="M59" i="28"/>
  <c r="Q73" i="28"/>
  <c r="M73" i="28"/>
  <c r="Q57" i="28"/>
  <c r="M57" i="28"/>
  <c r="Q55" i="28"/>
  <c r="M55" i="28"/>
  <c r="Q51" i="28"/>
  <c r="M51" i="28"/>
  <c r="Q49" i="28"/>
  <c r="M49" i="28"/>
  <c r="Q48" i="28"/>
  <c r="M48" i="28"/>
  <c r="Q47" i="28"/>
  <c r="M47" i="28"/>
  <c r="Q45" i="28"/>
  <c r="M45" i="28"/>
  <c r="Q42" i="28"/>
  <c r="M42" i="28"/>
  <c r="Q39" i="28"/>
  <c r="M39" i="28"/>
  <c r="Q37" i="28"/>
  <c r="M37" i="28"/>
  <c r="Q33" i="28"/>
  <c r="M33" i="28"/>
  <c r="Q31" i="28"/>
  <c r="M31" i="28"/>
  <c r="Q27" i="28"/>
  <c r="M27" i="28"/>
  <c r="Q25" i="28"/>
  <c r="M25" i="28"/>
  <c r="Q23" i="28"/>
  <c r="M23" i="28"/>
  <c r="Q21" i="28"/>
  <c r="M21" i="28"/>
  <c r="Q18" i="28"/>
  <c r="M18" i="28"/>
  <c r="Q19" i="28"/>
  <c r="M19" i="28"/>
  <c r="Q16" i="28"/>
  <c r="M16" i="28"/>
  <c r="Q14" i="28"/>
  <c r="M14" i="28"/>
  <c r="Q12" i="28"/>
  <c r="M12" i="28"/>
  <c r="Q10" i="28"/>
  <c r="M10" i="28"/>
  <c r="Q8" i="28"/>
  <c r="M8" i="28"/>
  <c r="Q353" i="28"/>
  <c r="M353" i="28"/>
  <c r="Q352" i="28"/>
  <c r="M352" i="28"/>
  <c r="Q350" i="28"/>
  <c r="M350" i="28"/>
  <c r="Q348" i="28"/>
  <c r="M348" i="28"/>
  <c r="Q344" i="28"/>
  <c r="M344" i="28"/>
  <c r="Q343" i="28"/>
  <c r="M343" i="28"/>
  <c r="Q342" i="28"/>
  <c r="M342" i="28"/>
  <c r="Q341" i="28"/>
  <c r="M341" i="28"/>
  <c r="Q340" i="28"/>
  <c r="M340" i="28"/>
  <c r="Q335" i="28"/>
  <c r="M335" i="28"/>
  <c r="Q334" i="28"/>
  <c r="M334" i="28"/>
  <c r="Q331" i="28"/>
  <c r="M331" i="28"/>
  <c r="Q329" i="28"/>
  <c r="M329" i="28"/>
  <c r="Q327" i="28"/>
  <c r="M327" i="28"/>
  <c r="Q326" i="28"/>
  <c r="M326" i="28"/>
  <c r="Q325" i="28"/>
  <c r="M325" i="28"/>
  <c r="Q324" i="28"/>
  <c r="M324" i="28"/>
  <c r="Q322" i="28"/>
  <c r="M322" i="28"/>
  <c r="Q320" i="28"/>
  <c r="M320" i="28"/>
  <c r="Q318" i="28"/>
  <c r="M318" i="28"/>
  <c r="Q317" i="28"/>
  <c r="M317" i="28"/>
  <c r="Q316" i="28"/>
  <c r="M316" i="28"/>
  <c r="Q315" i="28"/>
  <c r="M315" i="28"/>
  <c r="Q314" i="28"/>
  <c r="Q307" i="28"/>
  <c r="M307" i="28"/>
  <c r="Q306" i="28"/>
  <c r="M306" i="28"/>
  <c r="Q299" i="28"/>
  <c r="M299" i="28"/>
  <c r="Q298" i="28"/>
  <c r="M298" i="28"/>
  <c r="Q297" i="28"/>
  <c r="M297" i="28"/>
  <c r="Q294" i="28"/>
  <c r="M294" i="28"/>
  <c r="Q287" i="28"/>
  <c r="M287" i="28"/>
  <c r="Q285" i="28"/>
  <c r="M285" i="28"/>
  <c r="Q284" i="28"/>
  <c r="M284" i="28"/>
  <c r="Q281" i="28"/>
  <c r="M281" i="28"/>
  <c r="Q280" i="28"/>
  <c r="M280" i="28"/>
  <c r="Q275" i="28"/>
  <c r="M275" i="28"/>
  <c r="M273" i="28"/>
  <c r="Q273" i="28" s="1"/>
  <c r="M271" i="28"/>
  <c r="Q271" i="28" s="1"/>
  <c r="M269" i="28"/>
  <c r="M267" i="28"/>
  <c r="Q266" i="28"/>
  <c r="M266" i="28"/>
  <c r="Q264" i="28"/>
  <c r="M264" i="28"/>
  <c r="Q263" i="28"/>
  <c r="M263" i="28"/>
  <c r="Q261" i="28"/>
  <c r="M261" i="28"/>
  <c r="Q253" i="28"/>
  <c r="M253" i="28"/>
  <c r="Q251" i="28"/>
  <c r="M251" i="28"/>
  <c r="Q249" i="28"/>
  <c r="M249" i="28"/>
  <c r="AA248" i="28"/>
  <c r="Q248" i="28"/>
  <c r="M248" i="28"/>
  <c r="Q245" i="28"/>
  <c r="M245" i="28"/>
  <c r="Q235" i="28"/>
  <c r="M235" i="28"/>
  <c r="Q234" i="28"/>
  <c r="M234" i="28"/>
  <c r="Q233" i="28"/>
  <c r="M233" i="28"/>
  <c r="Q232" i="28"/>
  <c r="M232" i="28"/>
  <c r="M231" i="28"/>
  <c r="M230" i="28"/>
  <c r="M229" i="28"/>
  <c r="M228" i="28"/>
  <c r="Q226" i="28"/>
  <c r="M226" i="28"/>
  <c r="M224" i="28"/>
  <c r="M223" i="28"/>
  <c r="M222" i="28"/>
  <c r="Q221" i="28"/>
  <c r="M221" i="28"/>
  <c r="Q220" i="28"/>
  <c r="M220" i="28"/>
  <c r="Q218" i="28"/>
  <c r="M218" i="28"/>
  <c r="Q216" i="28"/>
  <c r="M216" i="28"/>
  <c r="Q214" i="28"/>
  <c r="M214" i="28"/>
  <c r="Q213" i="28"/>
  <c r="M213" i="28"/>
  <c r="Q211" i="28"/>
  <c r="M211" i="28"/>
  <c r="Q209" i="28"/>
  <c r="M209" i="28"/>
  <c r="Q207" i="28"/>
  <c r="M207" i="28"/>
  <c r="Q205" i="28"/>
  <c r="M205" i="28"/>
  <c r="Q203" i="28"/>
  <c r="M203" i="28"/>
  <c r="Q201" i="28"/>
  <c r="M201" i="28"/>
  <c r="Q199" i="28"/>
  <c r="M199" i="28"/>
  <c r="Q192" i="28"/>
  <c r="M192" i="28"/>
  <c r="Q190" i="28"/>
  <c r="M190" i="28"/>
  <c r="Q188" i="28"/>
  <c r="M188" i="28"/>
  <c r="Q186" i="28"/>
  <c r="M186" i="28"/>
  <c r="Q184" i="28"/>
  <c r="M184" i="28"/>
  <c r="Q182" i="28"/>
  <c r="M182" i="28"/>
  <c r="Q180" i="28"/>
  <c r="M180" i="28"/>
  <c r="Q178" i="28"/>
  <c r="M178" i="28"/>
  <c r="Q175" i="28"/>
  <c r="M175" i="28"/>
  <c r="Q172" i="28"/>
  <c r="M172" i="28"/>
  <c r="Q170" i="28"/>
  <c r="M170" i="28"/>
  <c r="Q168" i="28"/>
  <c r="M168" i="28"/>
  <c r="Q166" i="28"/>
  <c r="M166" i="28"/>
  <c r="Q165" i="28"/>
  <c r="M165" i="28"/>
  <c r="Q164" i="28"/>
  <c r="M164" i="28"/>
  <c r="Q162" i="28"/>
  <c r="M162" i="28"/>
  <c r="Q160" i="28"/>
  <c r="M160" i="28"/>
  <c r="Q157" i="28"/>
  <c r="M157" i="28"/>
  <c r="Q154" i="28"/>
  <c r="M154" i="28"/>
  <c r="Q149" i="28"/>
  <c r="M149" i="28"/>
  <c r="Q148" i="28"/>
  <c r="M148" i="28"/>
  <c r="Q147" i="28"/>
  <c r="M147" i="28"/>
  <c r="Q145" i="28"/>
  <c r="M145" i="28"/>
  <c r="Q143" i="28"/>
  <c r="M143" i="28"/>
  <c r="Q135" i="28"/>
  <c r="M135" i="28"/>
  <c r="Q134" i="28"/>
  <c r="M134" i="28"/>
  <c r="Q133" i="28"/>
  <c r="M133" i="28"/>
  <c r="Q132" i="28"/>
  <c r="M132" i="28"/>
  <c r="Q131" i="28"/>
  <c r="M131" i="28"/>
  <c r="M129" i="28"/>
  <c r="M128" i="28"/>
  <c r="M127" i="28"/>
  <c r="Q121" i="28"/>
  <c r="M121" i="28"/>
  <c r="Q120" i="28"/>
  <c r="M120" i="28"/>
  <c r="Q118" i="28"/>
  <c r="M118" i="28"/>
  <c r="Q117" i="28"/>
  <c r="M117" i="28"/>
  <c r="Q116" i="28"/>
  <c r="M116" i="28"/>
  <c r="Q115" i="28"/>
  <c r="M115" i="28"/>
  <c r="Q113" i="28"/>
  <c r="M113" i="28"/>
  <c r="Q112" i="28"/>
  <c r="M112" i="28"/>
  <c r="Q111" i="28"/>
  <c r="M111" i="28"/>
  <c r="Q110" i="28"/>
  <c r="M110" i="28"/>
  <c r="M108" i="28"/>
  <c r="Q104" i="28"/>
  <c r="M104" i="28"/>
  <c r="Q102" i="28"/>
  <c r="M102" i="28"/>
  <c r="Q101" i="28"/>
  <c r="M101" i="28"/>
  <c r="M99" i="28"/>
  <c r="Q98" i="28"/>
  <c r="M98" i="28"/>
  <c r="AA97" i="28"/>
  <c r="Q97" i="28"/>
  <c r="M97" i="28"/>
  <c r="Q95" i="28"/>
  <c r="M95" i="28"/>
  <c r="Q94" i="28"/>
  <c r="M94" i="28"/>
  <c r="AA93" i="28"/>
  <c r="Q93" i="28"/>
  <c r="M93" i="28"/>
  <c r="Q92" i="28"/>
  <c r="M92" i="28"/>
  <c r="Q82" i="28"/>
  <c r="M82" i="28"/>
  <c r="AA80" i="28"/>
  <c r="Q80" i="28"/>
  <c r="M80" i="28"/>
  <c r="AA79" i="28"/>
  <c r="Q79" i="28"/>
  <c r="M79" i="28"/>
  <c r="AA78" i="28"/>
  <c r="Q78" i="28"/>
  <c r="M78" i="28"/>
  <c r="AA77" i="28"/>
  <c r="Q77" i="28"/>
  <c r="M77" i="28"/>
  <c r="AA76" i="28"/>
  <c r="Q76" i="28"/>
  <c r="M76" i="28"/>
  <c r="Q68" i="28"/>
  <c r="M68" i="28"/>
  <c r="Q66" i="28"/>
  <c r="M66" i="28"/>
  <c r="Q64" i="28"/>
  <c r="M64" i="28"/>
  <c r="Q62" i="28"/>
  <c r="M62" i="28"/>
  <c r="Q60" i="28"/>
  <c r="M60" i="28"/>
  <c r="Q58" i="28"/>
  <c r="M58" i="28"/>
  <c r="Q54" i="28"/>
  <c r="M54" i="28"/>
  <c r="Q52" i="28"/>
  <c r="M52" i="28"/>
  <c r="Q50" i="28"/>
  <c r="M50" i="28"/>
  <c r="Q46" i="28"/>
  <c r="M46" i="28"/>
  <c r="Q44" i="28"/>
  <c r="M44" i="28"/>
  <c r="Q41" i="28"/>
  <c r="M41" i="28"/>
  <c r="Q40" i="28"/>
  <c r="M40" i="28"/>
  <c r="Q38" i="28"/>
  <c r="M38" i="28"/>
  <c r="Q34" i="28"/>
  <c r="M34" i="28"/>
  <c r="Q30" i="28"/>
  <c r="M30" i="28"/>
  <c r="Q29" i="28"/>
  <c r="M29" i="28"/>
  <c r="Q28" i="28"/>
  <c r="M28" i="28"/>
  <c r="Q26" i="28"/>
  <c r="M26" i="28"/>
  <c r="Q24" i="28"/>
  <c r="M24" i="28"/>
  <c r="Q22" i="28"/>
  <c r="M22" i="28"/>
  <c r="Q20" i="28"/>
  <c r="M20" i="28"/>
  <c r="Q17" i="28"/>
  <c r="M17" i="28"/>
  <c r="Q15" i="28"/>
  <c r="M15" i="28"/>
  <c r="Q13" i="28"/>
  <c r="M13" i="28"/>
  <c r="Q11" i="28"/>
  <c r="M11" i="28"/>
  <c r="Q9" i="28"/>
  <c r="M9" i="28"/>
  <c r="Q7" i="28"/>
  <c r="M7" i="28"/>
  <c r="Q6" i="28"/>
  <c r="M6" i="28"/>
  <c r="Q5" i="28"/>
  <c r="M5" i="28"/>
  <c r="Q8" i="24"/>
  <c r="P8" i="24"/>
  <c r="O8" i="24"/>
  <c r="N8" i="24"/>
  <c r="M8" i="24"/>
  <c r="Q7" i="24"/>
  <c r="P7" i="24"/>
  <c r="O7" i="24"/>
  <c r="N7" i="24"/>
  <c r="M7" i="24"/>
  <c r="Q6" i="24"/>
  <c r="P6" i="24"/>
  <c r="O6" i="24"/>
  <c r="N6" i="24"/>
  <c r="M6" i="24"/>
  <c r="Q5" i="24"/>
  <c r="P5" i="24"/>
  <c r="O5" i="24"/>
  <c r="N5" i="24"/>
  <c r="M5" i="24"/>
  <c r="Q4" i="24"/>
  <c r="P4" i="24"/>
  <c r="O4" i="24"/>
  <c r="N4" i="24"/>
  <c r="M4" i="24"/>
  <c r="H43" i="24"/>
  <c r="G43" i="24"/>
  <c r="F43" i="24"/>
  <c r="E43" i="24"/>
  <c r="D43" i="24"/>
  <c r="H42" i="24"/>
  <c r="G42" i="24"/>
  <c r="F42" i="24"/>
  <c r="E42" i="24"/>
  <c r="D42" i="24"/>
  <c r="H41" i="24"/>
  <c r="G41" i="24"/>
  <c r="F41" i="24"/>
  <c r="E41" i="24"/>
  <c r="D41" i="24"/>
  <c r="H40" i="24"/>
  <c r="G40" i="24"/>
  <c r="F40" i="24"/>
  <c r="E40" i="24"/>
  <c r="D40" i="24"/>
  <c r="H39" i="24"/>
  <c r="G39" i="24"/>
  <c r="F39" i="24"/>
  <c r="E39" i="24"/>
  <c r="D39" i="24"/>
  <c r="H38" i="24"/>
  <c r="G38" i="24"/>
  <c r="F38" i="24"/>
  <c r="E38" i="24"/>
  <c r="D38" i="24"/>
  <c r="H37" i="24"/>
  <c r="G37" i="24"/>
  <c r="F37" i="24"/>
  <c r="E37" i="24"/>
  <c r="D37" i="24"/>
  <c r="H36" i="24"/>
  <c r="G36" i="24"/>
  <c r="F36" i="24"/>
  <c r="E36" i="24"/>
  <c r="D36" i="24"/>
  <c r="H35" i="24"/>
  <c r="G35" i="24"/>
  <c r="F35" i="24"/>
  <c r="E35" i="24"/>
  <c r="D35" i="24"/>
  <c r="H34" i="24"/>
  <c r="G34" i="24"/>
  <c r="F34" i="24"/>
  <c r="E34" i="24"/>
  <c r="D34" i="24"/>
  <c r="H33" i="24"/>
  <c r="G33" i="24"/>
  <c r="F33" i="24"/>
  <c r="E33" i="24"/>
  <c r="D33" i="24"/>
  <c r="H32" i="24"/>
  <c r="G32" i="24"/>
  <c r="F32" i="24"/>
  <c r="E32" i="24"/>
  <c r="D32" i="24"/>
  <c r="H31" i="24"/>
  <c r="G31" i="24"/>
  <c r="F31" i="24"/>
  <c r="E31" i="24"/>
  <c r="D31" i="24"/>
  <c r="H30" i="24"/>
  <c r="G30" i="24"/>
  <c r="F30" i="24"/>
  <c r="E30" i="24"/>
  <c r="D30" i="24"/>
  <c r="H29" i="24"/>
  <c r="G29" i="24"/>
  <c r="F29" i="24"/>
  <c r="E29" i="24"/>
  <c r="D29" i="24"/>
  <c r="H28" i="24"/>
  <c r="G28" i="24"/>
  <c r="F28" i="24"/>
  <c r="E28" i="24"/>
  <c r="D28" i="24"/>
  <c r="H27" i="24"/>
  <c r="G27" i="24"/>
  <c r="F27" i="24"/>
  <c r="E27" i="24"/>
  <c r="D27" i="24"/>
  <c r="H26" i="24"/>
  <c r="G26" i="24"/>
  <c r="F26" i="24"/>
  <c r="E26" i="24"/>
  <c r="D26" i="24"/>
  <c r="H25" i="24"/>
  <c r="G25" i="24"/>
  <c r="F25" i="24"/>
  <c r="E25" i="24"/>
  <c r="D25" i="24"/>
  <c r="H24" i="24"/>
  <c r="G24" i="24"/>
  <c r="F24" i="24"/>
  <c r="E24" i="24"/>
  <c r="D24" i="24"/>
  <c r="H23" i="24"/>
  <c r="G23" i="24"/>
  <c r="F23" i="24"/>
  <c r="E23" i="24"/>
  <c r="D23" i="24"/>
  <c r="H22" i="24"/>
  <c r="G22" i="24"/>
  <c r="F22" i="24"/>
  <c r="E22" i="24"/>
  <c r="D22" i="24"/>
  <c r="H21" i="24"/>
  <c r="G21" i="24"/>
  <c r="F21" i="24"/>
  <c r="E21" i="24"/>
  <c r="D21" i="24"/>
  <c r="H20" i="24"/>
  <c r="G20" i="24"/>
  <c r="F20" i="24"/>
  <c r="E20" i="24"/>
  <c r="D20" i="24"/>
  <c r="H19" i="24"/>
  <c r="G19" i="24"/>
  <c r="F19" i="24"/>
  <c r="E19" i="24"/>
  <c r="D19" i="24"/>
  <c r="H8" i="24"/>
  <c r="G8" i="24"/>
  <c r="F8" i="24"/>
  <c r="E8" i="24"/>
  <c r="D8" i="24"/>
  <c r="H7" i="24"/>
  <c r="G7" i="24"/>
  <c r="F7" i="24"/>
  <c r="E7" i="24"/>
  <c r="D7" i="24"/>
  <c r="H6" i="24"/>
  <c r="G6" i="24"/>
  <c r="F6" i="24"/>
  <c r="E6" i="24"/>
  <c r="D6" i="24"/>
  <c r="H5" i="24"/>
  <c r="G5" i="24"/>
  <c r="F5" i="24"/>
  <c r="E5" i="24"/>
  <c r="D5" i="24"/>
  <c r="H4" i="24"/>
  <c r="G4" i="24"/>
  <c r="F4" i="24"/>
  <c r="E4" i="24"/>
  <c r="D4" i="24"/>
  <c r="P36" i="24" l="1"/>
  <c r="P22" i="24"/>
  <c r="N34" i="24"/>
  <c r="P28" i="24"/>
  <c r="Q40" i="24"/>
  <c r="O29" i="24"/>
  <c r="M35" i="24"/>
  <c r="Q30" i="24"/>
  <c r="P29" i="24"/>
  <c r="Q29" i="24"/>
  <c r="N37" i="24"/>
  <c r="N28" i="24"/>
  <c r="Q41" i="24"/>
  <c r="P31" i="24"/>
  <c r="O19" i="24"/>
  <c r="M34" i="24"/>
  <c r="O35" i="24"/>
  <c r="M43" i="24"/>
  <c r="Q32" i="24"/>
  <c r="N42" i="24"/>
  <c r="Q39" i="24"/>
  <c r="P34" i="24"/>
  <c r="O20" i="24"/>
  <c r="Q38" i="24"/>
  <c r="M32" i="24"/>
  <c r="P40" i="24"/>
  <c r="M33" i="24"/>
  <c r="M41" i="24"/>
  <c r="P43" i="24"/>
  <c r="N39" i="24"/>
  <c r="Q24" i="24"/>
  <c r="Q28" i="24"/>
  <c r="M26" i="24"/>
  <c r="Q23" i="24"/>
  <c r="Q13" i="24"/>
  <c r="Q25" i="24"/>
  <c r="N27" i="24"/>
  <c r="M42" i="24"/>
  <c r="Q26" i="24"/>
  <c r="M39" i="24"/>
  <c r="N35" i="24"/>
  <c r="M19" i="24"/>
  <c r="O23" i="24"/>
  <c r="M38" i="24"/>
  <c r="O34" i="24"/>
  <c r="Q35" i="24"/>
  <c r="N41" i="24"/>
  <c r="O43" i="24"/>
  <c r="Q27" i="24"/>
  <c r="M30" i="24"/>
  <c r="Q31" i="24"/>
  <c r="M21" i="24"/>
  <c r="M29" i="24"/>
  <c r="O26" i="24"/>
  <c r="N23" i="24"/>
  <c r="N32" i="24"/>
  <c r="N22" i="24"/>
  <c r="Q19" i="24"/>
  <c r="M23" i="24"/>
  <c r="O40" i="24"/>
  <c r="Q37" i="24"/>
  <c r="M36" i="24"/>
  <c r="P21" i="24"/>
  <c r="Q36" i="24"/>
  <c r="O22" i="24"/>
  <c r="O24" i="24"/>
  <c r="N36" i="24"/>
  <c r="M28" i="24"/>
  <c r="M31" i="24"/>
  <c r="O37" i="24"/>
  <c r="P38" i="24"/>
  <c r="O32" i="24"/>
  <c r="O41" i="24"/>
  <c r="O30" i="24"/>
  <c r="N25" i="24"/>
  <c r="Q20" i="24"/>
  <c r="P32" i="24"/>
  <c r="N30" i="24"/>
  <c r="M25" i="24"/>
  <c r="O42" i="24"/>
  <c r="P27" i="24"/>
  <c r="Q34" i="24"/>
  <c r="O38" i="24"/>
  <c r="M20" i="24"/>
  <c r="P37" i="24"/>
  <c r="P41" i="24"/>
  <c r="P33" i="24"/>
  <c r="Q42" i="24"/>
  <c r="P23" i="24"/>
  <c r="N33" i="24"/>
  <c r="P39" i="24"/>
  <c r="N31" i="24"/>
  <c r="Q43" i="24"/>
  <c r="N21" i="24"/>
  <c r="O21" i="24"/>
  <c r="O27" i="24"/>
  <c r="P26" i="24"/>
  <c r="P30" i="24"/>
  <c r="O28" i="24"/>
  <c r="O31" i="24"/>
  <c r="M40" i="24"/>
  <c r="P42" i="24"/>
  <c r="P35" i="24"/>
  <c r="N43" i="24"/>
  <c r="N38" i="24"/>
  <c r="N40" i="24"/>
  <c r="N19" i="24"/>
  <c r="P19" i="24"/>
  <c r="O36" i="24"/>
  <c r="O39" i="24"/>
  <c r="Q21" i="24"/>
  <c r="M24" i="24"/>
  <c r="N20" i="24"/>
  <c r="Q33" i="24"/>
  <c r="P24" i="24"/>
  <c r="M37" i="24"/>
  <c r="M22" i="24"/>
  <c r="O33" i="24"/>
  <c r="Q22" i="24"/>
  <c r="M27" i="24"/>
  <c r="P25" i="24"/>
  <c r="N29" i="24"/>
  <c r="O25" i="24"/>
  <c r="P20" i="24"/>
  <c r="N26" i="24"/>
  <c r="N24" i="24"/>
  <c r="Q12" i="24"/>
  <c r="Q48" i="24" l="1"/>
  <c r="Q47" i="24"/>
</calcChain>
</file>

<file path=xl/sharedStrings.xml><?xml version="1.0" encoding="utf-8"?>
<sst xmlns="http://schemas.openxmlformats.org/spreadsheetml/2006/main" count="5180" uniqueCount="1574">
  <si>
    <t>Description</t>
  </si>
  <si>
    <t>DCE</t>
  </si>
  <si>
    <t>Risk Factor (S x O) Scores</t>
  </si>
  <si>
    <t>Occurrence</t>
  </si>
  <si>
    <t>Severity</t>
  </si>
  <si>
    <t>Risk Priority Number (S x O x D) Scores</t>
  </si>
  <si>
    <t>Severity x Occurrence (S x O)</t>
  </si>
  <si>
    <t>Detection</t>
  </si>
  <si>
    <t>Severity, or Consequence Evaluation Criteria: Worst Case Evaluation of Failure Mode</t>
  </si>
  <si>
    <t>Score</t>
  </si>
  <si>
    <t>Criteria</t>
  </si>
  <si>
    <t>Notes</t>
  </si>
  <si>
    <t>5</t>
  </si>
  <si>
    <t>4</t>
  </si>
  <si>
    <t>3</t>
  </si>
  <si>
    <t>2</t>
  </si>
  <si>
    <t>1</t>
  </si>
  <si>
    <t>Occurrence: Probability of occurrence within the product life based on the design as is exists today</t>
  </si>
  <si>
    <t>Probability Description</t>
  </si>
  <si>
    <t>Probability</t>
  </si>
  <si>
    <t>Very high probability</t>
  </si>
  <si>
    <t>1 in 10 or greater</t>
  </si>
  <si>
    <r>
      <t>0.1 ≤ P</t>
    </r>
    <r>
      <rPr>
        <vertAlign val="subscript"/>
        <sz val="12"/>
        <rFont val="Arial"/>
        <family val="2"/>
      </rPr>
      <t>o</t>
    </r>
  </si>
  <si>
    <t>High probability</t>
  </si>
  <si>
    <t>1 in 100 or greater</t>
  </si>
  <si>
    <r>
      <t xml:space="preserve">0.01 </t>
    </r>
    <r>
      <rPr>
        <sz val="12"/>
        <rFont val="Calibri"/>
        <family val="2"/>
      </rPr>
      <t>≤  P</t>
    </r>
    <r>
      <rPr>
        <vertAlign val="subscript"/>
        <sz val="12"/>
        <rFont val="Calibri"/>
        <family val="2"/>
      </rPr>
      <t>o</t>
    </r>
    <r>
      <rPr>
        <sz val="12"/>
        <rFont val="Arial"/>
        <family val="2"/>
      </rPr>
      <t xml:space="preserve"> &lt; 0.1</t>
    </r>
  </si>
  <si>
    <t>Moderate probability</t>
  </si>
  <si>
    <t>1 in 1,000 or greater</t>
  </si>
  <si>
    <r>
      <t xml:space="preserve">0.001 </t>
    </r>
    <r>
      <rPr>
        <sz val="12"/>
        <rFont val="Calibri"/>
        <family val="2"/>
      </rPr>
      <t>≤  P</t>
    </r>
    <r>
      <rPr>
        <vertAlign val="subscript"/>
        <sz val="12"/>
        <rFont val="Calibri"/>
        <family val="2"/>
      </rPr>
      <t>o</t>
    </r>
    <r>
      <rPr>
        <sz val="12"/>
        <rFont val="Arial"/>
        <family val="2"/>
      </rPr>
      <t xml:space="preserve"> &lt; 0.01</t>
    </r>
  </si>
  <si>
    <t>Low probability</t>
  </si>
  <si>
    <t>1 in 10,000 or greater</t>
  </si>
  <si>
    <r>
      <t xml:space="preserve">0.0001 </t>
    </r>
    <r>
      <rPr>
        <sz val="12"/>
        <rFont val="Calibri"/>
        <family val="2"/>
      </rPr>
      <t>≤   P</t>
    </r>
    <r>
      <rPr>
        <vertAlign val="subscript"/>
        <sz val="12"/>
        <rFont val="Calibri"/>
        <family val="2"/>
      </rPr>
      <t>o</t>
    </r>
    <r>
      <rPr>
        <sz val="12"/>
        <rFont val="Calibri"/>
        <family val="2"/>
      </rPr>
      <t xml:space="preserve"> </t>
    </r>
    <r>
      <rPr>
        <sz val="12"/>
        <rFont val="Arial"/>
        <family val="2"/>
      </rPr>
      <t>&lt; 0.001</t>
    </r>
  </si>
  <si>
    <t>Remote probability</t>
  </si>
  <si>
    <t>Less than 1 in 10,000</t>
  </si>
  <si>
    <r>
      <t xml:space="preserve"> P</t>
    </r>
    <r>
      <rPr>
        <vertAlign val="subscript"/>
        <sz val="12"/>
        <rFont val="Arial"/>
        <family val="2"/>
      </rPr>
      <t>o</t>
    </r>
    <r>
      <rPr>
        <sz val="12"/>
        <rFont val="Arial"/>
        <family val="2"/>
      </rPr>
      <t xml:space="preserve"> &lt; 0.0001</t>
    </r>
  </si>
  <si>
    <t>Detection: Likelihood of failure mode detection by design</t>
  </si>
  <si>
    <t>Definition</t>
  </si>
  <si>
    <t>Very remote probability to absolute uncertainty of detection</t>
  </si>
  <si>
    <r>
      <t xml:space="preserve"> P</t>
    </r>
    <r>
      <rPr>
        <vertAlign val="subscript"/>
        <sz val="12"/>
        <rFont val="Arial"/>
        <family val="2"/>
      </rPr>
      <t>D</t>
    </r>
    <r>
      <rPr>
        <sz val="12"/>
        <rFont val="Arial"/>
        <family val="2"/>
      </rPr>
      <t xml:space="preserve"> &lt; 0.1</t>
    </r>
  </si>
  <si>
    <t>Very low to remote probability of detection</t>
  </si>
  <si>
    <r>
      <t xml:space="preserve">0.1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0.5</t>
    </r>
  </si>
  <si>
    <t>Moderate to low probability of detection</t>
  </si>
  <si>
    <r>
      <t xml:space="preserve">0.5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0.95</t>
    </r>
  </si>
  <si>
    <t>High to moderately high probability of detection</t>
  </si>
  <si>
    <r>
      <t xml:space="preserve">0.95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0.995</t>
    </r>
  </si>
  <si>
    <t>Almost certain to very high probability of detection</t>
  </si>
  <si>
    <r>
      <t>0.995 ≤ P</t>
    </r>
    <r>
      <rPr>
        <vertAlign val="subscript"/>
        <sz val="12"/>
        <rFont val="Arial"/>
        <family val="2"/>
      </rPr>
      <t>D</t>
    </r>
  </si>
  <si>
    <t>Potential Failure Mode</t>
  </si>
  <si>
    <t>Potential Effect(s) of Failure</t>
  </si>
  <si>
    <t>Severity Score</t>
  </si>
  <si>
    <t>Occurrence Score</t>
  </si>
  <si>
    <t>Existing Conditions</t>
  </si>
  <si>
    <t>Action Results</t>
  </si>
  <si>
    <t>Local - Effect at the sub assembly or component level</t>
  </si>
  <si>
    <t>End - Effect at System Level</t>
  </si>
  <si>
    <t>Verification &amp; Validation Method</t>
  </si>
  <si>
    <t>Detection Method</t>
  </si>
  <si>
    <t>Detection Score</t>
  </si>
  <si>
    <t>New RPN</t>
  </si>
  <si>
    <t>SCR</t>
  </si>
  <si>
    <t>Silicon Controlled Rectifier</t>
  </si>
  <si>
    <t>RPN Conditions</t>
  </si>
  <si>
    <t>CTP</t>
  </si>
  <si>
    <t>Current Transformer for Power</t>
  </si>
  <si>
    <t>HALT</t>
  </si>
  <si>
    <t>Highly-Accelerated Life Testing</t>
  </si>
  <si>
    <t>G-K</t>
  </si>
  <si>
    <t>Gate-to-Cathode</t>
  </si>
  <si>
    <t>A-K</t>
  </si>
  <si>
    <t>Anode-to-Cathode</t>
  </si>
  <si>
    <t>PSB</t>
  </si>
  <si>
    <t>HASS</t>
  </si>
  <si>
    <t>Digital Computational Engine</t>
  </si>
  <si>
    <t xml:space="preserve">Power Supply Board </t>
  </si>
  <si>
    <t>High accelerated stress screening</t>
  </si>
  <si>
    <t>Potential Causes / Triggers of Failure</t>
  </si>
  <si>
    <t>Failure Safeguards</t>
  </si>
  <si>
    <t>S x O</t>
  </si>
  <si>
    <t>RPN (S x O x D)</t>
  </si>
  <si>
    <t>Recommended Action(s) / Remarks</t>
  </si>
  <si>
    <t>Target Completion Date</t>
  </si>
  <si>
    <t>Component</t>
  </si>
  <si>
    <t>Functional Requirement</t>
  </si>
  <si>
    <t>Actions Taken</t>
  </si>
  <si>
    <t>VSL</t>
  </si>
  <si>
    <t>PIB</t>
  </si>
  <si>
    <t>Power Interface Board</t>
  </si>
  <si>
    <t>DCCT</t>
  </si>
  <si>
    <t>DC current transducer</t>
  </si>
  <si>
    <t>EOL</t>
  </si>
  <si>
    <t>EFT</t>
  </si>
  <si>
    <t>End Of Line</t>
  </si>
  <si>
    <t>Electrical Fast Transient</t>
  </si>
  <si>
    <t>PCB</t>
  </si>
  <si>
    <t>Printed Circuit Board</t>
  </si>
  <si>
    <t>SVC</t>
  </si>
  <si>
    <t>SmartValve Controller</t>
  </si>
  <si>
    <t>FO</t>
  </si>
  <si>
    <t>Fiber Optic</t>
  </si>
  <si>
    <t>LCB</t>
  </si>
  <si>
    <t>Liquid Cooling Block</t>
  </si>
  <si>
    <t>None.</t>
  </si>
  <si>
    <t>Smart Interface</t>
  </si>
  <si>
    <t>PLM</t>
  </si>
  <si>
    <t>Status</t>
  </si>
  <si>
    <t>Review Status</t>
  </si>
  <si>
    <t>Approved</t>
  </si>
  <si>
    <t>Reviewed by QA</t>
  </si>
  <si>
    <t>Review Pending</t>
  </si>
  <si>
    <t>OVP</t>
  </si>
  <si>
    <t>Over-Voltage Protection</t>
  </si>
  <si>
    <t>Total risks:</t>
  </si>
  <si>
    <t>Title:</t>
  </si>
  <si>
    <t>Project:</t>
  </si>
  <si>
    <t>Vacuum Series Link</t>
  </si>
  <si>
    <t>Definitions / Terms / Acronyms</t>
  </si>
  <si>
    <t>Term</t>
  </si>
  <si>
    <t>Color</t>
  </si>
  <si>
    <r>
      <t xml:space="preserve">Value  </t>
    </r>
    <r>
      <rPr>
        <sz val="12"/>
        <rFont val="Calibri"/>
        <family val="2"/>
      </rPr>
      <t>≥</t>
    </r>
    <r>
      <rPr>
        <sz val="12"/>
        <rFont val="Arial"/>
        <family val="2"/>
      </rPr>
      <t xml:space="preserve"> 70</t>
    </r>
  </si>
  <si>
    <r>
      <t xml:space="preserve">70 &gt; Value </t>
    </r>
    <r>
      <rPr>
        <sz val="12"/>
        <rFont val="Calibri"/>
        <family val="2"/>
      </rPr>
      <t>≥</t>
    </r>
    <r>
      <rPr>
        <sz val="12"/>
        <rFont val="Arial"/>
        <family val="2"/>
      </rPr>
      <t xml:space="preserve"> 60</t>
    </r>
  </si>
  <si>
    <r>
      <t xml:space="preserve">60 &gt; Value </t>
    </r>
    <r>
      <rPr>
        <sz val="12"/>
        <rFont val="Calibri"/>
        <family val="2"/>
      </rPr>
      <t>≥</t>
    </r>
    <r>
      <rPr>
        <sz val="12"/>
        <rFont val="Arial"/>
        <family val="2"/>
      </rPr>
      <t xml:space="preserve"> 50</t>
    </r>
  </si>
  <si>
    <t>Value &lt; 50</t>
  </si>
  <si>
    <t>BF</t>
  </si>
  <si>
    <t>Bypass Filter</t>
  </si>
  <si>
    <t>EMS</t>
  </si>
  <si>
    <t>Energy Management System</t>
  </si>
  <si>
    <t>FCS</t>
  </si>
  <si>
    <t>Fault Current Sensor</t>
  </si>
  <si>
    <t>FR</t>
  </si>
  <si>
    <t>Flame Retardant</t>
  </si>
  <si>
    <t>HCT</t>
  </si>
  <si>
    <t>High Current Testing</t>
  </si>
  <si>
    <t>LCS</t>
  </si>
  <si>
    <t>Line Current Sensor</t>
  </si>
  <si>
    <t>PowerLine Manager</t>
  </si>
  <si>
    <t>RF</t>
  </si>
  <si>
    <t>Radio Frequency</t>
  </si>
  <si>
    <t>RTU</t>
  </si>
  <si>
    <t>Remote Terminal Unit</t>
  </si>
  <si>
    <t>SB</t>
  </si>
  <si>
    <t>Smart Bypass</t>
  </si>
  <si>
    <t>SI</t>
  </si>
  <si>
    <t>SMD</t>
  </si>
  <si>
    <t>Surface Mounted Device</t>
  </si>
  <si>
    <t>SV</t>
  </si>
  <si>
    <t>Smart Valve</t>
  </si>
  <si>
    <t>VPI</t>
  </si>
  <si>
    <t>Vacuum Pressure Impregnation</t>
  </si>
  <si>
    <t>Total risks require mitigation based on S x O x D:</t>
  </si>
  <si>
    <t>Total risks require mitigation based on S x O:</t>
  </si>
  <si>
    <t>PHT</t>
  </si>
  <si>
    <t>Power Harvesting Transformer</t>
  </si>
  <si>
    <t>ETP</t>
  </si>
  <si>
    <t>Electrical Test Procedure</t>
  </si>
  <si>
    <t>IC failure.</t>
  </si>
  <si>
    <t>ID.</t>
  </si>
  <si>
    <t>Resistor fails-open.</t>
  </si>
  <si>
    <t>Resistor fails-open</t>
  </si>
  <si>
    <t>Resistor fails-short.</t>
  </si>
  <si>
    <t>Connectors with secure contact mating.</t>
  </si>
  <si>
    <t xml:space="preserve">Usage of over-rated components. 
</t>
  </si>
  <si>
    <t>To filter out noise.
To suppress input spikes.</t>
  </si>
  <si>
    <t>To filter out noise.</t>
  </si>
  <si>
    <t>Capacitor fails-open.</t>
  </si>
  <si>
    <t>Capacitor fails-short.</t>
  </si>
  <si>
    <t>Diode fails-open.</t>
  </si>
  <si>
    <t>Inductor fails-open.</t>
  </si>
  <si>
    <t>MOSFET fails-open.</t>
  </si>
  <si>
    <t>MOSFET fails-short.</t>
  </si>
  <si>
    <t>To filter noise.</t>
  </si>
  <si>
    <t>CMC fails-open.</t>
  </si>
  <si>
    <t>To set gain of amplifier.</t>
  </si>
  <si>
    <t xml:space="preserve">IC failure. </t>
  </si>
  <si>
    <t>To provide phase shift.</t>
  </si>
  <si>
    <t>IC failure</t>
  </si>
  <si>
    <t>Degradation of components.
Bad components batch.</t>
  </si>
  <si>
    <t xml:space="preserve">Usage of over-rated components. </t>
  </si>
  <si>
    <t>Over Current. 
De-gradation of components.</t>
  </si>
  <si>
    <t>System will keep working normally.</t>
  </si>
  <si>
    <t>To compare surge signal and reference voltages for positive-cycle.</t>
  </si>
  <si>
    <t xml:space="preserve">IC failure - Permanent high signal at output.
</t>
  </si>
  <si>
    <t>Degradation of components.
Bad batch of components.</t>
  </si>
  <si>
    <t>IC failure - Permanent low signal at output.</t>
  </si>
  <si>
    <t>To compare surge signal and reference voltages for negative-cycle.</t>
  </si>
  <si>
    <t>To pull-up the output of surge comparator.</t>
  </si>
  <si>
    <t>Device will keep working normally based on firmware-based protection.</t>
  </si>
  <si>
    <t>Cable break.</t>
  </si>
  <si>
    <t>To provide isolation.</t>
  </si>
  <si>
    <t>Affected device and its associated group of devices will transit to monitoring mode.
System will keep working with reduced injection capability.</t>
  </si>
  <si>
    <t>AND Gate IC.</t>
  </si>
  <si>
    <t>To implement hardware logic of signals.</t>
  </si>
  <si>
    <t>Output stuck at high.</t>
  </si>
  <si>
    <t xml:space="preserve">TVS diode fails-open. </t>
  </si>
  <si>
    <t>Inductor fails-short.</t>
  </si>
  <si>
    <t>To provide reference voltage.</t>
  </si>
  <si>
    <t>To isolate the signal.</t>
  </si>
  <si>
    <t>Output stuck at low.</t>
  </si>
  <si>
    <t xml:space="preserve">Capacitor fails-short. </t>
  </si>
  <si>
    <t>Power not available from both input connectors.</t>
  </si>
  <si>
    <t>On board SCR gate current measurement.</t>
  </si>
  <si>
    <t>Power not available from one of the input connectors.</t>
  </si>
  <si>
    <t>Switching supply harmonics suppression.</t>
  </si>
  <si>
    <t>Loss of single 5 V supply.
Redundant 5 V supply will provide power to onboard electronics</t>
  </si>
  <si>
    <t>No filtration available for noise.
Noise can affect performance of onboard surge detection circuit for positive half cycle.</t>
  </si>
  <si>
    <t>Overvoltage protection will be compromised, however higher voltages will be clamped internally with a 5.8 V Zener diode.</t>
  </si>
  <si>
    <t>Over Voltage
De-gradation of components.</t>
  </si>
  <si>
    <t>Less than 1.2 V at enable pin of regulator IC will disable the regulator.
Redundant 5 V supply will provide power to onboard electronics</t>
  </si>
  <si>
    <t>Over Current.
De-gradation of components.</t>
  </si>
  <si>
    <t>De-gradation of components.</t>
  </si>
  <si>
    <t>Supply switching currents to the high and low side gate drivers.</t>
  </si>
  <si>
    <t>Overvoltage.
De-gradation of components.</t>
  </si>
  <si>
    <t>Maintain voltage at output.</t>
  </si>
  <si>
    <t>Voltage maintenance at regulator's output will be affected if heavily loaded.</t>
  </si>
  <si>
    <t>To suppress noise.</t>
  </si>
  <si>
    <t>One of the output capacitors fail-open.</t>
  </si>
  <si>
    <t xml:space="preserve">Reduced filtering capacity against output inductor's ripple currents.
Capability to provide increased load current may be affected until the regulator responds to load step. </t>
  </si>
  <si>
    <t>Multiple output capacitors fail-open.</t>
  </si>
  <si>
    <t xml:space="preserve">To filter out noise.
</t>
  </si>
  <si>
    <t>Loss of positive power supply for amplifiers used in surge detection circuit.
Onboard line current sensing in one cycle will be affected. 
Reduced redundancy in case of fault events.</t>
  </si>
  <si>
    <t>Loss of negative 5 V supply.
Onboard line current sensing in one cycle will be affected. 
Reduced redundancy in case of fault events</t>
  </si>
  <si>
    <t xml:space="preserve">No immediate effect. 
Regulator may degrade over time. </t>
  </si>
  <si>
    <t>Filter out noise.
Suppress ripples at output voltage.</t>
  </si>
  <si>
    <t>Winding fails-open.</t>
  </si>
  <si>
    <t>Trigger SCRs with proper gate-to-cathode current pulse and continuous back porch current.</t>
  </si>
  <si>
    <t>Multi-channel buffers failure. (Two SCR(s) are not triggered).</t>
  </si>
  <si>
    <t xml:space="preserve">Gate current not available for 2 SCR channels in worst case._x000D_
Loss of SCRs may cause remaining SCRs to overheat during fault.
</t>
  </si>
  <si>
    <t>Bad component batch.</t>
  </si>
  <si>
    <t xml:space="preserve">Redundant VSLs are available to handle the fault current in monitoring mode.
</t>
  </si>
  <si>
    <t xml:space="preserve">Alert to be generated for the user to communicate the unavailability of portion of SCR channels.
[Firmware team]
Implement logic in firmware design to close the VSLs in presence of this event.
</t>
  </si>
  <si>
    <t>Multi-channel buffers failure Two SCR(s) are continuously triggered).</t>
  </si>
  <si>
    <t>SCR current measurement from Rogowski coil.</t>
  </si>
  <si>
    <t>Alert to be generated for the user to communicate the continuous triggering of portion of SCR channels.
[Firmware team]
1) Implement logic in firmware design to close the VSLs in presence of this event.
2) Keep monitoring system temperature and line current. In case of sharply rising system temperature, generate an alert to ask for engaging of external bypass.</t>
  </si>
  <si>
    <t>During mode transition, only 2 SCRs will be handling the line current in one direction.</t>
  </si>
  <si>
    <t>Vibration.
Improper bend radius during assembly.</t>
  </si>
  <si>
    <t>Connectors with secure contact mating.
In case of a surge current event, all SCRs will be triggered through on board sensor.</t>
  </si>
  <si>
    <t>Alert to be generated for the user to communicate the failure of one portion of SCR triggering path.</t>
  </si>
  <si>
    <t>Device can operate in both monitoring and injection mode.
During VSL closing time of 80 msec, current for 5 half cycles will flow through inverter.</t>
  </si>
  <si>
    <t xml:space="preserve">Reduced filtration against noise and transients.
 _x000D_
</t>
  </si>
  <si>
    <t>Bad capacitor batch.</t>
  </si>
  <si>
    <t xml:space="preserve">[Hardware team]
1. Properly space capacitors from board edge. 
2. Review the design and consider the provision to isolate the shorted capacitor.
[Process team]
Qualified capacitor vendors.
</t>
  </si>
  <si>
    <t>Disconnection from SCR g-k connector or from driver board connector.</t>
  </si>
  <si>
    <t xml:space="preserve">Loss of gate current for a single SCR._x000D_
_x000D_
Remaining SCRs may see a higher current during fault in one direction only.
</t>
  </si>
  <si>
    <t>Device can operate in both injection and monitoring mode.</t>
  </si>
  <si>
    <t>Vibration.
Improper assembly.</t>
  </si>
  <si>
    <t xml:space="preserve">4 parallel SCRs in either direction to ensure loss of a single SCR will not endanger VSLs and other SCRs.
</t>
  </si>
  <si>
    <t xml:space="preserve">Loss of gate current for a single SCR._x000D_
_x000D_
Remaining SCRs will  see a higher current during fault and transition in one direction only.
</t>
  </si>
  <si>
    <t xml:space="preserve">4  parallel SCRs in either direction to ensure loss of a single SCR will not endanger VSLs and other SCRs.
</t>
  </si>
  <si>
    <t xml:space="preserve">No immediate effect. 
Multiple capacitor connected in parallel to provide adequate current. </t>
  </si>
  <si>
    <t xml:space="preserve">No overvoltage protection for high power MOSFET gate.
In case of overvoltage MOSFET gate may get damaged.
Under normal working conditions there will be no immediate effect.
</t>
  </si>
  <si>
    <t xml:space="preserve">No overvoltage protection for high power MOSFET gate.
In case of  overvoltage MOSFET gate may get damaged.
Under normal working conditions there will be no immediate effect.
</t>
  </si>
  <si>
    <t xml:space="preserve">Initial pulse current will not be available to affected SCR gate but continuous back porch current will still be there._x000D_
_x000D_
SCR may turn on due to continuous back porch.
There is a probability that SCR may not turn on due to unavailability of initial pulse.
Remaining SCRs will  see a higher current during fault and transition in one direction only.
</t>
  </si>
  <si>
    <t>Transistor fails-open</t>
  </si>
  <si>
    <t xml:space="preserve">Overvoltage protection for high power MOSFET gate will be compromised.
In case of extreme overvoltage MOSFET gate will be protected via parallel reverse biased diode.
Under normal working conditions there will be no immediate effect.
</t>
  </si>
  <si>
    <t xml:space="preserve">To provide enough base-emitter voltage to turn transistor on. </t>
  </si>
  <si>
    <t xml:space="preserve">Protection from transients will be reduced.
Transformer may get saturated in case severe transients occurs. 
One SCR cannot trigger past first cycle in worst case.
Under normal working conditions there will be no immediate effect.
</t>
  </si>
  <si>
    <t>High voltage transients</t>
  </si>
  <si>
    <t>Provide high current pulse.</t>
  </si>
  <si>
    <t>No immediate effect. 
MOSFET will dissipate more power, ultimately its life is de-graded.</t>
  </si>
  <si>
    <t>Continuous back porch not available to single SCR gate.
SCR may turn on for first half-cycle only due to pulse current.
SCR will be turned off for remaining half-cycles.</t>
  </si>
  <si>
    <t xml:space="preserve">SCR may fail-short due to over-temperature if this condition prevails for long duration.
Device will stay in monitoring mode.
</t>
  </si>
  <si>
    <t>Usage of overrated components.</t>
  </si>
  <si>
    <t>Continuous back porch not available to single SCR gate.
SCR will  turn on for first half-cycle only due to pulse current.
SCR will be turned off for remaining half-cycles.</t>
  </si>
  <si>
    <t>Continuous back porch current regulation will be affected. 
Single SCR may remain off except for first half cycle.</t>
  </si>
  <si>
    <t xml:space="preserve">No power to on-board electronics for Gate current of single SCR. 
Loss of gate current for a single SCR._x000D_
_x000D_
Remaining SCRs will  see a higher current during fault and transition in one direction only.
</t>
  </si>
  <si>
    <t>No immediate effect. 
Noise at output may cause on-board electronics to malfunction.</t>
  </si>
  <si>
    <t>No immediate effect. 
Overvoltage protection for the circuit will be compromised.</t>
  </si>
  <si>
    <t>No power to hall effect sensor. 
Continuous back porch not available to single SCR gate.
SCR will  turn on for first half-cycle only due to pulse current.
SCR will be turned off for remaining half-cycles.</t>
  </si>
  <si>
    <t>Continuous back porch  not available to single SCR gate.
SCR will be turned off.</t>
  </si>
  <si>
    <t>No immediate effect. 
5 V regulator check not available</t>
  </si>
  <si>
    <t>MOSFET fails-short</t>
  </si>
  <si>
    <t>Continuous back porch  not available to single SCR gate.
Single SCR may  false triggered for 1.5 seconds in worst case.
SCR will be turned off.</t>
  </si>
  <si>
    <t>Initial pulse current will not be available to affected SCR gate but continuous back porch current will still be there._x000D_
_x000D_
SCR may turn on due to continuous back porch.
There is a probability that SCR may not turn on due to unavailability of initial pulse.</t>
  </si>
  <si>
    <t xml:space="preserve">Continuous back porch and initial pulse current  not available to single SCR gate.
SCR will not be triggered. </t>
  </si>
  <si>
    <t>On-board fault detection will not be available.
Reduced redundancy in case of fault events</t>
  </si>
  <si>
    <t xml:space="preserve">Vibration.
Improper bend radius during assembly.
</t>
  </si>
  <si>
    <t>Onboard line current sensing in one cycle will be affected. 
Reduced redundancy in case of fault events.</t>
  </si>
  <si>
    <t xml:space="preserve">No immediate effect. 
</t>
  </si>
  <si>
    <t>30 V rail power good signal not available.
Initial pulse and constant current enable circuits will not be functional. 
Fault-current handling not available in one direction.
Device will be unable to initiate the trigger for all SCRs in one direction when moving from injection mode to monitoring mode and vice versa.</t>
  </si>
  <si>
    <t xml:space="preserve">During mode transition, no SCR will be handling the line current in one direction.
VSLs and device internals may get damaged in case of surge current event. </t>
  </si>
  <si>
    <t>No immediate effect.
Reduced filtration.</t>
  </si>
  <si>
    <t xml:space="preserve">Discharging path not available to the output capacitor in case of dead line fault.
Fully charged capacitor may damage on board electronics.
</t>
  </si>
  <si>
    <t>Continuous back porch and initial pulse current  not available to single SCR gate.
SCR will be turned off for remaining half-cycles.</t>
  </si>
  <si>
    <t>No immediate effect. 
Compromised IC protection</t>
  </si>
  <si>
    <t>Transistor fails-open.</t>
  </si>
  <si>
    <t>SmartValve v1.04 Risk Factor (S x O) Counts</t>
  </si>
  <si>
    <t>SmartValve v1.04 RPN (S x O x D) Counts</t>
  </si>
  <si>
    <t>Failure causes minor property damage, minor system damage other than primary conductor or loss of SmartValve v1.04 such as loss of performance, unit forced into Monitoring Mode, or significant impact on unit life</t>
  </si>
  <si>
    <t>Higher Level - Effect at SmartValve v1.04</t>
  </si>
  <si>
    <t>Hardware-based protection will be affected for positive cycle._x000D_
_x000D_
On-board line current sensing will be affected.</t>
  </si>
  <si>
    <t xml:space="preserve">Hardware-based protection will be affected for negative cycle._x000D_
_x000D_
On-board line current sensing will be affected.
</t>
  </si>
  <si>
    <t>Initial pulse and constant current enable circuits will not be functional. 
Device will be unable to initiate the trigger for single SCR in one direction when moving from injection mode to monitoring mode and vice versa..</t>
  </si>
  <si>
    <t>During mode transition, only 3 SCRs will be handling the line current in one direction.</t>
  </si>
  <si>
    <t>SV104-1305</t>
  </si>
  <si>
    <t>SV104-1306</t>
  </si>
  <si>
    <t>SV104-1307</t>
  </si>
  <si>
    <t>SV104-1308</t>
  </si>
  <si>
    <t>SV104-1309</t>
  </si>
  <si>
    <t>SV104-1310</t>
  </si>
  <si>
    <t>SV104-1311</t>
  </si>
  <si>
    <t>SV104-1312</t>
  </si>
  <si>
    <t>SV104-1313</t>
  </si>
  <si>
    <t>SV104-1314</t>
  </si>
  <si>
    <t>SV104-1315</t>
  </si>
  <si>
    <t>SV104-1316</t>
  </si>
  <si>
    <t>SV104-1317</t>
  </si>
  <si>
    <t>SV104-1318</t>
  </si>
  <si>
    <t>SV104-1319</t>
  </si>
  <si>
    <t>SV104-1320</t>
  </si>
  <si>
    <t>SV104-1321</t>
  </si>
  <si>
    <t>SV104-1322</t>
  </si>
  <si>
    <t>SV104-1323</t>
  </si>
  <si>
    <t>SV104-1324</t>
  </si>
  <si>
    <t>SV104-1325</t>
  </si>
  <si>
    <t>SV104-1326</t>
  </si>
  <si>
    <t>SV104-1327</t>
  </si>
  <si>
    <t>SV104-1328</t>
  </si>
  <si>
    <t>SV104-1329</t>
  </si>
  <si>
    <t>SV104-1330</t>
  </si>
  <si>
    <t>SV104-1331</t>
  </si>
  <si>
    <t>SV104-1332</t>
  </si>
  <si>
    <t>SV104-1333</t>
  </si>
  <si>
    <t>SV104-1334</t>
  </si>
  <si>
    <t>SV104-1335</t>
  </si>
  <si>
    <t>SV104-1337</t>
  </si>
  <si>
    <t>SV104-1338</t>
  </si>
  <si>
    <t>SV104-1339</t>
  </si>
  <si>
    <t>SV104-1340</t>
  </si>
  <si>
    <t>SV104-1341</t>
  </si>
  <si>
    <t>SV104-1342</t>
  </si>
  <si>
    <t>SV104-1343</t>
  </si>
  <si>
    <t>SV104-1344</t>
  </si>
  <si>
    <t>SV104-1345</t>
  </si>
  <si>
    <t>SV104-1346</t>
  </si>
  <si>
    <t>SV104-1348</t>
  </si>
  <si>
    <t>SV104-1349</t>
  </si>
  <si>
    <t>SV104-1350</t>
  </si>
  <si>
    <t>SV104-1351</t>
  </si>
  <si>
    <t>SV104-1352</t>
  </si>
  <si>
    <t>SV104-1353</t>
  </si>
  <si>
    <t>SV104-1354</t>
  </si>
  <si>
    <t>SV104-1355</t>
  </si>
  <si>
    <t>SV104-1356</t>
  </si>
  <si>
    <t>SV104-1357</t>
  </si>
  <si>
    <t>SV104-1358</t>
  </si>
  <si>
    <t>SV104-1359</t>
  </si>
  <si>
    <t>SV104-1360</t>
  </si>
  <si>
    <t>SV104-1361</t>
  </si>
  <si>
    <t>SV104-1362</t>
  </si>
  <si>
    <t>SV104-1363</t>
  </si>
  <si>
    <t>SV104-1364</t>
  </si>
  <si>
    <t>SV104-1365</t>
  </si>
  <si>
    <t>SV104-1366</t>
  </si>
  <si>
    <t>SV104-1367</t>
  </si>
  <si>
    <t>SV104-1368</t>
  </si>
  <si>
    <t>SV104-1369</t>
  </si>
  <si>
    <t>SV104-1370</t>
  </si>
  <si>
    <t>SV104-1371</t>
  </si>
  <si>
    <t>SV104-1372</t>
  </si>
  <si>
    <t>SV104-1373</t>
  </si>
  <si>
    <t>SV104-1374</t>
  </si>
  <si>
    <t>SV104-1375</t>
  </si>
  <si>
    <t>SV104-1376</t>
  </si>
  <si>
    <t>SV104-1377</t>
  </si>
  <si>
    <t>SV104-1378</t>
  </si>
  <si>
    <t>SV104-1379</t>
  </si>
  <si>
    <t>SV104-1380</t>
  </si>
  <si>
    <t>SV104-1381</t>
  </si>
  <si>
    <t>SV104-1382</t>
  </si>
  <si>
    <t>SV104-1383</t>
  </si>
  <si>
    <t>SV104-1384</t>
  </si>
  <si>
    <t>SV104-1385</t>
  </si>
  <si>
    <t>SV104-1386</t>
  </si>
  <si>
    <t>SV104-1387</t>
  </si>
  <si>
    <t>SV104-1388</t>
  </si>
  <si>
    <t>SV104-1389</t>
  </si>
  <si>
    <t>SV104-1390</t>
  </si>
  <si>
    <t>SV104-1392</t>
  </si>
  <si>
    <t>SV104-1393</t>
  </si>
  <si>
    <t>SV104-1394</t>
  </si>
  <si>
    <t>SV104-1395</t>
  </si>
  <si>
    <t>SV104-1396</t>
  </si>
  <si>
    <t>SV104-1397</t>
  </si>
  <si>
    <t>SV104-1398</t>
  </si>
  <si>
    <t>SV104-1399</t>
  </si>
  <si>
    <t>SV104-1400</t>
  </si>
  <si>
    <t>SV104-1401</t>
  </si>
  <si>
    <t>SV104-1402</t>
  </si>
  <si>
    <t>SV104-1403</t>
  </si>
  <si>
    <t>SV104-1404</t>
  </si>
  <si>
    <t>SV104-1405</t>
  </si>
  <si>
    <t>SV104-1406</t>
  </si>
  <si>
    <t>SV104-1407</t>
  </si>
  <si>
    <t>SV104-1408</t>
  </si>
  <si>
    <t>SV104-1409</t>
  </si>
  <si>
    <t>SV104-1410</t>
  </si>
  <si>
    <t>SV104-1411</t>
  </si>
  <si>
    <t>SV104-1412</t>
  </si>
  <si>
    <t>SV104-1413</t>
  </si>
  <si>
    <t>SV104-1414</t>
  </si>
  <si>
    <t>SV104-1415</t>
  </si>
  <si>
    <t>SV104-1416</t>
  </si>
  <si>
    <t>SV104-1417</t>
  </si>
  <si>
    <t>SV104-1418</t>
  </si>
  <si>
    <t>SV104-1419</t>
  </si>
  <si>
    <t>SV104-1420</t>
  </si>
  <si>
    <t>SV104-1421</t>
  </si>
  <si>
    <t>SV104-1422</t>
  </si>
  <si>
    <t>SV104-1423</t>
  </si>
  <si>
    <t>SV104-1424</t>
  </si>
  <si>
    <t>SV104-1425</t>
  </si>
  <si>
    <t>SV104-1426</t>
  </si>
  <si>
    <t>SV104-1427</t>
  </si>
  <si>
    <t>SV104-1428</t>
  </si>
  <si>
    <t>SV104-1430</t>
  </si>
  <si>
    <t>SV104-1431</t>
  </si>
  <si>
    <t>SV104-1432</t>
  </si>
  <si>
    <t>SV104-1433</t>
  </si>
  <si>
    <t>SV104-1434</t>
  </si>
  <si>
    <t>SV104-1435</t>
  </si>
  <si>
    <t>SV104-1436</t>
  </si>
  <si>
    <t>SV104-1437</t>
  </si>
  <si>
    <t>SV104-1438</t>
  </si>
  <si>
    <t>SV104-1439</t>
  </si>
  <si>
    <t>SV104-1440</t>
  </si>
  <si>
    <t>SV104-1441</t>
  </si>
  <si>
    <t>SV104-1442</t>
  </si>
  <si>
    <t>SV104-1443</t>
  </si>
  <si>
    <t>SV104-1444</t>
  </si>
  <si>
    <t>SV104-1445</t>
  </si>
  <si>
    <t>SV104-1446</t>
  </si>
  <si>
    <t>SV104-1447</t>
  </si>
  <si>
    <t>SV104-1448</t>
  </si>
  <si>
    <t>SV104-1449</t>
  </si>
  <si>
    <t>SV104-1450</t>
  </si>
  <si>
    <t>SV104-1452</t>
  </si>
  <si>
    <t>SV104-1453</t>
  </si>
  <si>
    <t>SV104-1454</t>
  </si>
  <si>
    <t>SV104-1455</t>
  </si>
  <si>
    <t>SV104-1456</t>
  </si>
  <si>
    <t>SV104-1457</t>
  </si>
  <si>
    <t>SV104-1458</t>
  </si>
  <si>
    <t>SV104-1459</t>
  </si>
  <si>
    <t>SV104-1460</t>
  </si>
  <si>
    <t>SV104-1461</t>
  </si>
  <si>
    <t>SV104-1462</t>
  </si>
  <si>
    <t>SV104-1463</t>
  </si>
  <si>
    <t>SV104-1464</t>
  </si>
  <si>
    <t>SV104-1465</t>
  </si>
  <si>
    <t>SV104-1466</t>
  </si>
  <si>
    <t>SV104-1467</t>
  </si>
  <si>
    <t>SV104-1468</t>
  </si>
  <si>
    <t>SV104-1469</t>
  </si>
  <si>
    <t>SV104-1471</t>
  </si>
  <si>
    <t>SV104-1472</t>
  </si>
  <si>
    <t>SV104-1473</t>
  </si>
  <si>
    <t>SV104-1474</t>
  </si>
  <si>
    <t>SV104-1475</t>
  </si>
  <si>
    <t>SV104-1476</t>
  </si>
  <si>
    <t>SV104-1477</t>
  </si>
  <si>
    <t>SV104-1478</t>
  </si>
  <si>
    <t>SV104-1479</t>
  </si>
  <si>
    <t>SV104-1480</t>
  </si>
  <si>
    <t>SV104-1481</t>
  </si>
  <si>
    <t>Gate current will start to flow continuously for the affected SCR.
SCR will start conducting for every alternate half cycle.</t>
  </si>
  <si>
    <t>Universal Power Supply Board</t>
  </si>
  <si>
    <t>UPSB</t>
  </si>
  <si>
    <t>TBR</t>
  </si>
  <si>
    <t>To be Reviewed</t>
  </si>
  <si>
    <t>IP</t>
  </si>
  <si>
    <t>Intrusion Protection</t>
  </si>
  <si>
    <t>Transistor fails-short.</t>
  </si>
  <si>
    <t>Example</t>
  </si>
  <si>
    <t xml:space="preserve">Failure causes unscheduled maintenance, no immediate loss of performance. </t>
  </si>
  <si>
    <t>Rise in on-board power losses, impacting components' life,
Clamp board feedback not available.</t>
  </si>
  <si>
    <t>On-board noise filtration compromised.
One of many bolts failure.</t>
  </si>
  <si>
    <t>Design will not and/or cannot detect the potential cause/mechanism or subsequent failure mode, or the likelihood of detection is very remote.</t>
  </si>
  <si>
    <t>Design has a very low to remote likelihood of detecting the potential cause/mechanism or subsequent failure mode.</t>
  </si>
  <si>
    <t>Design has a moderate to low likelihood of detecting the potential cause/mechanism or subsequent failure mode.</t>
  </si>
  <si>
    <t>Design has a high to moderately high likelihood of detecting the potential cause/mechanism or subsequent failure mode.</t>
  </si>
  <si>
    <t>Design has an almost certain chance of detecting the potential cause/mechanism or subsequent failure mode or the likelihood of detection is very high.</t>
  </si>
  <si>
    <t>Extremely hazardous failure, threatening to business continuity.</t>
  </si>
  <si>
    <t>Highly hazardous failure, threatening to business reputation.</t>
  </si>
  <si>
    <t>Moderately hazardous failure, threatening to product reputation.</t>
  </si>
  <si>
    <t>Minor hazard, minor consequence.</t>
  </si>
  <si>
    <t>No hazard.</t>
  </si>
  <si>
    <t>iiDCE RF communication loss in injection mode.
iiDCE losing control of SCRs.</t>
  </si>
  <si>
    <t>Failure causes minor injury to personnel requiring out-patient treatment, moderate property damage not involving a structure, moderate system damage other than transmission line that requires future interruption of line service to repair, loss of control of SmartValve v1.04 when in Monitoring Mode, device is forced to monitoring mode with full fault protection available.</t>
  </si>
  <si>
    <t>iiDCE RF communication loss in monitoring mode.
Any control boards' failure, forcing device to monitoring mode.
Mechanical failure causing enclosure temperature to rise, forcing device to stay in monitoring mode.</t>
  </si>
  <si>
    <t>Failure causes death or causes transmission line open circuit, full or partial fault protection compromised.</t>
  </si>
  <si>
    <t>Target product life for the purposes of this FMECA is 40 years.</t>
  </si>
  <si>
    <t>Failure causes severe injury to personnel requiring hospitalization, severe property damage such as damage to a structure, transmission line damage, major damage to system other than transmission line requiring immediate interruption of line service, loss of control of SmartValve v1.04 when in Injection Mode, device is forced to monitoring mode, with reduced fault protection (i.e. redundancy compromised).</t>
  </si>
  <si>
    <t>Fault detection mechanism failure .
IGBT shorting the capacitor bank.
Power to one or more SCR driver boards discontinued while unit is in injection mode.
Mechanical failure causing line to open.</t>
  </si>
  <si>
    <t xml:space="preserve">Resistor fails-short. </t>
  </si>
  <si>
    <t xml:space="preserve">No immediate effect. </t>
  </si>
  <si>
    <t xml:space="preserve">Diode fails-short. </t>
  </si>
  <si>
    <t xml:space="preserve">Inductor fails-open. </t>
  </si>
  <si>
    <t>Diodes on both rails fail-open.</t>
  </si>
  <si>
    <t xml:space="preserve">Inductor fails-short. </t>
  </si>
  <si>
    <t>High-side resistor fails-open.</t>
  </si>
  <si>
    <t>MES</t>
  </si>
  <si>
    <t>Manufacturing Execution System</t>
  </si>
  <si>
    <t>Input Power Connectors.</t>
  </si>
  <si>
    <t>Provide power to onboard electronics.</t>
  </si>
  <si>
    <t>Input Reverse Polarity Protection Diode.</t>
  </si>
  <si>
    <t>To provide protection against reverse polarity inputs.</t>
  </si>
  <si>
    <t/>
  </si>
  <si>
    <t>Diode on one rail fails-open.</t>
  </si>
  <si>
    <t>Loss of single 30 V rail.
Redundant 30 V supply will provide power to on-board electronics</t>
  </si>
  <si>
    <t>Positive 5 V Power Supply Circuit - Input Side Noise Filtration Inductor.</t>
  </si>
  <si>
    <t>Loss of single 5 V supply.
Redundant 5 V supply will provide power to on-board electronics</t>
  </si>
  <si>
    <t>Positive 5 V Power Supply Circuit - Input Side Bypass Capacitors.</t>
  </si>
  <si>
    <t>Noise can affect performance of onboard surge detection circuit for positive half cycle.</t>
  </si>
  <si>
    <t>Positive 5 V Power Supply Circuit - 12 V Zener Diode.</t>
  </si>
  <si>
    <t>Overvoltage protection for regulator IC.</t>
  </si>
  <si>
    <t>Positive 5 V Power Supply Circuit -  Under Voltage Lockout Resistor Divider.</t>
  </si>
  <si>
    <t>Adjust under voltage lockout for regulator IC.</t>
  </si>
  <si>
    <t>One of the series resistor fails-open.</t>
  </si>
  <si>
    <t>Positive 5 V Power Supply Circuit -  Timing Resistor.</t>
  </si>
  <si>
    <t>To set switching frequency.</t>
  </si>
  <si>
    <t>Positive 5 V Power Supply Circuit -  Bootstrap Capacitor.</t>
  </si>
  <si>
    <t>Positive 5 V Power Supply Circuit -  Catch Diode.</t>
  </si>
  <si>
    <t>Positive 5 V Power Supply Circuit -  Output Inductor.</t>
  </si>
  <si>
    <t>Positive 5 V Power Supply Circuit -  Output Capacitor.</t>
  </si>
  <si>
    <t>Filter inductor ripple currents
Supply the increased load current until the regulator responds to the load step.</t>
  </si>
  <si>
    <t>Positive 5 V Power Supply Circuit -  Output Feedback Resistors.</t>
  </si>
  <si>
    <t>Maintain output voltage accuracy.</t>
  </si>
  <si>
    <t>Positive 5 V Power Supply Circuit -  Frequency Compensation Components At Error Amplifier Output.</t>
  </si>
  <si>
    <t>Positive 5 V Power Supply Circuit -  Ideal Diode.</t>
  </si>
  <si>
    <t>Reverse Current Protection.</t>
  </si>
  <si>
    <t>Positive 5 V Power Supply Circuit -  Ideal Diode Output Inductor.</t>
  </si>
  <si>
    <t>Negative 5 V Power Supply Circuit - Input Capacitor.</t>
  </si>
  <si>
    <t>Filter out noise.
Suppress input spikes.</t>
  </si>
  <si>
    <t>Negative 5 V Power Supply Circuit - Resistor Divider For Under Voltage Comparator Of Regulator IC.</t>
  </si>
  <si>
    <t>Maintain under voltage detection threshold.</t>
  </si>
  <si>
    <t>Negative 5 V Power Supply Circuit - Bootstrap Capacitor.</t>
  </si>
  <si>
    <t>Negative 5 V Power Supply Circuit - Decoupling Capacitor At Internal Vcc Regulator.</t>
  </si>
  <si>
    <t>Negative 5 V Power Supply Circuit -  Output Feedback Resistors.</t>
  </si>
  <si>
    <t>Negative 5 V Power Supply Circuit - On-Time Resistor.</t>
  </si>
  <si>
    <t>Determine On-Time for the regulator.</t>
  </si>
  <si>
    <t>Negative 5 V Power Supply Circuit - Decoupling Capacitor At On-Time Generator.</t>
  </si>
  <si>
    <t>Negative 5 V Power Supply Circuit - Output Voltage Ripple Filter.</t>
  </si>
  <si>
    <t>Negative 5 V Power Supply Circuit - Output Diode.</t>
  </si>
  <si>
    <t>Suppress AC spikes.</t>
  </si>
  <si>
    <t>Negative 5 V Power Supply Circuit - Common Mode Choke.</t>
  </si>
  <si>
    <t>Multi-Channel Buffers.</t>
  </si>
  <si>
    <t>Bad component batch.
De-gradation of components.</t>
  </si>
  <si>
    <t>Optical Receiver - Application Circuit -  Inductor.</t>
  </si>
  <si>
    <t>Suppress supply voltage  noise.</t>
  </si>
  <si>
    <t>Optical Receiver - Application Circuit -  Filtering Capacitors.</t>
  </si>
  <si>
    <t>Single Inverter Gate IC.</t>
  </si>
  <si>
    <t>To isolate the enable signal.</t>
  </si>
  <si>
    <t>IC failure.
Permanent low.</t>
  </si>
  <si>
    <t>IC failure.
Permanent high.</t>
  </si>
  <si>
    <t>And Gate IC.</t>
  </si>
  <si>
    <t>IC failure. 
Permanent low.</t>
  </si>
  <si>
    <t>IC failure. 
Permanent high.</t>
  </si>
  <si>
    <t>G-K Connector.</t>
  </si>
  <si>
    <t>Connect SCR Gate driver board to SCR.</t>
  </si>
  <si>
    <t>Input Side Common Mode Choke.</t>
  </si>
  <si>
    <t>Noise Suppression.</t>
  </si>
  <si>
    <t>Input Side Capacitor Bank.</t>
  </si>
  <si>
    <t>To provide high current pulse.</t>
  </si>
  <si>
    <t>One of the capacitors fail-open.</t>
  </si>
  <si>
    <t>Initial High Current Pulse Driver Circuit -  12 V Zener Diode.</t>
  </si>
  <si>
    <t>Overvoltage protection.</t>
  </si>
  <si>
    <t>Initial High Current Pulse Driver Circuit -  General Purpose Diode.</t>
  </si>
  <si>
    <t>Initial High Current Pulse Driver Circuit -  Pull-Up Resistor In Series With 12 V Zener.</t>
  </si>
  <si>
    <t>Initial High Current Pulse Driver Circuit -  Medium Power Low Saturation Transistor.</t>
  </si>
  <si>
    <t>Both transistors fail-short.</t>
  </si>
  <si>
    <t>Initial High Current Pulse Driver Circuit -  Medium Power Low Saturation Transistor Base Resistor.</t>
  </si>
  <si>
    <t>Initial High Current Pulse Driver Circuit -  TVS Diode.</t>
  </si>
  <si>
    <t>Transient Protection.</t>
  </si>
  <si>
    <t>Initial High Current Pulse Driver Circuit -  High Power MOSFET.</t>
  </si>
  <si>
    <t xml:space="preserve">High current will pass through the parallel connected resistor which may overheat and fail-open.
Initial pulse current will not be available to affected SCR gate in worst case but continuous back porch current will still be there.
There is a probability that SCR may not turn on due to unavailability of initial pulse 
Remaining SCRs will  see a higher current during fault and transition in one direction only.
</t>
  </si>
  <si>
    <t>Initial High Current Pulse Driver Circuit - Parallel Connected Current Divider Resistors.</t>
  </si>
  <si>
    <t>One of the resistor fail-open.</t>
  </si>
  <si>
    <t>Initial High Current Pulse Driver Circuit - Transformer.</t>
  </si>
  <si>
    <t>Initial High Current Pulse Driver Circuit - Transformer -  Secondary Side Rectifier Diode.</t>
  </si>
  <si>
    <t>Initial High Current Pulse Driver Circuit - Non-Inverting Buffer.</t>
  </si>
  <si>
    <t>Isolate the input  signal .</t>
  </si>
  <si>
    <t>Initial High Current Pulse Driver Circuit - 60 V MOSFET.</t>
  </si>
  <si>
    <t>Provide enable signal to MOSFET driver IC.</t>
  </si>
  <si>
    <t>Initial High Current Pulse Driver Circuit - MOSFET Driver Input Side Resistor.</t>
  </si>
  <si>
    <t>Limit the current.</t>
  </si>
  <si>
    <t>Initial High Current Pulse Driver Circuit - MOSFET Driver Output Resistor.</t>
  </si>
  <si>
    <t>Avoid ringing.</t>
  </si>
  <si>
    <t>Initial High Current Pulse Driver Circuit - Low Side MOSET.</t>
  </si>
  <si>
    <t>To enable initial pulse current.</t>
  </si>
  <si>
    <t>Continuous Back Porch Current Driver Circuit - Transformers.</t>
  </si>
  <si>
    <t>Provide continuous back-porch current.</t>
  </si>
  <si>
    <t>Transformer winding failure.</t>
  </si>
  <si>
    <t>Continuous Back Porch Current Driver Circuit - TVS Didoes.</t>
  </si>
  <si>
    <t>Continuous Back Porch Current Driver Circuit - Drive Transistor.</t>
  </si>
  <si>
    <t>To enable constant current flow through the transformer.</t>
  </si>
  <si>
    <t>Both transistors fails-short.</t>
  </si>
  <si>
    <t xml:space="preserve">Single Transistor fails-open. </t>
  </si>
  <si>
    <t>Continuous back porch will flow from parallel connected transformer.
Remaining parallel connected transformer may over heat and eventually fail-open.
Single SCR may turn on for first half-cycle only due to pulse current.
Single SCR will be turned off for remaining half-cycles in worst case.</t>
  </si>
  <si>
    <t xml:space="preserve">Both Transistors fails-open. </t>
  </si>
  <si>
    <t>To drive gate current of drive transistor.</t>
  </si>
  <si>
    <t>Input side Resistor fails-open</t>
  </si>
  <si>
    <t>Output side Resistor fails-open.</t>
  </si>
  <si>
    <t>Continuous Back Porch Current Driver Circuit - Hall Effect Sensor Input Side Inductor.</t>
  </si>
  <si>
    <t>Continuous Back Porch Current Driver Circuit - Hall Effect Sensor Output Side Diode.</t>
  </si>
  <si>
    <t>Continuous Back Porch Current Driver Circuit - Hall Effect Sensor.</t>
  </si>
  <si>
    <t>To measure current for regulation and feedback.</t>
  </si>
  <si>
    <t>Continuous Back Porch Current Regulation Circuit - Comparator  - Current Sense Reference Series Divider.</t>
  </si>
  <si>
    <t>Provide Reference current.</t>
  </si>
  <si>
    <t>Continuous Back Porch Current Regulation Circuit - Comparator  - Current Sense Reference Series Divider - Decoupling Capacitor.</t>
  </si>
  <si>
    <t>Continuous Back Porch Current Regulation Circuit - Comparator.</t>
  </si>
  <si>
    <t>Compare SCR gate current with reference.</t>
  </si>
  <si>
    <t>Continuous Back Porch Current Regulation Circuit - Flip Flop.</t>
  </si>
  <si>
    <t>Configure dead time control for PWM controller based on SCR Gate current sensing.</t>
  </si>
  <si>
    <t>Continuous Back Porch Current Regulation Circuit  - Diodes  In Connection To PWM Controller.</t>
  </si>
  <si>
    <t>To set dead time control of PWM controller .</t>
  </si>
  <si>
    <t>Continuous Back Porch Current Regulation Circuit  - PWM Controller - Oscillator Frequency Components.</t>
  </si>
  <si>
    <t>Set Oscillator frequency.</t>
  </si>
  <si>
    <t>Continuous Back Porch Current Regulation Circuit  - PWM Controller - Error Amplifier Feedback Resistors.</t>
  </si>
  <si>
    <t>Provide gate current feedback.</t>
  </si>
  <si>
    <t>12 V Regulator Circuit - Zener Diode.</t>
  </si>
  <si>
    <t xml:space="preserve">To provide power to the components. </t>
  </si>
  <si>
    <t>12 V Regulator Circuit - Darlington Pair.</t>
  </si>
  <si>
    <t>To provide high current gain.</t>
  </si>
  <si>
    <t>12 V Regulator Circuit - Output Capacitor.</t>
  </si>
  <si>
    <t>To provide smooth output.</t>
  </si>
  <si>
    <t>12 V Regulator Circuit - Current Bias Resistor.</t>
  </si>
  <si>
    <t>Provide adequate current to ensure transistor's gain.</t>
  </si>
  <si>
    <t>12 V Regulator Circuit - Current Limiting Resistor At Base Of Darlington Pair.</t>
  </si>
  <si>
    <t>To limit current flow in the transistor.</t>
  </si>
  <si>
    <t>12 V Regulator Circuit -  Voltage Compensation Diode.</t>
  </si>
  <si>
    <t>To compensate for voltage drop across BJTs.</t>
  </si>
  <si>
    <t>12 V Regulator Circuit - Output Side Protection Diode.</t>
  </si>
  <si>
    <t>To provide overvoltage protection.</t>
  </si>
  <si>
    <t>5 V Regulator Circuit - Shunt Regulator.</t>
  </si>
  <si>
    <t>5 V Regulator Circuit - Darlington Pair.</t>
  </si>
  <si>
    <t>5 V Regulator Circuit - External Divider Circuit.</t>
  </si>
  <si>
    <t>To adjust output voltage of shunt regulator.</t>
  </si>
  <si>
    <t>5 V Regulator Circuit - Current Bias Resistor.</t>
  </si>
  <si>
    <t>5 V Regulator Circuit - Current Limiting Resistor At Base Of Darlington Pair.</t>
  </si>
  <si>
    <t>5 V Regulator Circuit - Output Side Protection Diode.</t>
  </si>
  <si>
    <t>5 V Regulator Circuit - Output Capacitor.</t>
  </si>
  <si>
    <t>3.3 V Regulator Circuit - Input Side Filtration Capacitor.</t>
  </si>
  <si>
    <t>3.3 V Regulator Circuit - Output Side Filtration Capacitor.</t>
  </si>
  <si>
    <t>3.3 V Regulator Circuit - Regulator IC.</t>
  </si>
  <si>
    <t>To provide regulated 3.3 V to Hall effect sensor.</t>
  </si>
  <si>
    <t>IC failure .</t>
  </si>
  <si>
    <t>Over voltage protection.</t>
  </si>
  <si>
    <t>Constant Current Enable Circuit - Current Limit Resistor.</t>
  </si>
  <si>
    <t>Limit the current through Zener.</t>
  </si>
  <si>
    <t>Constant Current Enable Circuit - Reverse Current Protection Diode.</t>
  </si>
  <si>
    <t>Constant Current Enable Circuit - 5 V Regulator Check MOSFET.</t>
  </si>
  <si>
    <t>To check if 5 V regulator is working.</t>
  </si>
  <si>
    <t>Constant Current Enable Circuit - Trigger Transistor.</t>
  </si>
  <si>
    <t>Trigger timer IC to enable constant current circuit.</t>
  </si>
  <si>
    <t>Transistor fails-short .</t>
  </si>
  <si>
    <t>Mono-pulse Enable Transistor.</t>
  </si>
  <si>
    <t>Trigger initial pulse enable circuit.</t>
  </si>
  <si>
    <t>Constant Current Enable Circuit Timer IC.</t>
  </si>
  <si>
    <t>Trigger constant current enable circuit for 1.43 seconds.</t>
  </si>
  <si>
    <t>IC failure.
(Permanent high).</t>
  </si>
  <si>
    <t>IC failure.
(Permanent low).</t>
  </si>
  <si>
    <t>Pulse Enable Circuit Timer IC.</t>
  </si>
  <si>
    <t xml:space="preserve">Pulse current circuit fails-short after providing an initial pulse._x000D_
_x000D_
SCR is not triggered.
</t>
  </si>
  <si>
    <t>Pulse Enable Circuit - Trigger Transistor.</t>
  </si>
  <si>
    <t>Constant Current Enable Circuit - Logic Circuit - And Gate IC.</t>
  </si>
  <si>
    <t>Enable constant current circuit to provide continuous back porch current.</t>
  </si>
  <si>
    <t>IC Failure 
(Permanently High).</t>
  </si>
  <si>
    <t>IC Failure 
(Permanently Low).</t>
  </si>
  <si>
    <t>Pulse Current Enable Circuit - Logic Circuit - And Gate IC.</t>
  </si>
  <si>
    <t>Enable initial pulse current circuit.</t>
  </si>
  <si>
    <t>Isolate the enable signal.</t>
  </si>
  <si>
    <t>Out stuck at high.</t>
  </si>
  <si>
    <t>Line Current Sensing Connector.</t>
  </si>
  <si>
    <t>To sense fault current.</t>
  </si>
  <si>
    <t>Input Side Filtering  Capacitors.</t>
  </si>
  <si>
    <t>TVS  Diode.</t>
  </si>
  <si>
    <t>Common Mode Choke.</t>
  </si>
  <si>
    <t xml:space="preserve">Signal Conditioning Components For Gain Amplifier - Series Resistor. </t>
  </si>
  <si>
    <t>Input compensating resistor.</t>
  </si>
  <si>
    <t>Integrator Circuit - Amplifier.</t>
  </si>
  <si>
    <t>Integrator Circuit - Gain Resistor.</t>
  </si>
  <si>
    <t>Integrator Circuit - Gain Capacitor.</t>
  </si>
  <si>
    <t xml:space="preserve">Surge Comparator For Positive-Cycle. </t>
  </si>
  <si>
    <t>Surge Comparator-For Negative Half Cycle.</t>
  </si>
  <si>
    <t>Surge-Comparator Output  Pull-Up Resistor.</t>
  </si>
  <si>
    <t>Comparator Circuit - 2.5 V Reference.</t>
  </si>
  <si>
    <t>To provide positive / negative reference voltage to comparator.</t>
  </si>
  <si>
    <t>Comparator Circuit - Positive Supply Buffer Amplifier.</t>
  </si>
  <si>
    <t>To provide positive reference voltage to comparator.</t>
  </si>
  <si>
    <t>Comparator Circuit - Negative Supply Buffer Amplifier.</t>
  </si>
  <si>
    <t>To provide negative  reference voltage to comparator.</t>
  </si>
  <si>
    <t>Monoshot Vibrator.</t>
  </si>
  <si>
    <t>Trigger SCRs for 1.5 seconds in case of on-board surge detection.</t>
  </si>
  <si>
    <t>IC failure.
(permanent high).</t>
  </si>
  <si>
    <t>Inverter IC.</t>
  </si>
  <si>
    <t xml:space="preserve">Output stuck at permanent high. </t>
  </si>
  <si>
    <t>Optical Transmitter  - Application Circuit -  Inductor.</t>
  </si>
  <si>
    <t xml:space="preserve">Diodes in one of the rails fail-open </t>
  </si>
  <si>
    <t>30 V Rail Power Good Circuit - Decoupling Capacitor.</t>
  </si>
  <si>
    <t>30 V Rail Power Good Circuit - Transistor.</t>
  </si>
  <si>
    <t>30 V rail check.</t>
  </si>
  <si>
    <t>Transistor for one rail fails-open.</t>
  </si>
  <si>
    <t>Transistors for both rails fail-open.</t>
  </si>
  <si>
    <t>30 V Rail Power Good Circuit - 3.3 V Zener Diode.</t>
  </si>
  <si>
    <t>To provide voltage reference.</t>
  </si>
  <si>
    <t>Diodes in one of the rails fail-open.</t>
  </si>
  <si>
    <t>30 V Rail Power Good Circuit - Reverse Current Protection Diode.</t>
  </si>
  <si>
    <t>Reverse current protection.</t>
  </si>
  <si>
    <t>12 V Power Supply -  12 V Zener Diode.</t>
  </si>
  <si>
    <t>To provide 12 V output voltage.</t>
  </si>
  <si>
    <t>12 V Power Supply -  Transistor.</t>
  </si>
  <si>
    <t>For current amplification.</t>
  </si>
  <si>
    <t>12 V Power Supply -  Resistor Across Output Capacitor.</t>
  </si>
  <si>
    <t>To discharge capacitor in case of no supply available.</t>
  </si>
  <si>
    <t>12 V Power Supply -  Output Capacitor.</t>
  </si>
  <si>
    <t>Optical Isolators.</t>
  </si>
  <si>
    <t>IC failure.
(permanently on).</t>
  </si>
  <si>
    <t>IC failure.
(permanently off).</t>
  </si>
  <si>
    <t>Optical Isolators - Reverse Current Protection Diode.</t>
  </si>
  <si>
    <t>Optical Isolators - Reverse Current  Limiting Resistor Output Side.</t>
  </si>
  <si>
    <t xml:space="preserve">Optical Isolators - Input Side Divider Circuit. </t>
  </si>
  <si>
    <t>To control output voltage.</t>
  </si>
  <si>
    <t>Output stuck at permanent low.</t>
  </si>
  <si>
    <t>2-To-4 Decoder IC</t>
  </si>
  <si>
    <t>Multichannel Buffers.</t>
  </si>
  <si>
    <t>MOSFET Gate Resistor.</t>
  </si>
  <si>
    <t>Limit the instantaneous current.</t>
  </si>
  <si>
    <t>555 Timer IC.</t>
  </si>
  <si>
    <t>Provide different frequency signals to communicate on board Gate current feedback.</t>
  </si>
  <si>
    <t>Optical Transmitter.</t>
  </si>
  <si>
    <t>Output stuck at permanent high.</t>
  </si>
  <si>
    <t>CTQ</t>
  </si>
  <si>
    <t>Critical To Quality</t>
  </si>
  <si>
    <t xml:space="preserve">High-side resistor fails-short. </t>
  </si>
  <si>
    <t xml:space="preserve">Low-side resistor fails-short. </t>
  </si>
  <si>
    <t xml:space="preserve">Low-side resistor fails-open. </t>
  </si>
  <si>
    <t>Design Traceability</t>
  </si>
  <si>
    <t>Box Link</t>
  </si>
  <si>
    <t>Sr.</t>
  </si>
  <si>
    <t>Design Artifact</t>
  </si>
  <si>
    <t>Rev</t>
  </si>
  <si>
    <t>Link</t>
  </si>
  <si>
    <t>Diodes on both rails fail-short..</t>
  </si>
  <si>
    <t xml:space="preserve">Protection against reverse polarity will not be available. 
In case a reverse polarity input is connected to the board, on-board electronics will be damaged. 
Overcurrent will cause the diode to eventually fail-open.
</t>
  </si>
  <si>
    <t>Diode on one rail fails-short.</t>
  </si>
  <si>
    <t>No immediate effect.
Overcurrent will cause the diode to eventually fail-open.
Loss of single 30 V rail.
Redundant 30 V supply will provide power to on-board electronics</t>
  </si>
  <si>
    <t>Overcurrent will cause the resistor to eventually fail-open.
Less than 1.2 V at enable pin of regulator IC will disable the regulator.
Redundant 5 V supply will provide power to onboard electronics</t>
  </si>
  <si>
    <t>To supply switching currents to the high and low side gate drivers.</t>
  </si>
  <si>
    <t>Bootstrap capacitor will be shorted to ground.
Loss of single 5 V supply.
Redundant 5 V supply will provide power to onboard electronics</t>
  </si>
  <si>
    <t xml:space="preserve">To maintain current flow during off state of the supply. </t>
  </si>
  <si>
    <t>Provide output voltage feedback to the switcher  to maintain output voltage accuracy.</t>
  </si>
  <si>
    <t>High-side resistor fails-short..</t>
  </si>
  <si>
    <t>No filtration available for noise.
Noise can affect performance of onboard surge detection circuit for positive half cycle.</t>
  </si>
  <si>
    <t xml:space="preserve">Low side resistor fails-short. </t>
  </si>
  <si>
    <t xml:space="preserve">30 V rail will be shorted to ground. 
On-board components will not be powered up till the time capacitor remains shorted. 
Overcurrent will cause the capacitor to eventually fail-open. </t>
  </si>
  <si>
    <t>Winding fails-short. .</t>
  </si>
  <si>
    <t xml:space="preserve">Overcurrent will cause the resistor to eventually fail-open.
No overvoltage protection for high power MOSFET gate.
In case of overvoltage MOSFET gate may get damaged.
Under normal working conditions there will be no immediate effect.
</t>
  </si>
  <si>
    <t xml:space="preserve">TVS diode fails-short. </t>
  </si>
  <si>
    <t xml:space="preserve">Overcurrent will cause the diode to eventually fail-open. 
Protection from transients will be reduced.
Transformer may get saturated in case severe transients occurs. 
One SCR cannot trigger past first cycle in worst case.
Under normal working conditions there will be no immediate effect.
</t>
  </si>
  <si>
    <t xml:space="preserve">Overcurrent will cause the diode to eventually fail-open. 
Initial pulse current will not be available to affected SCR gate but continuous back porch current will still be there.
SCR may turn on due to continuous back porch.
There is a probability that SCR may not turn on due to unavailability of initial pulse.
Remaining SCRs will  see a higher current during fault and transition in one direction only.
</t>
  </si>
  <si>
    <t xml:space="preserve">Overcurrent will cause the diode to eventually fail-open.
30 V rail power good signal not available.
Initial pulse and constant current enable circuits will not be functional. 
Fault-current handling not available in one direction.
Device will be unable to initiate the trigger for all SCRs in one direction when moving from injection mode to monitoring mode and vice versa. </t>
  </si>
  <si>
    <t xml:space="preserve">Transistor fails-short. </t>
  </si>
  <si>
    <t xml:space="preserve">Overcurrent will cause the transistor to eventually fail-open.
30 V rail power good signal not available.
Initial pulse and constant current enable circuits will not be functional. 
Fault-current handling not available in one direction.
Device will be unable to initiate the trigger for all SCRs in one direction when moving from injection mode to monitoring mode and vice versa. </t>
  </si>
  <si>
    <t>Overcurrent will cause the diode to eventually fail-open. 
Continuous back porch and initial pulse current  not available to single SCR gate.
SCR will be turned off for remaining half-cycles.</t>
  </si>
  <si>
    <t>Overcurrent will cause the resistor to eventually fail-open. 
No immediate effect. 
Compromised IC protection</t>
  </si>
  <si>
    <t xml:space="preserve">CMC fails-short. </t>
  </si>
  <si>
    <t>Phase shift will be affected.
Gain will be affected.
On-board line current sensing will be affected. 
False overcurrent/surge events may be triggered.</t>
  </si>
  <si>
    <t>Overcurrent will cause the resistor to eventually fail-open. 
Phase shift will be affected.
Gain will be affected.
On-board line current sensing will be affected. 
False overcurrent/surge events may be triggered.</t>
  </si>
  <si>
    <t xml:space="preserve">Output of comparator will be floating.
On-board line current sensing will be affected.
</t>
  </si>
  <si>
    <t>Overcurrent will cause the resistor to eventually fail-open. 
Output of comparator will be floating.
On-board line current sensing will be affected.</t>
  </si>
  <si>
    <t xml:space="preserve">Overcurrent will eventually cause the diode to fail-open. 
No power to on-board electronics for Gate current of single SCR. 
Loss of gate current for a single SCR.
Remaining SCRs will  see a higher current during fault and transition in one direction only.
</t>
  </si>
  <si>
    <t xml:space="preserve">12 V supply will not be available till the time capacitor remains shorted.
Over current will cause the capacitor to eventually fail-open. </t>
  </si>
  <si>
    <t xml:space="preserve">Overcurrent will cause the capacitor to fail-open. 
30 V rail will be shorted to ground for the shorted duration.
Loss of gate current for a single SCR till he shorted duration. 
Remaining SCRs will  see a higher current during fault and transition in one direction only.
</t>
  </si>
  <si>
    <t>One of the capacitors fail-short. .</t>
  </si>
  <si>
    <t xml:space="preserve">Overcurrent will cause the diode to eventually fail-open. 
No overvoltage protection for high power MOSFET gate.
In case of overvoltage MOSFET gate may get damaged.
Under normal working conditions there will be no immediate effect.
</t>
  </si>
  <si>
    <t>Overcurrent will cause the resistor to eventually fail-open.
Continuous back porch current regulation will be affected. 
Single SCR may remain off except for first half cycle.</t>
  </si>
  <si>
    <t>Overcurrent will cause the capacitor to eventually fail-open. 
Continuous back porch current regulation will be affected. 
Single SCR may remain off except for first half cycle.</t>
  </si>
  <si>
    <t>Overcurrent will cause the resistor to eventually fail-open. 
Continuous back porch current regulation will be affected. 
Single SCR may remain off except for first half cycle.</t>
  </si>
  <si>
    <t>Overcurrent will cause the resistor to eventually fail-open. 
Continuous back porch not available to single SCR gate.
SCR may turn on for first half-cycle only due to pulse current.
SCR will be turned off for remaining half-cycles.</t>
  </si>
  <si>
    <t>Overcurrent will cause the diode to eventually fail-open. 
Continuous back porch current regulation will be affected. 
Single SCR may remain off except for first half cycle.</t>
  </si>
  <si>
    <t xml:space="preserve">Overcurrent will cause the resistor to eventually fail-open. 
No power to on-board electronics for Gate current of single SCR. 
Loss of gate current for a single SCR.
Remaining SCRs will  see a higher current during fault and transition in one direction only.
</t>
  </si>
  <si>
    <t>Overvoltage protection for the circuit will be compromised.</t>
  </si>
  <si>
    <t xml:space="preserve">Overcurrent will cause the transistor to fail-open.
No power to on-board electronics for Gate current of single SCR. 
Loss of gate current for a single SCR.
Remaining SCRs will  see a higher current during fault and transition in one direction only.
</t>
  </si>
  <si>
    <t xml:space="preserve">Overcurrent will cause the resistor to fail-open. 
No power to on-board electronics for Gate current of single SCR. 
Loss of gate current for a single SCR.
Remaining SCRs will  see a higher current during fault and transition in one direction only.
</t>
  </si>
  <si>
    <t xml:space="preserve">Overcurrent will cause the resistor to fail-open.
No power to on-board electronics for Gate current of single SCR. 
Loss of gate current for a single SCR.
Remaining SCRs will  see a higher current during fault and transition in one direction only.
</t>
  </si>
  <si>
    <t>Overcurrent will cause the diode to eventually fail-open. 
No immediate effect. 
Overvoltage protection for the circuit will be compromised.</t>
  </si>
  <si>
    <t>Overcurrent will cause the diode to eventually fail-open. 
Continuous back porch  not available to single SCR gate.
SCR will be turned off.</t>
  </si>
  <si>
    <t>Overcurrent will cause the resistor to eventually fail-open. 
Continuous back porch  not available to single SCR gate.
SCR will be turned off.</t>
  </si>
  <si>
    <t>Overcurrent will cause the diode to eventually fail-open.
Continuous back porch  not available to single SCR gate.
SCR will be turned off.</t>
  </si>
  <si>
    <t>SV104-5070</t>
  </si>
  <si>
    <t>SV104-5071</t>
  </si>
  <si>
    <t>SV104-5072</t>
  </si>
  <si>
    <t>SV104-5073</t>
  </si>
  <si>
    <t>SV104-5074</t>
  </si>
  <si>
    <t>SV104-5075</t>
  </si>
  <si>
    <t>SV104-5076</t>
  </si>
  <si>
    <t>SV104-5077</t>
  </si>
  <si>
    <t>SV104-5078</t>
  </si>
  <si>
    <t>SV104-5079</t>
  </si>
  <si>
    <t>SV104-5080</t>
  </si>
  <si>
    <t>SV104-5081</t>
  </si>
  <si>
    <t>SV104-5082</t>
  </si>
  <si>
    <t>SV104-5083</t>
  </si>
  <si>
    <t>SV104-5084</t>
  </si>
  <si>
    <t>SV104-5085</t>
  </si>
  <si>
    <t>SV104-5086</t>
  </si>
  <si>
    <t>SV104-5087</t>
  </si>
  <si>
    <t>SV104-5088</t>
  </si>
  <si>
    <t>SV104-5089</t>
  </si>
  <si>
    <t>SV104-5090</t>
  </si>
  <si>
    <t>SV104-5091</t>
  </si>
  <si>
    <t>SV104-5092</t>
  </si>
  <si>
    <t>SV104-5093</t>
  </si>
  <si>
    <t>SV104-5094</t>
  </si>
  <si>
    <t>SV104-5095</t>
  </si>
  <si>
    <t>SV104-5096</t>
  </si>
  <si>
    <t>SV104-5097</t>
  </si>
  <si>
    <t>SV104-5098</t>
  </si>
  <si>
    <t>SV104-5099</t>
  </si>
  <si>
    <t>SV104-5100</t>
  </si>
  <si>
    <t>SV104-5101</t>
  </si>
  <si>
    <t>SV104-5102</t>
  </si>
  <si>
    <t>SV104-5013</t>
  </si>
  <si>
    <t>SV104-5104</t>
  </si>
  <si>
    <t>SV104-5106</t>
  </si>
  <si>
    <t>SV104-5107</t>
  </si>
  <si>
    <t>SV104-5108</t>
  </si>
  <si>
    <t>SV104-5109</t>
  </si>
  <si>
    <t>SV104-5110</t>
  </si>
  <si>
    <t>SV104-5111</t>
  </si>
  <si>
    <t>SV104-5112</t>
  </si>
  <si>
    <t>SV104-5113</t>
  </si>
  <si>
    <t>SV104-5114</t>
  </si>
  <si>
    <t>SV104-5115</t>
  </si>
  <si>
    <t>SV104-5116</t>
  </si>
  <si>
    <t>SV104-5117</t>
  </si>
  <si>
    <t>SV104-5118</t>
  </si>
  <si>
    <t>SV104-5119</t>
  </si>
  <si>
    <t>SV104-5120</t>
  </si>
  <si>
    <t>SV104-5121</t>
  </si>
  <si>
    <t>SV104-5122</t>
  </si>
  <si>
    <t>SV104-5123</t>
  </si>
  <si>
    <t>SV104-5124</t>
  </si>
  <si>
    <t>SV104-5125</t>
  </si>
  <si>
    <t>SV104-5126</t>
  </si>
  <si>
    <t>SV104-5127</t>
  </si>
  <si>
    <t>SV104-5128</t>
  </si>
  <si>
    <t>SV104-5129</t>
  </si>
  <si>
    <t>SV104-5130</t>
  </si>
  <si>
    <t>SV104-5131</t>
  </si>
  <si>
    <t>SV104-5132</t>
  </si>
  <si>
    <t>SV104-5133</t>
  </si>
  <si>
    <t>SV104-5134</t>
  </si>
  <si>
    <t>SV104-5135</t>
  </si>
  <si>
    <t>SV104-5137</t>
  </si>
  <si>
    <t>SV104-5138</t>
  </si>
  <si>
    <t>SV104-5139</t>
  </si>
  <si>
    <t>SV104-5140</t>
  </si>
  <si>
    <t>SV104-5141</t>
  </si>
  <si>
    <t>SV104-5142</t>
  </si>
  <si>
    <t>SV104-5143</t>
  </si>
  <si>
    <t>SV104-5144</t>
  </si>
  <si>
    <t>SV104-5145</t>
  </si>
  <si>
    <t>SV104-5146</t>
  </si>
  <si>
    <t>SV104-5147</t>
  </si>
  <si>
    <t>SV104-5148</t>
  </si>
  <si>
    <t>SV104-5149</t>
  </si>
  <si>
    <t>SV104-5150</t>
  </si>
  <si>
    <t>SV104-5151</t>
  </si>
  <si>
    <t>SV104-5152</t>
  </si>
  <si>
    <t>SV104-5153</t>
  </si>
  <si>
    <t>SV104-5154</t>
  </si>
  <si>
    <t>SV104-5156</t>
  </si>
  <si>
    <t>SV104-5157</t>
  </si>
  <si>
    <t>Overcurrent will cause the resistor to eventually fail-open.
No filtration available for noise.
Noise can affect performance of onboard surge detection circuit for positive half cycle.</t>
  </si>
  <si>
    <t>Overcurrent will cause the inductor to eventually fail-open. 
Onboard line current sensing in one cycle will be affected. 
Reduced redundancy in case of fault events.</t>
  </si>
  <si>
    <t>Overcurrent will cause the resistor to eventually fail-open. 
Discharging path not available to the output capacitor in case of dead line fault.
Fully charged capacitor may damage on board electronics.</t>
  </si>
  <si>
    <t>Overcurrent will cause the resistor to fail-open. 
Continuous back porch and initial pulse current  not available to single SCR gate.
SCR will be turned off for remaining half-cycles.</t>
  </si>
  <si>
    <t xml:space="preserve">Reduced noise filtration. 
</t>
  </si>
  <si>
    <t>Unstable operating of the switch mode power supply will happen.
On-board electronics might get damaged due to unstable operation.</t>
  </si>
  <si>
    <t>Continuous Back Porch Current Regulation Circuit - Flip Flop - Series Resistor In Connection To PWM Controller.</t>
  </si>
  <si>
    <t>SCR Pulse And Constant Current Enable Circuit -  Optical Isolator.</t>
  </si>
  <si>
    <t>Negative 5 V Power Supply Circuit - Output Transformer.</t>
  </si>
  <si>
    <t xml:space="preserve">Initial pulse current will not be available to affected SCR gate but continuous back porch current will still be there.
SCR may turn on due to continuous back porch.
There is a probability that SCR may not turn on due to unavailability of initial pulse.
Remaining SCRs will  see a higher current during fault and transition in one direction only.
</t>
  </si>
  <si>
    <t>Pulse current circuit fails-short after providing an initial pulse.
SCR is not triggered.</t>
  </si>
  <si>
    <t xml:space="preserve">This a not a case worth considering.
Shorting of filter inductor is not a big issue. </t>
  </si>
  <si>
    <t>Comments from Reviewer</t>
  </si>
  <si>
    <t>Loss of  inductance.</t>
  </si>
  <si>
    <t>Capacitor (C158) fails-open.</t>
  </si>
  <si>
    <t xml:space="preserve">Capacitor (C158) fails-short. </t>
  </si>
  <si>
    <t>Capacitor (C159) fails-open.</t>
  </si>
  <si>
    <t>Capacitor (C159) fails-short..</t>
  </si>
  <si>
    <t>Overcurrent will cause the capacitor to eventually fail-open. 
No filtration available for noise.
Performance will be effected.
Noise can affect performance of onboard surge detection circuit for positive half cycle.</t>
  </si>
  <si>
    <t>1. power supply will be lost if c158 is shorted
2. performance will be effected if C159 is short.
PS19: Q&amp;PI: Updated</t>
  </si>
  <si>
    <t xml:space="preserve">Power supply will be lost because the internal regulator will no be supply any Vcc to internal devices
PS19 Q&amp;PI: Updated </t>
  </si>
  <si>
    <t>Make a general winding failure case instead of fail-open for the transformer
PS19 Q&amp;PI Updated</t>
  </si>
  <si>
    <t>Single transformer winding failure.</t>
  </si>
  <si>
    <t>Both transformers winding failure.</t>
  </si>
  <si>
    <t>Diode fails-short..</t>
  </si>
  <si>
    <t>Add a diode fail short case
PS19 Q&amp;PI: Updated</t>
  </si>
  <si>
    <t>There will be an initial  back porch pulse after which back porch current will not be available.
During the shorting event if the pulse current is enough to latch the SCR, system may transit to monitoring mode 
PS19 Q&amp;PI: same is already mentioned</t>
  </si>
  <si>
    <t xml:space="preserve">Single SCR gate current circuit will be lost for the shorted duration.
Remaining SCRs will see a higher current in mode transition and fault events. </t>
  </si>
  <si>
    <t xml:space="preserve">Not enough current to cause opening the capacitor, so power supply to a single SCR gate current circuit will be lost.
PS19 Q&amp;PI: Updated </t>
  </si>
  <si>
    <t xml:space="preserve"> No power to hall effect sensor. 
Continuous back porch not available to single SCR gate.
SCR will  turn on for first half-cycle only due to pulse current.
SCR will be turned off for remaining half-cycles.</t>
  </si>
  <si>
    <t>Not enough current to cause opening the capacitor, so No power to hall effect sensor. 
Continuous back porch not available to single SCR gate.
SCR will  turn on for first half-cycle only due to pulse current.
SCR will be turned off for remaining half-cycles.
Ps19 Q&amp;PI: Updated</t>
  </si>
  <si>
    <t xml:space="preserve">No immediate effect.
SCRs may false trigger for 1.5s in worst case  due to noise on timer IC enable signal.
In injection mode. False triggering will cause transition form from injection to monitoring. </t>
  </si>
  <si>
    <t xml:space="preserve">Gain Amplifier </t>
  </si>
  <si>
    <t xml:space="preserve">To amplify the signal. </t>
  </si>
  <si>
    <t xml:space="preserve">IC Failure.
(Permanent Low) </t>
  </si>
  <si>
    <t xml:space="preserve">IC Failure.
(Permanent High) </t>
  </si>
  <si>
    <t>Include failure cases for 4.3 gain Amplifier
PS19 Q&amp;PI: Updated</t>
  </si>
  <si>
    <t xml:space="preserve">All SCRs will be continuously triggered. System will transit from injection to monitoring mode
PS19 Q&amp;PI: Updated </t>
  </si>
  <si>
    <t>Surge-Comparator Feedback  Resistor.</t>
  </si>
  <si>
    <t xml:space="preserve">To provide feedback of comparator output. </t>
  </si>
  <si>
    <t>Loss of hysteresis in comparator.
On-board line current sensing will be affected.</t>
  </si>
  <si>
    <t>Hardware-based fault detection will be reduced. 
On-board line current sensing will be affected.</t>
  </si>
  <si>
    <t>this case is not worth considering
PS19 Q&amp;PI: Updated</t>
  </si>
  <si>
    <t xml:space="preserve">negative overvoltage will happen and on board electronics may get damaged
PS19 Q&amp;PI: Updated 
</t>
  </si>
  <si>
    <t xml:space="preserve">negative overvoltage will happen and on board electronics may get damaged
PS19 Q&amp;PI: Updated </t>
  </si>
  <si>
    <t>Back porch will flow from the parallel connected transformer which may over-heat and eventually its insulation / winding failure may occur. 
Continuous back porch not available to single SCR gate.
SCR may turn on for first half-cycle only due to pulse current.
SCR will be turned off for remaining half-cycles.</t>
  </si>
  <si>
    <t>Corresponding transformer's winding will be shorted. 
Back porch will flow from the parallel connected transformer which may over-heat and eventually its insulation / winding failure may occur. 
Continuous back porch not available to single SCR gate.
SCR may turn on for first half-cycle only due to pulse current.
SCR will be turned off for remaining half-cycles.</t>
  </si>
  <si>
    <t>No immediate effect.
SCRs may false trigger due to noise on SCR enable signal.
In injection mode, False triggering will cause transition form  injection to monitoring.</t>
  </si>
  <si>
    <t>false triggering will cause transition form from injection to monitoring 
PS19 Q&amp;PI: Updated
update higher level and other columns
PS19 Q&amp;PI: Updated</t>
  </si>
  <si>
    <t>PS19 Q&amp;PI: This was highlighted but no comment is mentioned. Kindly confirm if this entry is okay. 
NOT ENOUGH CURRENT TO CAUSE OPENING, short will cause loss of line current detection
PS19 Q&amp;PI: Updated</t>
  </si>
  <si>
    <t>SmartValve 10-1800 v1.04 - Wiring Drawing -  Power Supply Scheme Gen2-v2-FAI</t>
  </si>
  <si>
    <t>PS19 QPI</t>
  </si>
  <si>
    <t>PS19 Technical Experts</t>
  </si>
  <si>
    <t>Smart Wires Reviewer</t>
  </si>
  <si>
    <t>SJ: No Comment</t>
  </si>
  <si>
    <t>AI: No comment.</t>
  </si>
  <si>
    <t>If the SCR gate measurement circuits detect this, injection mode shall not be allowed as the IGBTs will be unprotected from fault currents in the affected direction.</t>
  </si>
  <si>
    <t>During mode transition, no SCR will be handling the line current in one direction.
IGBTs may get damaged in case of surge current event, if loss of SCRs occurs in injection mode. 
Device's default behavior will be to disallow injection mode operation. The device is capable of injection, however, and end user may request to override this protection.</t>
  </si>
  <si>
    <t xml:space="preserve">SJ: No Comment
AI: we do not need the SCRs to fire for normal transitions. This severity should be a 1 if this was the only local effect. The fault current case in row 7 is much more severe, however, and should be a 5 (I have made both H6 and 7 five  accordingly -- should the local effect or the failure mode determine the severity?).
PS19 QPI: Updated the effects as per above comment 
</t>
  </si>
  <si>
    <t xml:space="preserve">SJ: No Comment
AI: same comments as R6 &amp; R7
PS19 QPI: Updated the effects as per above comment </t>
  </si>
  <si>
    <t>SmartValve 10-1800 v1.04 - PCBAs - iSCR Driver Board Functional Block Diagram</t>
  </si>
  <si>
    <t xml:space="preserve">SmartValve 10-1800 v1.04 - PCBAs - iSCR Driver Board Schematic </t>
  </si>
  <si>
    <t xml:space="preserve">SmartValve 10-1800 v1.04 - PCBAs - iSCR Driver Board Design Document  </t>
  </si>
  <si>
    <t>A</t>
  </si>
  <si>
    <t>SV104-9784</t>
  </si>
  <si>
    <t>SV104-9785</t>
  </si>
  <si>
    <t>SV104-9786</t>
  </si>
  <si>
    <t>SV104-9787</t>
  </si>
  <si>
    <t>SV104-9788</t>
  </si>
  <si>
    <t>SV104-9789</t>
  </si>
  <si>
    <t>SV104-9790</t>
  </si>
  <si>
    <t>Reference Designator</t>
  </si>
  <si>
    <t>Alert Message</t>
  </si>
  <si>
    <t xml:space="preserve">AI: This is high severity. If the SCR gate measurement circuits detect this, we should not go into injection mode as the IGBTs will be unprotected from fault currents in the affected direction. I have edited column G (see underlined text), and recommend we check with the h/w and f/w teams during the global call if they agree with my edits.
PS19 QPI: Updated the effects as per above comment </t>
  </si>
  <si>
    <t xml:space="preserve">Reviewer: only filtration will be effected
PS19 Q&amp;PI: Updated
</t>
  </si>
  <si>
    <t xml:space="preserve">Input voltage will be replicated at regulator output.
Over Voltage at the output may damage the ideal diodes of both 5V and redundant supply and on board electronics may get damaged.
Loss of both 5 V power supplies SCR driver board will not be functional.
Fault-current handling will not be available in one direction.
</t>
  </si>
  <si>
    <r>
      <t xml:space="preserve">Reviewer: Over Voltage at the output may damage the ideal diodes of both 5V and redundant supply and on board electronics may get damaged
PS19 Q&amp;PI: Updated
Second review:
This failure causes the loss of both 5 V power supplies, so the whole SCR driver board will not be functional 
so Fault-current handling not available in one direction.
Device will be unable to initiate the trigger for all SCRs in one direction when moving from injection mode to monitoring mode and vice-versa.
</t>
    </r>
    <r>
      <rPr>
        <b/>
        <sz val="10"/>
        <rFont val="Arial"/>
        <family val="2"/>
      </rPr>
      <t>PLEASE UPDATE THE HIGHER LEVEL EFFECT COLUMN  AND OTHER COLUMNS  ACCORDINGLY
PS19 Q&amp;PI: Updated</t>
    </r>
  </si>
  <si>
    <t xml:space="preserve">No immediate effect. 
High frequency ripple filtration will be effected. </t>
  </si>
  <si>
    <t>inductor is already short for low frequencies or DC, so there will be no any over current. If inductor looses its inductance due to a shortage, only high frequency ripple filtration will be effected,  so very minor effect on surge detection circuit function
PS19 Q&amp;PI: Updated</t>
  </si>
  <si>
    <t xml:space="preserve">Ripple filtration will be effected. 
Onboard line current sensing in one cycle will be affected. 
</t>
  </si>
  <si>
    <t>if C302 or C301 is open, ripple filtration will be affected. Onboard line current sensing will be effected to a small extent 
PS19 Q&amp;PI: Updated</t>
  </si>
  <si>
    <t xml:space="preserve">No immediate effect. 
Noise filtration will be effected.
</t>
  </si>
  <si>
    <t>only ripple filtration will be affected a little bit. Negligible effect on performance of current sensing circuit.
PS19 Q&amp;PI: Updated</t>
  </si>
  <si>
    <t xml:space="preserve">
Ripple filtration and onboard line current sensing will be effected 
PS19 Q&amp;PI: Updated</t>
  </si>
  <si>
    <t xml:space="preserve">inductor is already short. If it looses its inductance due to a shortage
only ripple filtration will be effected. Device will function normally
PS19: Updated.  </t>
  </si>
  <si>
    <r>
      <t xml:space="preserve">make two cases with single transformer winding failure and both transformers' winding failure 
PS19 Q&amp;PI: Updated 
Second review: 
</t>
    </r>
    <r>
      <rPr>
        <b/>
        <sz val="10"/>
        <rFont val="Arial"/>
        <family val="2"/>
      </rPr>
      <t>Second review</t>
    </r>
    <r>
      <rPr>
        <sz val="10"/>
        <rFont val="Arial"/>
        <family val="2"/>
      </rPr>
      <t xml:space="preserve">
 IF one transformer fails, Back porch will flow from the parallel connected transformer which may over heat and eventually fail insulation/ winding failure may occur over time
PLEASE update other columns
PS19 Q&amp;PI: Updated </t>
    </r>
  </si>
  <si>
    <t xml:space="preserve"> Back porch will flow from the parallel connected transformer which may over heat and eventually fail insulation/ winding failure may occur over time
PLEASE update other columns
PS19 Q&amp;PI: Updated</t>
  </si>
  <si>
    <t xml:space="preserve">Continuous back porch will flow from parallel connected transformer.
Back porch will flow from the parallel connected transformer which may over-heat and eventually insulation / winding failure may occur over time.
During the shorted duration if the pulse current is enough to latch the SCR, system may transit to monitoring mode </t>
  </si>
  <si>
    <r>
      <t xml:space="preserve"> Back porch will flow from the parallel connected transformer which may over heat and eventually fail insulation/ winding failure may occur over time leading to the case mentioned in row 114.
During the shorting event if the pulse current is enough to latch the SCR, system may transit to monitoring mode 
PS19 Q&amp;PI: Updated 
</t>
    </r>
    <r>
      <rPr>
        <b/>
        <sz val="10"/>
        <rFont val="Arial"/>
        <family val="2"/>
      </rPr>
      <t>Second review</t>
    </r>
    <r>
      <rPr>
        <sz val="10"/>
        <rFont val="Arial"/>
        <family val="2"/>
      </rPr>
      <t xml:space="preserve">
UPDATE OTHER COLUMNS ACCORDINGLY for example if SCR gets latched, system will transit to monitoring mode
PS19 Q&amp;PI: updated</t>
    </r>
  </si>
  <si>
    <t xml:space="preserve">Continuous back porch will flow from parallel connected transformer.
Remaining parallel connected transformer may over heat and eventually its winding failure may occur.
Single SCR may turn on for first half-cycle only due to pulse current.
Single SCR will be turned off for remaining half-cycles in worst case.
Ps19 Q&amp;PI: Updated </t>
  </si>
  <si>
    <t xml:space="preserve">No immediate effect. 
Filtration will be reduced. </t>
  </si>
  <si>
    <t xml:space="preserve">30 V will be produced at the output which will damage on-board electronics.
Loss of gate current for a single SCR.
Remaining SCRs will  see a higher current during fault and transition in one direction only.
</t>
  </si>
  <si>
    <t xml:space="preserve">30 volt will be produced at the output which will damage on board electronics and thus loss of gate current for one SCR.
Remaining SCRs will  see a higher current during fault and transition in one direction only.
PS19 Q&amp;PI: Updated </t>
  </si>
  <si>
    <t>No immediate effect.
There is not enough current to cause opening of this resistor.
Transistor degradation could occur leading to its failure.</t>
  </si>
  <si>
    <t xml:space="preserve">No immediate effect.
There is not enough current to cause opening of this resistor. Transistor degradation could occur leading to its failure.
PS19 Q&amp;PI: Updated </t>
  </si>
  <si>
    <t xml:space="preserve">30 volt will be produced at the output which will damage on board electronics and thus loss of gate current for one SCR.
Remaining SCRs will  see a higher current during fault and transition in one direction only.
PS19 Q&amp;PI: Updated </t>
  </si>
  <si>
    <t>No immediate effect.
There is not enough current to cause opening of this diode, so only voltage compensation will be lost and less then 12 V will be produced effecting the operation of SCR gate current circuit to some extant. 
PS19 Q&amp;PI: Updated</t>
  </si>
  <si>
    <t xml:space="preserve">There is a feedback resistor; not output resistor. Opening will cause loss of hysteresis in comparator
PS19 Q&amp;PI: Updated </t>
  </si>
  <si>
    <t xml:space="preserve">There is a feedback resistor; not output resistor. Shorting will effect the redundant surge detection in one direction
PS19 Q&amp;PI: Updated </t>
  </si>
  <si>
    <t>AI: same comments as R6 &amp; R7. Additionally, the VSLs will not get damaged in v1.04, but the IGBTs are vulnerable. I have adjusted F9 accordingly.</t>
  </si>
  <si>
    <t xml:space="preserve">Initial pulse current will not be available to affected SCR gate but continuous back porch current will still be there.
SCR may turn on due to continuous back porch.
There is a probability that SCR may not turn on due to unavailability of initial pulse.
Remaining SCRs will  see a higher current during fault and transition in one direction only.
2. Add resistor fail short case in which gate ringing will effect the life of the MOSFET.
PS19 Q&amp;PI: Updated </t>
  </si>
  <si>
    <t>No immediate effect. 
Gate ringing will effect the life of the MOSFET.</t>
  </si>
  <si>
    <t xml:space="preserve">SmartValve 10-1800 v1.04 </t>
  </si>
  <si>
    <t>CONN1, CONN2</t>
  </si>
  <si>
    <t>D114, D146</t>
  </si>
  <si>
    <t>L8</t>
  </si>
  <si>
    <t>C156, C157</t>
  </si>
  <si>
    <t>D105</t>
  </si>
  <si>
    <t>L7</t>
  </si>
  <si>
    <t>R179, R182</t>
  </si>
  <si>
    <t>C158, C159, R181</t>
  </si>
  <si>
    <t>C303</t>
  </si>
  <si>
    <t>R432, R434</t>
  </si>
  <si>
    <t>C300</t>
  </si>
  <si>
    <t>C305</t>
  </si>
  <si>
    <t>R431, R435</t>
  </si>
  <si>
    <t>R433</t>
  </si>
  <si>
    <t>C306</t>
  </si>
  <si>
    <t>R430, C302</t>
  </si>
  <si>
    <t>D97</t>
  </si>
  <si>
    <t>L17</t>
  </si>
  <si>
    <t>L18</t>
  </si>
  <si>
    <t>L16</t>
  </si>
  <si>
    <t>U147</t>
  </si>
  <si>
    <t>C151</t>
  </si>
  <si>
    <t>D76</t>
  </si>
  <si>
    <t>R184</t>
  </si>
  <si>
    <t>R180, R183, R474</t>
  </si>
  <si>
    <t>C152, C153, C154, C155, C368</t>
  </si>
  <si>
    <t>U93, U73</t>
  </si>
  <si>
    <t>U48, U75</t>
  </si>
  <si>
    <t>L6, L14</t>
  </si>
  <si>
    <t>C147, C148, C149, C183, C184, C198</t>
  </si>
  <si>
    <t>U125, U128, U129</t>
  </si>
  <si>
    <t>U127, U130</t>
  </si>
  <si>
    <t>CON6</t>
  </si>
  <si>
    <t>C311, C307</t>
  </si>
  <si>
    <t>D99, D101, D103</t>
  </si>
  <si>
    <t>L19</t>
  </si>
  <si>
    <t>U133A</t>
  </si>
  <si>
    <t>R441</t>
  </si>
  <si>
    <t>U134A</t>
  </si>
  <si>
    <t>R440</t>
  </si>
  <si>
    <t>C130</t>
  </si>
  <si>
    <t>U135</t>
  </si>
  <si>
    <t>U140</t>
  </si>
  <si>
    <t>R455</t>
  </si>
  <si>
    <t>U141A</t>
  </si>
  <si>
    <t>U141B</t>
  </si>
  <si>
    <t>U142</t>
  </si>
  <si>
    <t>U136A</t>
  </si>
  <si>
    <t>U137</t>
  </si>
  <si>
    <t>L20, L22, L23</t>
  </si>
  <si>
    <t>D138</t>
  </si>
  <si>
    <t>Q71, Q72</t>
  </si>
  <si>
    <t>R174</t>
  </si>
  <si>
    <t>C111</t>
  </si>
  <si>
    <t>U113, U114, U116, U117</t>
  </si>
  <si>
    <t>D141, D142, D144, D145</t>
  </si>
  <si>
    <t>R383, R391, R392, R395</t>
  </si>
  <si>
    <t>D140, D149</t>
  </si>
  <si>
    <t>D139, D147</t>
  </si>
  <si>
    <t>D148, D151</t>
  </si>
  <si>
    <t>Q73, Q75</t>
  </si>
  <si>
    <t>R376, R377, R379, R385, R386, R387, R389, R390</t>
  </si>
  <si>
    <t>U121, U124</t>
  </si>
  <si>
    <t>U122A</t>
  </si>
  <si>
    <t>U123</t>
  </si>
  <si>
    <t>R426, R427, R428, R429</t>
  </si>
  <si>
    <t>U131</t>
  </si>
  <si>
    <t>L15</t>
  </si>
  <si>
    <t>U126</t>
  </si>
  <si>
    <t>R453, R460</t>
  </si>
  <si>
    <t>D82, D85, D88, D91, D94</t>
  </si>
  <si>
    <t>Constant Current Enable Circuit - 22 V Zener.</t>
  </si>
  <si>
    <t>30 V Rail Power Good Circuit - 22 V Zener.</t>
  </si>
  <si>
    <t>U4, U13, U22, U31, U40</t>
  </si>
  <si>
    <t>CON1, CON2, CON3, CON4, CON5</t>
  </si>
  <si>
    <t>L9, L10, L11, L12, L13</t>
  </si>
  <si>
    <t>To implement hardware logic of signals</t>
  </si>
  <si>
    <t>C86, C87, C88, C89, C90, C91, C92, C93, C94, C95, C96, C97, C98, C99, C100, C101, C102, C103, C104, C106, C107, C108, C109, C110, C111, C112, C113, C114, C115, C116, C117, C118, C119, C120, C121, C122, C123, C124, C125, C126, C127, C128, C129, C130, C131, C132, C133, C134, C139, C140</t>
  </si>
  <si>
    <t>D5, D20, D35, D50, D65</t>
  </si>
  <si>
    <t>D116, D117, D118, D119, D120</t>
  </si>
  <si>
    <t>R1, R35, R69, R103, R137</t>
  </si>
  <si>
    <t>Q2, Q7, Q14, Q17, Q22</t>
  </si>
  <si>
    <t>D3, D18, D33, D48, D63</t>
  </si>
  <si>
    <t>R5, R39, R73, R107, R141</t>
  </si>
  <si>
    <t>Q1, Q6, Q11, Q16, Q21</t>
  </si>
  <si>
    <t>R3, R6, R37, R40, R71, R74, R105, R108, R139, R142</t>
  </si>
  <si>
    <t>T1, T4, T7, T10, T13</t>
  </si>
  <si>
    <t>D1, D16, D31, D46, D61</t>
  </si>
  <si>
    <t>U44, U52, U53, U54, U55</t>
  </si>
  <si>
    <t>Q26, Q27, Q28, Q29, Q30</t>
  </si>
  <si>
    <t>R203, R204, R205, R206, R207</t>
  </si>
  <si>
    <t>T2, T3, T5, T6, T8, T9, T11, T12, T14, T15</t>
  </si>
  <si>
    <t>D7, D12, D22, D27, D37, D42, D52, D57, D67, D72</t>
  </si>
  <si>
    <t>Q4, Q5, Q9, Q10, Q12, Q15, Q19, Q20, Q24, Q25</t>
  </si>
  <si>
    <t>L1, L2, L3, L4, L5</t>
  </si>
  <si>
    <t>D8, D23, D38, D53, D68</t>
  </si>
  <si>
    <t>R21, R22, R26, R27, R55, R56, R60, R61, R89, R90, R94, R95, R123, R124, R128, R129, R157, R158, R162, R163</t>
  </si>
  <si>
    <t>C11, C12, C28, C29, C45, C46, C62, C63, C79, C80</t>
  </si>
  <si>
    <t>U5, U14, U23, U32, U41</t>
  </si>
  <si>
    <t>U6, U9, U15, U18, U24, U27, U33, U36, U42, U45</t>
  </si>
  <si>
    <t>D14, D15, D29, D30, D44, D45, D59, D60, D74, D75, D107, D108, D109, D110, D111, D133, D134, D135, D136, D137</t>
  </si>
  <si>
    <t>C13, C15, C30, C32, C47, C49, C64, C66, C81, C83, C272, C273, C274, C275, C276</t>
  </si>
  <si>
    <t>R28, R29, R31, R32, R397, R62, R63, R64, R65, R66, R96, R97, R98, R99, R100, R130, R131, R132, R133, R134, R165, R166, R167, R168, R177, R398, R399, R400, R401, R2164</t>
  </si>
  <si>
    <t>R24, R58, R92, R126, R160,  R218, R219, R220, R221, R222</t>
  </si>
  <si>
    <t>Q3, Q8, Q13, Q18, Q23</t>
  </si>
  <si>
    <t>R12, R46, R80, R114, R148</t>
  </si>
  <si>
    <t>D2, D32, D62, D78, D80</t>
  </si>
  <si>
    <t>Q33, Q34, Q51, Q53, Q55, Q57, Q58, Q60, Q62, Q64</t>
  </si>
  <si>
    <t>R34, R42, R101, R117, R164, R170, R188, R190, R197, R199</t>
  </si>
  <si>
    <t>R33, R67, R151, R186, R195</t>
  </si>
  <si>
    <t>C16, C34, C67, C84, C150</t>
  </si>
  <si>
    <t>D112, D121, D124, D125, D127</t>
  </si>
  <si>
    <t>D98, D100, D102, D104, D106</t>
  </si>
  <si>
    <t>U8, U17, U26, U35, U70</t>
  </si>
  <si>
    <t>Q31, Q32, Q35, Q52, Q54, Q56, Q59, Q61, Q63, Q65</t>
  </si>
  <si>
    <t>R8, R49, R144, R187, R196</t>
  </si>
  <si>
    <t>R76, R83, R102, R135, R169, R178, R191, R192, R200, R201</t>
  </si>
  <si>
    <t>R15, R68, R161, R189, R198</t>
  </si>
  <si>
    <t>D112, D115, D123, D126, D128</t>
  </si>
  <si>
    <t>C33, C51, C85, C143, C162</t>
  </si>
  <si>
    <t>U51, U56, U61, U66, U71</t>
  </si>
  <si>
    <t>C160, C169, C178, C187, C196</t>
  </si>
  <si>
    <t>C161, C170, C179, C188, C197</t>
  </si>
  <si>
    <t>D113, D129, D130, D131, D132</t>
  </si>
  <si>
    <t>R290, R251, R302, R314, R326</t>
  </si>
  <si>
    <t>Q36, Q39, Q42, Q45, Q48</t>
  </si>
  <si>
    <t>Q37, Q40, Q43, Q46, Q49</t>
  </si>
  <si>
    <t>Q66, Q67, Q68, Q69, Q70</t>
  </si>
  <si>
    <t>U77, U82, U87, U97, U102</t>
  </si>
  <si>
    <t>U76, U81, U86, U96, U101</t>
  </si>
  <si>
    <t>U48C, U79C, U94C, U99C, U104C</t>
  </si>
  <si>
    <t xml:space="preserve">U48B, U79B, U94B, U99B, U104B </t>
  </si>
  <si>
    <t xml:space="preserve">Q38, Q41, Q44, Q47, Q50 </t>
  </si>
  <si>
    <t>U46, U72, U89, U112, U119</t>
  </si>
  <si>
    <t>To filter supply voltage noise.</t>
  </si>
  <si>
    <t>No immediate effect.
The respective active device will get stuck at low or high output.
Cascading shortage of supply voltage capacitors may cause reduction of single SCR gate current.</t>
  </si>
  <si>
    <t>C182, C212, C288, C289, C293, C294, C295</t>
  </si>
  <si>
    <t xml:space="preserve">Voltage Supply Filtering Capacitor </t>
  </si>
  <si>
    <t>R467</t>
  </si>
  <si>
    <t xml:space="preserve">Input Resistor Single Inverter Gate IC </t>
  </si>
  <si>
    <t>To limit current and avoid ringing.</t>
  </si>
  <si>
    <t>Resistor fails open.</t>
  </si>
  <si>
    <t>Resistor fails short.</t>
  </si>
  <si>
    <t>R175, R233</t>
  </si>
  <si>
    <t>R489, R490</t>
  </si>
  <si>
    <t>To provide input to non-inverting buffer channels.</t>
  </si>
  <si>
    <t>Initial High Current Pulse Driver Circuit -  Medium Power Low Saturation Transistor Collector Resistor</t>
  </si>
  <si>
    <t>R2, R36, R70, R104, R138</t>
  </si>
  <si>
    <t>Limiting current.</t>
  </si>
  <si>
    <t>D17, D47, D77, D79, D81</t>
  </si>
  <si>
    <t>Overvoltage protection of shunt regulator.</t>
  </si>
  <si>
    <t>5 V Regulator Circuit - Reference Voltage Capacitor.</t>
  </si>
  <si>
    <t>5 V Regulator Circuit - 12V Zener Diode.</t>
  </si>
  <si>
    <t>C17, C50, C68, C142, C144</t>
  </si>
  <si>
    <t>To stabilize reference voltage of shunt regulator.</t>
  </si>
  <si>
    <t>U49, U59, U62, U64, U67</t>
  </si>
  <si>
    <t>R239, R270, R271, R272, R276, R277, R280, R281, R331, R332</t>
  </si>
  <si>
    <t>R265, R274, R275, R279, R330</t>
  </si>
  <si>
    <t>U57, U60, U63, U65, U68, U78, U80, U83, U85, U88, U95, U98, U100, U103, U105</t>
  </si>
  <si>
    <t>C194, C195, C202, C203, C240, C241, C242, C243, C248, C263, C259, C168, C213, C833, C221, C215, C214, C136, C260, C186, C145, C189, C211, C205, C206, C146, C175, C173, C261, C190, C191, C230, C224, C225, C223, C177, C180, C262, C192, C193, C239, C233, C234, C232, C199, C200</t>
  </si>
  <si>
    <t xml:space="preserve">Initial High Current Pulse Driver Circuit - Gate Driver Low Side </t>
  </si>
  <si>
    <t>U2, U11, U20, U29, U38</t>
  </si>
  <si>
    <t>To drive Low Side MOSET for initial pulse current.</t>
  </si>
  <si>
    <t>Initial High Current Pulse Driver Circuit - Pull-up Resistor</t>
  </si>
  <si>
    <t>R11, R45, R79, R113, R147</t>
  </si>
  <si>
    <t>Initial High Current Pulse Driver Circuit -  Non-Inverting Buffer Input Resistor</t>
  </si>
  <si>
    <t>R10, R44, R78, R112, R146</t>
  </si>
  <si>
    <t>U1, U3, U10, U12, U19, U21, U28, U30, U37, U39</t>
  </si>
  <si>
    <t>Continuous Back Porch Current Driver Circuit - IC Gate Driver.</t>
  </si>
  <si>
    <t>Continuous Back Porch Current Driver Circuit -  Gate Driver IC Input Resistor</t>
  </si>
  <si>
    <t xml:space="preserve">R9, R16, R43, R50, R77, R84, R111, R118, R145, R152,  R154, R213, R258, R259, R260, R261, R359, R360, R361, R362, </t>
  </si>
  <si>
    <t>R7, R14, R41, R48, R75, R82, R109, R116, R143, R150</t>
  </si>
  <si>
    <t>Buck Regulator Circuit - Input Inductor</t>
  </si>
  <si>
    <t>Buck Regulator Circuit - Input Capacitors</t>
  </si>
  <si>
    <t xml:space="preserve">Buck Regulator Circuit - Voltage Divider Resistors </t>
  </si>
  <si>
    <t>Buck Regulator Circuit - 12V Zener Diode</t>
  </si>
  <si>
    <t>Buck Regulator Circuit - Reset Pin Resistor</t>
  </si>
  <si>
    <t>Buck Regulator Circuit - Catch Diode</t>
  </si>
  <si>
    <t>Buck Regulator Circuit - Bootstrap Capacitor</t>
  </si>
  <si>
    <t>Buck Regulator Circuit - Output Inductor</t>
  </si>
  <si>
    <t>Buck Regulator Circuit - Compensation RC Circuit</t>
  </si>
  <si>
    <t>Buck Regulator Circuit - Feedback Resistors</t>
  </si>
  <si>
    <t>Buck Regulator Circuit - Output Capacitors</t>
  </si>
  <si>
    <t>Buck Regulator Circuit - Ideal Diode</t>
  </si>
  <si>
    <t>Buck Regulator Circuit - 5V Output Capacitor</t>
  </si>
  <si>
    <t>L25</t>
  </si>
  <si>
    <t>C363, C364</t>
  </si>
  <si>
    <t>R494, R497, R498</t>
  </si>
  <si>
    <t>D154</t>
  </si>
  <si>
    <t>R499</t>
  </si>
  <si>
    <t>D153</t>
  </si>
  <si>
    <t>C358</t>
  </si>
  <si>
    <t>L24</t>
  </si>
  <si>
    <t>R495, C365, C366</t>
  </si>
  <si>
    <t>R493, R496</t>
  </si>
  <si>
    <t>C359, C360, C361, C362</t>
  </si>
  <si>
    <t>U146</t>
  </si>
  <si>
    <t>C367</t>
  </si>
  <si>
    <t>Input Capacitors</t>
  </si>
  <si>
    <t>C347, C348, C349, C350, C351</t>
  </si>
  <si>
    <t>C269, C287, C290, C291, C297, C298</t>
  </si>
  <si>
    <t>C292,C296</t>
  </si>
  <si>
    <t>R425</t>
  </si>
  <si>
    <t>555 Timer Threshold/Discharge Voltage Divider Resistors</t>
  </si>
  <si>
    <t>R423, R424</t>
  </si>
  <si>
    <t>MOSFET Drain Capacitors</t>
  </si>
  <si>
    <t>C250, C253, C256, C268</t>
  </si>
  <si>
    <t>Optical Transmitter</t>
  </si>
  <si>
    <t>U138, U143, U144</t>
  </si>
  <si>
    <t>Optical Transmitter - Ground Capacitors</t>
  </si>
  <si>
    <t>C325, C326, C353, C354, C356, C357</t>
  </si>
  <si>
    <t>R491, R492, R458</t>
  </si>
  <si>
    <t>Gain Amplifier - Feedback Resistors</t>
  </si>
  <si>
    <t>Gain Amplifier - Non-Inverting RC Circuit</t>
  </si>
  <si>
    <t>R438, R459</t>
  </si>
  <si>
    <t>C309, C314, C315, C316, R439, R448</t>
  </si>
  <si>
    <t>Comparator Circuit - 2.5V Input Capacitors</t>
  </si>
  <si>
    <t>Comparator Circuit - 2.5V Output Capacitors</t>
  </si>
  <si>
    <t>C334, C335</t>
  </si>
  <si>
    <t>C338, C339, C340</t>
  </si>
  <si>
    <t>Monoshot Vibrator - External RC Circuit</t>
  </si>
  <si>
    <t>R456, C323</t>
  </si>
  <si>
    <t xml:space="preserve">C312, C313, C317, C319, C321, C324, C327, C328, C329, C336, C333, C337 C352, C355, </t>
  </si>
  <si>
    <t>Positive 5 V Power Supply Circuit - Buck Regulator IC</t>
  </si>
  <si>
    <t>U50</t>
  </si>
  <si>
    <t>Negative 5 V Power Supply Circuit - Buck Regulator</t>
  </si>
  <si>
    <t>U132</t>
  </si>
  <si>
    <t>C299, C346</t>
  </si>
  <si>
    <t>R23, R57, R91, R125, R159</t>
  </si>
  <si>
    <t>Current Sense RC Filter</t>
  </si>
  <si>
    <t>R17, R85, R119, R151, R153,  C6, C23, C40, C57, C74</t>
  </si>
  <si>
    <t>Capacitor fails short.</t>
  </si>
  <si>
    <t>Step down 30V to 5V.</t>
  </si>
  <si>
    <t>Negative 5 V Power Supply Circuit - Common Mode Choke Capacitors</t>
  </si>
  <si>
    <t>To filter out ripples due to inductor.</t>
  </si>
  <si>
    <t>Capacitor fails open.</t>
  </si>
  <si>
    <t>No immediate effect.</t>
  </si>
  <si>
    <t>Non-Inverting Buffer - Pull-down Resistor</t>
  </si>
  <si>
    <t>Non-Inverting Buffer - Grounding Bit Resistor</t>
  </si>
  <si>
    <t>BJT will not be able to operate.
Initial pulse current will not be available to affected SCR gate but continuous back porch current will still be there.
SCR may turn on due to continuous back porch.
There is a probability that SCR may not turn on due to unavailability of initial pulse.
Remaining SCRs will  see a higher current during fault and transition in one direction only.</t>
  </si>
  <si>
    <t>BJT will not be able to operate in the desired operation region.
Worst case scenario, high power MOSFET will not be able to turn on.
Overcurrent will cause the resistor to fail open.</t>
  </si>
  <si>
    <t>To provide input voltage for MOSFET Gate driver.</t>
  </si>
  <si>
    <t>To provide Pulse Enable input signal for initial high current pulse.</t>
  </si>
  <si>
    <t>To filter inductor ripples.</t>
  </si>
  <si>
    <t>To provide referenced voltages for optical signal.</t>
  </si>
  <si>
    <t>U145</t>
  </si>
  <si>
    <t>Buck Regulator Circuit -Buck Regulator IC</t>
  </si>
  <si>
    <t>Capacitor (C365) fails-open.</t>
  </si>
  <si>
    <t xml:space="preserve">Capacitor (C365) fails-short. </t>
  </si>
  <si>
    <t>Capacitor (C366) fails-open.</t>
  </si>
  <si>
    <t>Capacitor (C366) fails-short..</t>
  </si>
  <si>
    <t>Optical Transmitter Grounding Capacitors</t>
  </si>
  <si>
    <t>Prevent reverse current/ripples.</t>
  </si>
  <si>
    <t>Keeping the normal input at low.</t>
  </si>
  <si>
    <t>To filter glitches in input signal and keeping the signal stable.</t>
  </si>
  <si>
    <t xml:space="preserve">No immediate effect.
</t>
  </si>
  <si>
    <t>C105, C270</t>
  </si>
  <si>
    <t>30 V Rail Power Good Circuit - Biasing Resistor</t>
  </si>
  <si>
    <t>R171, R382</t>
  </si>
  <si>
    <t>To provide biasing voltage for the transistor.</t>
  </si>
  <si>
    <t>Voltage drop across base and emitter not available.
No immediate effect.</t>
  </si>
  <si>
    <t>30 V Rail Power Good Circuit - Schottky Diode</t>
  </si>
  <si>
    <t>D150, D152</t>
  </si>
  <si>
    <t>Ground reverse current protection.</t>
  </si>
  <si>
    <t>30 V Rail Power Good Circuit - Collector Resistor</t>
  </si>
  <si>
    <t>R172, R381</t>
  </si>
  <si>
    <t>Q74, Q76</t>
  </si>
  <si>
    <t>30 V Rail Power Good Circuit - Voltage Divider Resistors</t>
  </si>
  <si>
    <t>R173, R176, R375, R388</t>
  </si>
  <si>
    <t>30 V Rail Power Good Circuit -  Current Limiting Resistor</t>
  </si>
  <si>
    <t>R228, R394</t>
  </si>
  <si>
    <t>Continuous Back Porch Current Driver Circuit - Transformers Output Diodes.</t>
  </si>
  <si>
    <t>Continuous Back Porch Current Driver Circuit - Transformers Auxiliary Grounding Diodes</t>
  </si>
  <si>
    <t>D6, D11, D21, D26, D36, D41, D51, D56, D66, D71</t>
  </si>
  <si>
    <t>D9, D13, D24, D28, D39, D43, D54, D58, D69, D73</t>
  </si>
  <si>
    <t>To prevent reverse current from complementary circuit.</t>
  </si>
  <si>
    <t>To prevent reverse current from ground.</t>
  </si>
  <si>
    <t>Diode fails short.</t>
  </si>
  <si>
    <t xml:space="preserve">Overcurrent will eventually cause the diode to fail-open. 
Reverse current will cause over loading of windings. 
One half of the complementary circuit may degrade.
</t>
  </si>
  <si>
    <t>Both diodes fail short.</t>
  </si>
  <si>
    <t>Diode fails open.</t>
  </si>
  <si>
    <t>Continuous back porch not available from one complementary circuit.
SCR may turn on due to complementary circuit current.
Transformer may over-heat and eventually its insulation / winding failure may occur.</t>
  </si>
  <si>
    <t>Both diodes fail open.</t>
  </si>
  <si>
    <t>No immediate effect.
Prolong reverse current flow from ground may cause damage to the transformer windings.</t>
  </si>
  <si>
    <t>No immediate effect.
Isolation of windings may get affected.</t>
  </si>
  <si>
    <t>Overcurrent may cause damage to MOSFET.
Worst case scenario, the MOSFET fails open.
Initial pulse current will not be available to affected SCR gate but continuous back porch current will still be there.</t>
  </si>
  <si>
    <t>Input Signal is shorted to ground and SCR Enable signal will not be available.
In case of a Surge event SCRs will be triggered through on board sensor.</t>
  </si>
  <si>
    <t>No immediate effect.
Worst case scenario, SCR Enable signal may not be available.
In case of a Surge event SCRs will be triggered through on board sensor.</t>
  </si>
  <si>
    <t>To provide grounding bits to non-inverting buffer channels.</t>
  </si>
  <si>
    <t>To charge and discharge capacitor.</t>
  </si>
  <si>
    <t>Limiting current to transistor.</t>
  </si>
  <si>
    <t>To increase/decrease charging and discharging time of 555 timer.</t>
  </si>
  <si>
    <t>All capacitors fails open.</t>
  </si>
  <si>
    <t>One or more capacitors fail open.</t>
  </si>
  <si>
    <t>The corresponding gate current feedback status frequency will not be available.</t>
  </si>
  <si>
    <t>Both Resistor fail open.</t>
  </si>
  <si>
    <t>Increased current through circuit and transistor base to emitter voltage drops to zero.
One half of power good rail check is lost.
Worst case scenario, both power good rail checks are not available.
Initial pulse and constant current enable circuits will not be functional. 
Fault-current handling not available in one direction.
Device will be unable to initiate the trigger for all SCRs in one direction when moving from injection mode to monitoring mode and vice versa.</t>
  </si>
  <si>
    <t>To control output pulse duration.</t>
  </si>
  <si>
    <t>Resistor/Capacitor fails open.</t>
  </si>
  <si>
    <t>To provide operating voltages for transistors.</t>
  </si>
  <si>
    <t>Both Resistor fails open.</t>
  </si>
  <si>
    <t>No immediate effect.
Other circuit will provide the power good feedback.</t>
  </si>
  <si>
    <t>Power good feedback not available to the circuit.
Initial pulse and constant current enable circuits will not be functional. 
Fault-current handling not available in one direction.
Device will be unable to initiate the trigger for all SCRs in one direction when moving from injection mode to monitoring mode and vice versa.</t>
  </si>
  <si>
    <t xml:space="preserve">Output pulse not available.
Onboard line current sensing in one cycle will be affected. 
Reduced redundancy in case of fault events.
</t>
  </si>
  <si>
    <t>Both Capacitors fail open.</t>
  </si>
  <si>
    <t>No immediate effect.
Noise may cause ripples in 2.5 V output.</t>
  </si>
  <si>
    <t>To increase gain of the op-amp.</t>
  </si>
  <si>
    <t>To provide reference voltage for op-amp gain.</t>
  </si>
  <si>
    <t>Resistor/Capacitor fails short.</t>
  </si>
  <si>
    <t>Gain will be affected.
Surge detection will be affected. 
Worst case scenario, on board fault detection will not be available.</t>
  </si>
  <si>
    <t>To provide isolation between SCR enable signal and constant current enable signal.</t>
  </si>
  <si>
    <t>To provide voltage drop/reference to ground.</t>
  </si>
  <si>
    <t>To invert the enable signal.</t>
  </si>
  <si>
    <t>Output stuck at low (IC failure).</t>
  </si>
  <si>
    <t>Output stuck at high (IC failure).</t>
  </si>
  <si>
    <t xml:space="preserve">Constant current enable signal not available.
SCR may still turn on for sometime due to pulse current.
Worst case scenario, SCR will not be triggered. </t>
  </si>
  <si>
    <t>Constant current signal may be stuck at high in worst case.</t>
  </si>
  <si>
    <t>IC permanent failure.</t>
  </si>
  <si>
    <t>Initial pulse current will not be available to affected SCR gate but continuous back porch current will still be there.
SCR may turn on due to continuous back porch.
There is a probability that SCR may not turn on due to unavailability of initial pulse.</t>
  </si>
  <si>
    <t>Shunt regulator protection is compromised.
Overvoltage may cause shunt regulator failure.
5V supply is not available.</t>
  </si>
  <si>
    <t>Shunt regulator is bypassed.
5V supply is not available.</t>
  </si>
  <si>
    <t xml:space="preserve">No power to on-board electronics for Gate current of single SCR. 
Loss of gate current for a single SCR.
Remaining SCRs will  see a higher current during fault and transition in one direction only.
Device can operate in both injection and monitoring mode.
</t>
  </si>
  <si>
    <t>Shunt regulator reference gets shorted to cathode.
Shunt regulator failure.</t>
  </si>
  <si>
    <t>Base and emitter shorted.
Overcurrent may cause transistor failure.</t>
  </si>
  <si>
    <t>To provide input signal to gate driver IC.</t>
  </si>
  <si>
    <t>Gate driver IC will not trigger MOSFET.
Continuous back porch will flow from parallel connected transformer.
Remaining parallel connected transformer may over heat and eventually fail-open.
Single SCR may turn on for first half-cycle only due to pulse current.
Single SCR will be turned off for remaining half-cycles in worst case.</t>
  </si>
  <si>
    <t>Overvoltage at gate may saturate MOSFET.
Constant high at MOSFET output.
Continuous back porch will flow from parallel connected transformer.</t>
  </si>
  <si>
    <t>MOSFET will not trigger.
Continuous back porch will flow from parallel connected transformer.</t>
  </si>
  <si>
    <t>Surge current sensing will not be available.
On-board fault detection will not be available.
Reduced redundancy in case of fault events</t>
  </si>
  <si>
    <t>Current Sensing Signal will not be available.
At the start of SCR firing Hall effect sensor delay will not be compensated.</t>
  </si>
  <si>
    <t>Current Sense signal shorted to ground.
Current Sensing Signal will not be available.
At the start of SCR firing Hall effect sensor delay will not be compensated.</t>
  </si>
  <si>
    <t>SV104-13649</t>
  </si>
  <si>
    <t>SV104-13650</t>
  </si>
  <si>
    <t>SV104-13651</t>
  </si>
  <si>
    <t>SV104-13652</t>
  </si>
  <si>
    <t>SV104-13653</t>
  </si>
  <si>
    <t>SV104-13654</t>
  </si>
  <si>
    <t>SV104-13655</t>
  </si>
  <si>
    <t>SV104-13656</t>
  </si>
  <si>
    <t>SV104-13657</t>
  </si>
  <si>
    <t>SV104-13658</t>
  </si>
  <si>
    <t>SV104-13659</t>
  </si>
  <si>
    <t>SV104-13660</t>
  </si>
  <si>
    <t>SV104-13661</t>
  </si>
  <si>
    <t>SV104-13662</t>
  </si>
  <si>
    <t>SV104-13663</t>
  </si>
  <si>
    <t>SV104-13664</t>
  </si>
  <si>
    <t>SV104-13665</t>
  </si>
  <si>
    <t>SV104-13666</t>
  </si>
  <si>
    <t>SV104-13667</t>
  </si>
  <si>
    <t>SV104-13668</t>
  </si>
  <si>
    <t>SV104-13669</t>
  </si>
  <si>
    <t>SV104-13670</t>
  </si>
  <si>
    <t>SV104-13671</t>
  </si>
  <si>
    <t>SV104-13672</t>
  </si>
  <si>
    <t>SV104-13673</t>
  </si>
  <si>
    <t>SV104-13674</t>
  </si>
  <si>
    <t>SV104-13675</t>
  </si>
  <si>
    <t>SV104-13676</t>
  </si>
  <si>
    <t>SV104-13677</t>
  </si>
  <si>
    <t>SV104-13678</t>
  </si>
  <si>
    <t>SV104-13679</t>
  </si>
  <si>
    <t>SV104-13680</t>
  </si>
  <si>
    <t>SV104-13681</t>
  </si>
  <si>
    <t>SV104-13682</t>
  </si>
  <si>
    <t>SV104-13683</t>
  </si>
  <si>
    <t>SV104-13684</t>
  </si>
  <si>
    <t>SV104-13685</t>
  </si>
  <si>
    <t>SV104-13686</t>
  </si>
  <si>
    <t>SV104-13687</t>
  </si>
  <si>
    <t>SV104-13688</t>
  </si>
  <si>
    <t>SV104-13689</t>
  </si>
  <si>
    <t>SV104-13690</t>
  </si>
  <si>
    <t>SV104-13691</t>
  </si>
  <si>
    <t>SV104-13692</t>
  </si>
  <si>
    <t>SV104-13693</t>
  </si>
  <si>
    <t>SV104-13694</t>
  </si>
  <si>
    <t>SV104-13695</t>
  </si>
  <si>
    <t>SV104-13696</t>
  </si>
  <si>
    <t>SV104-13697</t>
  </si>
  <si>
    <t>SV104-13698</t>
  </si>
  <si>
    <t>SV104-13699</t>
  </si>
  <si>
    <t>SV104-13700</t>
  </si>
  <si>
    <t>SV104-13701</t>
  </si>
  <si>
    <t>SV104-13702</t>
  </si>
  <si>
    <t>SV104-13703</t>
  </si>
  <si>
    <t>SV104-13704</t>
  </si>
  <si>
    <t>SV104-13705</t>
  </si>
  <si>
    <t>SV104-13706</t>
  </si>
  <si>
    <t>SV104-13707</t>
  </si>
  <si>
    <t>SV104-13708</t>
  </si>
  <si>
    <t>SV104-13709</t>
  </si>
  <si>
    <t>SV104-13710</t>
  </si>
  <si>
    <t>SV104-13711</t>
  </si>
  <si>
    <t>SV104-13712</t>
  </si>
  <si>
    <t>SV104-13713</t>
  </si>
  <si>
    <t>SV104-13714</t>
  </si>
  <si>
    <t>SV104-13715</t>
  </si>
  <si>
    <t>SV104-13716</t>
  </si>
  <si>
    <t>SV104-13717</t>
  </si>
  <si>
    <t>SV104-13718</t>
  </si>
  <si>
    <t>SV104-13719</t>
  </si>
  <si>
    <t>SV104-13720</t>
  </si>
  <si>
    <t>SV104-13721</t>
  </si>
  <si>
    <t>SV104-13722</t>
  </si>
  <si>
    <t>SV104-13723</t>
  </si>
  <si>
    <t>SV104-13724</t>
  </si>
  <si>
    <t>SV104-13725</t>
  </si>
  <si>
    <t>SV104-13726</t>
  </si>
  <si>
    <t>SV104-13727</t>
  </si>
  <si>
    <t>SV104-13728</t>
  </si>
  <si>
    <t>SV104-13729</t>
  </si>
  <si>
    <t>SV104-13730</t>
  </si>
  <si>
    <t>SV104-13731</t>
  </si>
  <si>
    <t>SV104-13732</t>
  </si>
  <si>
    <t>SV104-13733</t>
  </si>
  <si>
    <t>SV104-13734</t>
  </si>
  <si>
    <t>SV104-13735</t>
  </si>
  <si>
    <t>SV104-13736</t>
  </si>
  <si>
    <t>SV104-13737</t>
  </si>
  <si>
    <t>SV104-13738</t>
  </si>
  <si>
    <t>SV104-13739</t>
  </si>
  <si>
    <t>SV104-13740</t>
  </si>
  <si>
    <t>SV104-13741</t>
  </si>
  <si>
    <t>SV104-13742</t>
  </si>
  <si>
    <t>SV104-13743</t>
  </si>
  <si>
    <t>SV104-13744</t>
  </si>
  <si>
    <t>SV104-13745</t>
  </si>
  <si>
    <t>SV104-13746</t>
  </si>
  <si>
    <t>SV104-13747</t>
  </si>
  <si>
    <t>SV104-13748</t>
  </si>
  <si>
    <t>SV104-13749</t>
  </si>
  <si>
    <t>SV104-13750</t>
  </si>
  <si>
    <t>SV104-13751</t>
  </si>
  <si>
    <t>SV104-13752</t>
  </si>
  <si>
    <t>SV104-13753</t>
  </si>
  <si>
    <t>SV104-13754</t>
  </si>
  <si>
    <t>SV104-13755</t>
  </si>
  <si>
    <t>SV104-13756</t>
  </si>
  <si>
    <t>SV104-13757</t>
  </si>
  <si>
    <t>SV104-13758</t>
  </si>
  <si>
    <t>SV104-13759</t>
  </si>
  <si>
    <t>SV104-13760</t>
  </si>
  <si>
    <t>SV104-13761</t>
  </si>
  <si>
    <t>SV104-13762</t>
  </si>
  <si>
    <t>SV104-13763</t>
  </si>
  <si>
    <t>SV104-13764</t>
  </si>
  <si>
    <t>Azeem, Talha, Arslan</t>
  </si>
  <si>
    <t>Dr. Shilei</t>
  </si>
  <si>
    <t xml:space="preserve">Continuous Back Porch Current Driver Circuit -  Gate Driver IC Output Voltage Divider Resistors </t>
  </si>
  <si>
    <t>SCR Enable Digital Isolator Circuit - Isolator IC</t>
  </si>
  <si>
    <t>SCR enable signal not available.
SCR will turn on only due to pulse current.</t>
  </si>
  <si>
    <t>SCR Enable Digital Isolator Circuit - Anode/Cathode Resistor</t>
  </si>
  <si>
    <t>Limit current through isolator IC.</t>
  </si>
  <si>
    <t xml:space="preserve">SCR Enable Digital Isolator Circuit - Voltage Divider Resistor </t>
  </si>
  <si>
    <t>To filter input voltages noise.</t>
  </si>
  <si>
    <t>To filter output voltages noise.</t>
  </si>
  <si>
    <t>Optical Transmitter - Data In Pull-down Resistor</t>
  </si>
  <si>
    <t>Limiting current through the circuit.</t>
  </si>
  <si>
    <t xml:space="preserve">Biasing voltage not available to transistor.
No immediate effect. </t>
  </si>
  <si>
    <t>Optical Transmitter Data In Pull-down Resistor</t>
  </si>
  <si>
    <t>Revision History</t>
  </si>
  <si>
    <t>Date</t>
  </si>
  <si>
    <t>Version</t>
  </si>
  <si>
    <t>Updated FMECA based on the Rev1 schematic done by PS19 QPI team.</t>
  </si>
  <si>
    <t>Updated the FMECA based on the feedback received from PS19 Hardware team for the improvements by PS19 QPI team.</t>
  </si>
  <si>
    <t>Initial draft based on Rev0. schematic.</t>
  </si>
  <si>
    <t>Updated FMECA based on the Rev2 schematic done by PS19 QPI team.</t>
  </si>
  <si>
    <t>Reviewed and updated by PS19 Hardware team for the changes done based on the Rev2 schematic</t>
  </si>
  <si>
    <t>SmartValve 10-1800 v1.04 - Wiring Drawing -  Bypass, MVAr Section Harnesses Diagram, PHT Shorting and Capacitor Voltage Measurement Blocks</t>
  </si>
  <si>
    <t>v2</t>
  </si>
  <si>
    <t>Enable pin of regulator IC will experience greater than Max(8.4V) voltages which will damage the regulator permanently.
Redundant 5 V supply will provide power to onboard electronics</t>
  </si>
  <si>
    <t>Overcurrent will cause the resistor to eventually fail-open.
Enable pin of regulator IC will experience greater than Max(8.4V) voltages which will damage the regulator permanently
Redundant 5 V supply will provide power to onboard electronics</t>
  </si>
  <si>
    <t>Voltage maintenance at regulator's output will be affected if heavily loaded. 
The overall circuit might get damaged permanently due to voltage spikes</t>
  </si>
  <si>
    <t>Internal MOSFET's source will be shorted to ground.
Loss of single 5 V supply.
Redundant 5 V supply will provide power to onboard electronics</t>
  </si>
  <si>
    <t>Unstable operating of the switch mode power supply will happen.
Loss of single 5 V supply.
On-board electronics might get damaged due to unstable operation.</t>
  </si>
  <si>
    <t xml:space="preserve">To control the overall response of the IC's control system.
</t>
  </si>
  <si>
    <t>IC response will cause supply to be affected.
Performance of onboard surge detection circuit for positive half cycle.</t>
  </si>
  <si>
    <t xml:space="preserve">Noise filtration will be affected.
Board performance might be affected. 
</t>
  </si>
  <si>
    <t xml:space="preserve">30V supply directly shorted to ground. 
Loss of power to the board.
</t>
  </si>
  <si>
    <t>No immediate effect.
The respective active device will get stuck at low or high output.
Cascading shortage of supply voltage capacitors may cause reduction of single SCR gate current.
5V supply loss.</t>
  </si>
  <si>
    <t xml:space="preserve">
Loss of single 5 V supply.
Redundant 5 V supply will provide power to onboard electronics</t>
  </si>
  <si>
    <t xml:space="preserve">Loss of negative 5 V supply.
Onboard line current sensing in negative cycle will be affected. </t>
  </si>
  <si>
    <t xml:space="preserve">Negative over-voltage will happen and on-board electronics may get damaged
Loss of negative 5 V supply.
Onboard line current sensing in negative cycle will be affected. </t>
  </si>
  <si>
    <t xml:space="preserve">Overcurrent will cause the resistor to eventually fail-open.
Loss of negative 5 V supply.
Onboard line current sensing in negative cycle will be affected. </t>
  </si>
  <si>
    <t>Updated the FMECA based on the feedback received from PS19 Hardware team for the improvements by PS19 QPI team based on Rev2 schematics.</t>
  </si>
  <si>
    <t>Haris, Abdul Qadeer, Noman Akbar</t>
  </si>
  <si>
    <t>There will be an initial  back porch pulse after which back porch current will not be available.
During the shorting event if the pulse current is enough to latch the SCR, system may transit to monitoring mode.</t>
  </si>
  <si>
    <t>SCR gate current triggered continuously for 2 SCR channels in worst case.
Device cannot enter into injection mode.
At line current above 9-15 kA Pk, the affected SCRs will start conducting.</t>
  </si>
  <si>
    <t>All SCRs will be continuously triggered.
Device cannot enter into injection mode.
At line current above 9-15 kA Pk, the affected SCRs will start conducting.</t>
  </si>
  <si>
    <t>Updated the FMECA based on the feedback received from SmartWires team for the improvements by PS19 QPI team based on Rev2 schematics.</t>
  </si>
  <si>
    <t>If device was in injection mode it will switch to monitoring mode.
Device will remain in Monitoring mode as long as this issue persists.</t>
  </si>
  <si>
    <t>Telemetry</t>
  </si>
  <si>
    <t>In Bypass Telemetry field 'SCR and Clamp Board Status' will show following:
Cable break detected</t>
  </si>
  <si>
    <t>5 V supply will be lost.
Redundant 5 V supply will provide power to onboard electronics</t>
  </si>
  <si>
    <t>Device's default behavior will be to disallow injection mode operation. The device is capable of injection, however, and end user may request to override this protection.</t>
  </si>
  <si>
    <t>No filtration available for noise.
Noise can affect performance of onboard electronics</t>
  </si>
  <si>
    <t>On board Surge detection signal will continuously trigger SCRs.
Device will not be able to switch to Injection mode.</t>
  </si>
  <si>
    <t>Anode shorted to cathode.
Single SCR enable signal not available.</t>
  </si>
  <si>
    <t>Single SCR enable signal not available.
SCR will turn on only due to pulse current.</t>
  </si>
  <si>
    <t>No immediate effect.
There is not enough current to cause opening of diode, so only voltage compensation will be lost and less then 12 V will be produced affecting the operation of SCR gate current circuit to some extent.</t>
  </si>
  <si>
    <t>In Bypass Telemetry field 'SCR and Clamp Board Status' will show following:
SCR 1 (Output Side): Two SCRs Fired
OR
SCR 2 (Mid 1 Side): Two SCRs Fired
OR
SCR 3 (Mid 2 Side): Two SCRs Fired
OR
SCR 4 (Input Side): Two SCRs Fired</t>
  </si>
  <si>
    <t>In Bypass Telemetry field 'SCR and Clamp Board Status' will show following:
SCR 1 (Output Side): SCRs On
OR
SCR 2 (Mid 1 Side): SCRs On
OR
SCR 3 (Mid 2 Side): SCRs On
OR
SCR 4 (Input Side): SCRs On</t>
  </si>
  <si>
    <t>"In Bypass Telemetry field 'SCR and Clamp Board Status' will show following:
SCR 1 (Output Side): Two SCRs Low Power Fired (1 Clamp) OR Two SCRs Fired (2 Clamps)
OR
SCR 2 (Mid 1 Side):  Two SCRs Low Power Fired (1 Clamp) OR Two SCRs Fired (2 Clamps)
OR
SCR 3 (Mid 2 Side):  Two SCRs Low Power Fired (1 Clamp) OR Two SCRs Fired (2 Clamps)
OR
SCR 4 (Input Side):  Two SCRs Low Power Fired (1 Clamp) OR Two SCRs Fired (2 Clamps)</t>
  </si>
  <si>
    <t>In Bypass Telemetry field 'SCR and Clamp Board Status' will show following:
SCR 1 (Output Side): SCRs Off
OR
SCR 2 (Mid 1 Side): SCRs Off
OR
SCR 3 (Mid 2 Side): SCRs Off
OR
SCR 4 (Input Side): SCRs Off</t>
  </si>
  <si>
    <t>"In Bypass Telemetry field 'SCR and Clamp Board Status' will show following:
SCR 1 (Output Side): SCRs On
OR
SCR 2 (Mid 1 Side): SCRs On
OR
SCR 3 (Mid 2 Side): SCRs On
OR
SCR 4 (Input Side):  SCRs On</t>
  </si>
  <si>
    <t>"In Bypass Telemetry field 'SCR and Clamp Board Status' will show following:
SCR 1 (Output Side): SCRs On
OR
SCR 2 (Mid 1 Side):  SCRs On
OR
SCR 3 (Mid 2 Side):  SCRs On
OR
SCR 4 (Input Side):  SCRs On</t>
  </si>
  <si>
    <t>"In Bypass Telemetry field 'SCR and Clamp Board Status' will show following:
SCR 1 (Output Side): SCRs On
OR
SCR 2 (Mid 1 Side):  SCRs On
OR
SCR 3 (Mid 2 Side):  TSCRs On
OR
SCR 4 (Input Side):  SCRs On</t>
  </si>
  <si>
    <t>On-board line current sensing will be affected. 
False overcurrent/surge events may be triggered.
Device will leave injection mode as long as false surge events is detected.</t>
  </si>
  <si>
    <t>Input shorted with ground.
2.5V supply not available to the board.
False overcurrent/surge events may be triggered.
Device will leave injection mode as long as false surge events is detected.</t>
  </si>
  <si>
    <t>Input shorted with ground.
2.5V supply not available to the board.
False overcurrent/surge events may be triggered.
Device will leave injection mode as long as false surge events is detected.</t>
  </si>
  <si>
    <t>SmartValve 10-1800 v1.04 - SCRD Gate Driver Board Rev2 (P112269 / P112262) - Potential Failure Mode Effects and Criticality Analysis (Design FMECA)</t>
  </si>
  <si>
    <t>Updated the FMECA Alarms and Telemetry by PS19 QPI team based on Rev2 schematics.</t>
  </si>
  <si>
    <t xml:space="preserve">Old Nomenclature </t>
  </si>
  <si>
    <t>New Nomenclature</t>
  </si>
  <si>
    <t>iiSC</t>
  </si>
  <si>
    <t>CC</t>
  </si>
  <si>
    <t>Convertor Controller</t>
  </si>
  <si>
    <t>iiGD</t>
  </si>
  <si>
    <t>IMD</t>
  </si>
  <si>
    <t>IGBT Module Driver</t>
  </si>
  <si>
    <t>iiDCE</t>
  </si>
  <si>
    <t>SVMC</t>
  </si>
  <si>
    <t>SmartValve Master Controller</t>
  </si>
  <si>
    <t>MPS</t>
  </si>
  <si>
    <t>Multi-Port Power Supply</t>
  </si>
  <si>
    <t>iSCR</t>
  </si>
  <si>
    <t>SCRD-F</t>
  </si>
  <si>
    <t>SCR Drive – Follower</t>
  </si>
  <si>
    <t>PHT-DC-PSB</t>
  </si>
  <si>
    <t>PHTR</t>
  </si>
  <si>
    <t xml:space="preserve">PHT Rectifier </t>
  </si>
  <si>
    <t>iVSL</t>
  </si>
  <si>
    <t>VSLD</t>
  </si>
  <si>
    <t>Vacuum Switch Link Drive</t>
  </si>
  <si>
    <t>iClamp</t>
  </si>
  <si>
    <t>Clamp</t>
  </si>
  <si>
    <t xml:space="preserve">Clamp </t>
  </si>
  <si>
    <t>HV-Iso Board (Rectifier)</t>
  </si>
  <si>
    <t>IPSR</t>
  </si>
  <si>
    <t>PCBA, Isolation Power Supply Rectifier</t>
  </si>
  <si>
    <t>HV-Iso Board (Input side)</t>
  </si>
  <si>
    <t> IPSI</t>
  </si>
  <si>
    <t>PCBA, Isolation Power Supply Inverter</t>
  </si>
  <si>
    <r>
      <rPr>
        <b/>
        <sz val="8"/>
        <rFont val="Arial"/>
        <family val="2"/>
      </rPr>
      <t>Note:</t>
    </r>
    <r>
      <rPr>
        <sz val="8"/>
        <rFont val="Arial"/>
        <family val="2"/>
      </rPr>
      <t xml:space="preserve"> 10-1800 has old nomenclature, whereas in 10-3600, new nomenclature will be used</t>
    </r>
  </si>
  <si>
    <t>SCRD Gate Driver Board Rev2 (P112269 / P112262)</t>
  </si>
  <si>
    <t>SCRD Gate Driver Board - Power Supply Section</t>
  </si>
  <si>
    <t>Loss of negative 5 V supply.
Onboard negative cycle line current sensing in one cycle will be affected. Surge detection will be affected. 
Worst case scenario, SCRD board will not be able to trigger SCR due to on-board detection.</t>
  </si>
  <si>
    <t>30V supply will directly appear across UVLO pin and will damage the IC.
Worst case scenario Loss of negative 5 V supply.
Onboard negative cycle line current sensing in one cycle will be affected. Surge detection will be affected. 
Worst case scenario, SCRD board will not be able to trigger SCR due to on-board detection.</t>
  </si>
  <si>
    <t xml:space="preserve">Loss of negative 5 V supply.
Onboard line current sensing in negative cycle will be affected. Surge detection will be affected. 
Worst case scenario, SCRD board will not be able to trigger SCR due to on-board detection.
</t>
  </si>
  <si>
    <t>Loss of negative 5 V supply.
Onboard line current sensing in negative cycle will be affected. Surge detection will be affected. 
Worst case scenario, SCRD board will not be able to trigger SCR due to on-board detection.</t>
  </si>
  <si>
    <t>Loss of single negative 5 V supply.
Onboard electronics using negative 5V supply will loose functioning voltages
Surge detection will be affected. 
Worst case scenario, SCRD board will not be able to trigger SCR due to on-board detection.</t>
  </si>
  <si>
    <t>Negative 5V supply will be shorted to ground.
On-board components will not be powered up till the time capacitor remains shorted. 
Surge detection will be affected. 
Worst case scenario, SCRD board will not be able to trigger SCR due to on-board detection.</t>
  </si>
  <si>
    <t>Surge Signal will not be available SCRD board.
In case of a Surge event SCRs will be triggered through on board sensor.</t>
  </si>
  <si>
    <t>Redundant surge sensors.
In case of injection SV current sensor will trigger fault protection.
Dedicated surge detection sensor on SVMC board will be used for fault protection.</t>
  </si>
  <si>
    <t>Usage of over-rated resistors. 
Redundant surge sensors.
In case of injection SV current sensor will trigger fault protection.
Dedicated surge detection sensor on SVMC board will be used for fault protection.</t>
  </si>
  <si>
    <t>Usage of over-rated resistors. 
Dedicated surge detection sensor on SVMC board will be used for fault protection.</t>
  </si>
  <si>
    <t>SVMC board Interface - Optical Cable.</t>
  </si>
  <si>
    <t>SVMC board will lose control of 2 SCRs in worst case.
SVMC board will be unable to initiate the trigger for 2 SCRs when moving from injection mode to monitoring mode and vice-versa.
In case of a surge current event, all SCRs will be triggered through on board sensor.</t>
  </si>
  <si>
    <t>SVMC board will lose control of all SCRs in one direction in worst case.
SVMC board will be unable to initiate the trigger for all SCRs when moving from injection mode to monitoring mode and vice versa.
In case of a surge current event, all SCRs will be triggered through on board sensor.</t>
  </si>
  <si>
    <t>SVMC board will lose control of 2 SCRs in worst case.
SVMC board will be unable to initiate the trigger for 3 SCRs when moving from injection mode to monitoring mode and vice versa.
In case of a surge current event, all SCRs will be triggered through on board sensor.</t>
  </si>
  <si>
    <t>Provide optical feedback signal to SVMC board.</t>
  </si>
  <si>
    <t>On board Surge detection not available to fire SCRs due to Surge Detection.
SVMC board will still be able to trigger SCRs in case of Surge Detection.</t>
  </si>
  <si>
    <t xml:space="preserve">5V Supply gets shorted to ground.
On board SCR gate current feedback not available to SVMC board. </t>
  </si>
  <si>
    <t>No immediate effect.
There maybe a floating point voltage that can cause a false signal. 
On board SCR gate current feedback to SVMC board might be compromised.</t>
  </si>
  <si>
    <t>No input voltages available at the pin.
Transmitter will not be able to send any signal.
On board SCR gate current feedback not available to SVMC board.</t>
  </si>
  <si>
    <t xml:space="preserve">Incorrect on-board SCR gate current feedback  transmitted to SVMC board.
</t>
  </si>
  <si>
    <t xml:space="preserve">On board SCR gate current feedback not available to SVMC board.
</t>
  </si>
  <si>
    <t>AND gate input shorted to ground.
IC output permanently low.
On board SCR gate current feedback not available to SVMC board.</t>
  </si>
  <si>
    <t>Overcurrent will cause the resistor to eventually fail-open.
Incorrect on-board SCR gate current feedback  transmitted to SVMC board.</t>
  </si>
  <si>
    <t>No charging/discharging  path available for 555 timer.
No Gate current feedback status is available to SVMC board.</t>
  </si>
  <si>
    <t>555 timer operation is compromised.
Gate current feedback not available to SVMC board.</t>
  </si>
  <si>
    <t>Functional Testing.
Thermal and Relative Humidity Testing.
Condensed Humidity Testing.
EFT Testing.
Vibration Testing.
ATM Testing.
MVAr Testing.
Pre-Closure Testing.
EOL Testing.</t>
  </si>
  <si>
    <t>On SmartInterface following Alarm will be raised:
SCR Driver Board Malfunctioning</t>
  </si>
  <si>
    <t>One 'Enable' optical signals between SVMC board   and SCR driver board becomes disconnected.</t>
  </si>
  <si>
    <t>Both 'Enable' optical signals between SVMC board   and SCR driver board become disconnected.</t>
  </si>
  <si>
    <t xml:space="preserve">On SmartInterface following Alarm will be raised:
Permanent Injection Lockout </t>
  </si>
  <si>
    <t>Noise may cause a maximum of 1.5 seconds false trigger of SCRs 
In case of false trigger, device will temporarily switch to Monitoring mode.</t>
  </si>
  <si>
    <t>False overcurrent/surge events may be triggered.
Device may be unable to detect overcurrent/surge scenarios using line current sensing capability.
Dedicated surge detection sensor on SVMC board   will be used for fault protection.</t>
  </si>
  <si>
    <t>Device will switch to monitoring mode temporarily.
Device will switch back to injection after 1.4 seconds.</t>
  </si>
  <si>
    <t>Affected device and its associated group of devices will transit to monitoring mode temporarility.</t>
  </si>
  <si>
    <t xml:space="preserve">No power to the affected SCR gate driver board. 
Fault-current handling not available in one direction.
Device will be unable to initiate the trigger for all SCRs in one direction when moving from injection mode to monitoring mode and vice-versa, </t>
  </si>
  <si>
    <t>Vibration.
Improper bend radius during assembly.
PSB connectivity failure from SCR.</t>
  </si>
  <si>
    <t>Input power redundancy lost to one SCR gate driver board.
If second power is affected the SCR gate driver board will not be functional.</t>
  </si>
  <si>
    <t xml:space="preserve">No power to the affected SCR gate driver board. 
Fault-current handling not available in one direction.
Device will be unable to initiate the trigger for all SCRs in one direction when moving from injection mode to monitoring mode and vice versa.
</t>
  </si>
  <si>
    <t xml:space="preserve">Both 30 V rails will be shorted to ground. 
No power to the affected SCR gate driver board. 
Fault-current handling not available in one direction.
Device will be unable to initiate the trigger for all SCRs in one direction when moving from injection mode to monitoring mode and vice versa.
</t>
  </si>
  <si>
    <t xml:space="preserve">5V supply not available to the affected SCR gate driver board. 
</t>
  </si>
  <si>
    <t>SCR Gate Driver Board - SVMC board Interface</t>
  </si>
  <si>
    <t xml:space="preserve">On SmartInterface following Alarm will be raised:
If SCR &gt; 100
SCR Failed Short 
If Line Current &gt; 80A &amp;&amp; SCR firing duration = 10 mins
SCR Prolong Firing 
</t>
  </si>
  <si>
    <t>Interface SVMC board with SCR driver board.</t>
  </si>
  <si>
    <t>In Bypass Telemetry field 'SCR Current' will show 
SCR &lt; 40A</t>
  </si>
  <si>
    <t>SCR Gate Driver Board - Isolated Constant Current Circuit</t>
  </si>
  <si>
    <t>SCR Gate Driver Board - CTP Volt Level Detector &amp; One Shot Circuit</t>
  </si>
  <si>
    <t xml:space="preserve">SCR Gate Driver Board - Surge Detector </t>
  </si>
  <si>
    <t>SCR Gate Driver Board - Synchronizer</t>
  </si>
  <si>
    <t xml:space="preserve">On SmartInterface following Alarm will be raised:
If SCR &lt; 100
Permanent Injection Lockout </t>
  </si>
  <si>
    <t>SCR Gate Driver Board - Gate Current Feedback</t>
  </si>
  <si>
    <t>5V Supply gets shorted to ground.
No local power to the affected SCR gate driver board. 
Fault-current handling not available in one direction.
Device will be unable to initiate the trigger for all SCRs in one direction when moving from injection mode to monitoring mode and vice-versa.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</si>
</sst>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09]d\-mmm\-yy;@"/>
    <numFmt numFmtId="165" formatCode="0.0"/>
  </numFmts>
  <fonts count="32"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b/>
      <sz val="16"/>
      <name val="Arial"/>
      <family val="2"/>
    </font>
    <font>
      <sz val="16"/>
      <name val="Arial"/>
      <family val="2"/>
    </font>
    <font>
      <sz val="8"/>
      <name val="Arial"/>
      <family val="2"/>
    </font>
    <font>
      <b/>
      <sz val="12"/>
      <name val="Arial"/>
      <family val="2"/>
    </font>
    <font>
      <sz val="12"/>
      <name val="Arial"/>
      <family val="2"/>
    </font>
    <font>
      <b/>
      <i/>
      <sz val="16"/>
      <name val="Arial"/>
      <family val="2"/>
    </font>
    <font>
      <sz val="12"/>
      <name val="Calibri"/>
      <family val="2"/>
    </font>
    <font>
      <vertAlign val="subscript"/>
      <sz val="12"/>
      <name val="Arial"/>
      <family val="2"/>
    </font>
    <font>
      <vertAlign val="subscript"/>
      <sz val="12"/>
      <name val="Calibri"/>
      <family val="2"/>
    </font>
    <font>
      <sz val="14"/>
      <name val="Calibri"/>
      <family val="2"/>
    </font>
    <font>
      <sz val="14"/>
      <name val="Arial"/>
      <family val="2"/>
    </font>
    <font>
      <sz val="10"/>
      <color rgb="FF9C6500"/>
      <name val="Arial"/>
      <family val="2"/>
    </font>
    <font>
      <b/>
      <sz val="14"/>
      <name val="Arial"/>
      <family val="2"/>
    </font>
    <font>
      <sz val="8"/>
      <name val="Verdana"/>
      <family val="2"/>
    </font>
    <font>
      <b/>
      <sz val="12"/>
      <color theme="0"/>
      <name val="Arial"/>
      <family val="2"/>
    </font>
    <font>
      <b/>
      <sz val="16"/>
      <color theme="0"/>
      <name val="Arial"/>
      <family val="2"/>
    </font>
    <font>
      <sz val="11"/>
      <color theme="1"/>
      <name val="Calibri"/>
      <family val="2"/>
      <scheme val="minor"/>
    </font>
    <font>
      <b/>
      <sz val="9.5"/>
      <name val="Arial"/>
      <family val="2"/>
    </font>
    <font>
      <sz val="12"/>
      <color theme="1"/>
      <name val="Arial"/>
      <family val="2"/>
    </font>
    <font>
      <b/>
      <sz val="12"/>
      <color theme="1"/>
      <name val="Arial"/>
      <family val="2"/>
    </font>
    <font>
      <b/>
      <i/>
      <sz val="16"/>
      <color theme="0"/>
      <name val="Arial"/>
      <family val="2"/>
    </font>
    <font>
      <sz val="8"/>
      <name val="Arial"/>
      <family val="2"/>
    </font>
    <font>
      <sz val="10"/>
      <name val="Arial"/>
      <family val="2"/>
    </font>
    <font>
      <u/>
      <sz val="10"/>
      <color theme="10"/>
      <name val="Arial"/>
      <family val="2"/>
    </font>
    <font>
      <strike/>
      <sz val="10"/>
      <name val="Arial"/>
      <family val="2"/>
    </font>
    <font>
      <sz val="9"/>
      <name val="Verdana"/>
      <family val="2"/>
    </font>
    <font>
      <b/>
      <sz val="8"/>
      <name val="Arial"/>
      <family val="2"/>
    </font>
  </fonts>
  <fills count="23">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indexed="52"/>
        <bgColor indexed="64"/>
      </patternFill>
    </fill>
    <fill>
      <patternFill patternType="solid">
        <fgColor indexed="43"/>
        <bgColor indexed="64"/>
      </patternFill>
    </fill>
    <fill>
      <patternFill patternType="solid">
        <fgColor indexed="57"/>
        <bgColor indexed="64"/>
      </patternFill>
    </fill>
    <fill>
      <patternFill patternType="solid">
        <fgColor indexed="13"/>
        <bgColor indexed="64"/>
      </patternFill>
    </fill>
    <fill>
      <patternFill patternType="solid">
        <fgColor indexed="42"/>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EB9C"/>
      </patternFill>
    </fill>
    <fill>
      <patternFill patternType="solid">
        <fgColor theme="0" tint="-0.34998626667073579"/>
        <bgColor indexed="64"/>
      </patternFill>
    </fill>
    <fill>
      <patternFill patternType="solid">
        <fgColor rgb="FF3D6DA1"/>
        <bgColor indexed="64"/>
      </patternFill>
    </fill>
    <fill>
      <patternFill patternType="solid">
        <fgColor rgb="FFF2900E"/>
        <bgColor indexed="64"/>
      </patternFill>
    </fill>
    <fill>
      <patternFill patternType="solid">
        <fgColor theme="0" tint="-0.14999847407452621"/>
        <bgColor indexed="64"/>
      </patternFill>
    </fill>
    <fill>
      <patternFill patternType="solid">
        <fgColor rgb="FF314672"/>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right/>
      <top style="thin">
        <color indexed="55"/>
      </top>
      <bottom style="thin">
        <color indexed="55"/>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medium">
        <color indexed="64"/>
      </right>
      <top style="medium">
        <color indexed="64"/>
      </top>
      <bottom style="double">
        <color indexed="64"/>
      </bottom>
      <diagonal/>
    </border>
    <border>
      <left/>
      <right style="thin">
        <color indexed="64"/>
      </right>
      <top/>
      <bottom/>
      <diagonal/>
    </border>
    <border>
      <left style="thin">
        <color indexed="64"/>
      </left>
      <right/>
      <top style="thin">
        <color indexed="64"/>
      </top>
      <bottom/>
      <diagonal/>
    </border>
    <border>
      <left style="medium">
        <color indexed="64"/>
      </left>
      <right style="thin">
        <color indexed="64"/>
      </right>
      <top style="double">
        <color indexed="64"/>
      </top>
      <bottom/>
      <diagonal/>
    </border>
    <border>
      <left style="thin">
        <color indexed="64"/>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1"/>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1" tint="0.499984740745262"/>
      </right>
      <top style="medium">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1" tint="0.499984740745262"/>
      </right>
      <top style="medium">
        <color theme="0" tint="-0.499984740745262"/>
      </top>
      <bottom style="medium">
        <color theme="0" tint="-0.499984740745262"/>
      </bottom>
      <diagonal/>
    </border>
    <border>
      <left/>
      <right style="thin">
        <color theme="1"/>
      </right>
      <top style="thin">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double">
        <color indexed="64"/>
      </bottom>
      <diagonal/>
    </border>
    <border>
      <left style="medium">
        <color theme="0" tint="-0.499984740745262"/>
      </left>
      <right style="thin">
        <color theme="0" tint="-0.24994659260841701"/>
      </right>
      <top style="medium">
        <color theme="0" tint="-0.499984740745262"/>
      </top>
      <bottom/>
      <diagonal/>
    </border>
    <border>
      <left style="thin">
        <color theme="0" tint="-0.24994659260841701"/>
      </left>
      <right style="thin">
        <color theme="0" tint="-0.24994659260841701"/>
      </right>
      <top style="medium">
        <color theme="0" tint="-0.499984740745262"/>
      </top>
      <bottom/>
      <diagonal/>
    </border>
    <border>
      <left style="thin">
        <color theme="0" tint="-0.24994659260841701"/>
      </left>
      <right style="medium">
        <color theme="1" tint="0.499984740745262"/>
      </right>
      <top style="medium">
        <color theme="0" tint="-0.499984740745262"/>
      </top>
      <bottom/>
      <diagonal/>
    </border>
    <border>
      <left style="medium">
        <color theme="0" tint="-0.499984740745262"/>
      </left>
      <right style="thin">
        <color theme="0" tint="-0.24994659260841701"/>
      </right>
      <top/>
      <bottom style="medium">
        <color theme="0" tint="-0.499984740745262"/>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thin">
        <color theme="0" tint="-0.499984740745262"/>
      </bottom>
      <diagonal/>
    </border>
    <border>
      <left style="thin">
        <color theme="1" tint="0.499984740745262"/>
      </left>
      <right/>
      <top style="medium">
        <color theme="1" tint="0.499984740745262"/>
      </top>
      <bottom style="thin">
        <color theme="0" tint="-0.499984740745262"/>
      </bottom>
      <diagonal/>
    </border>
    <border>
      <left/>
      <right style="medium">
        <color theme="1" tint="0.499984740745262"/>
      </right>
      <top style="medium">
        <color theme="1" tint="0.499984740745262"/>
      </top>
      <bottom style="thin">
        <color theme="0"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top style="thin">
        <color theme="0" tint="-0.499984740745262"/>
      </top>
      <bottom style="medium">
        <color theme="1" tint="0.499984740745262"/>
      </bottom>
      <diagonal/>
    </border>
    <border>
      <left/>
      <right style="medium">
        <color theme="1" tint="0.499984740745262"/>
      </right>
      <top style="thin">
        <color theme="0" tint="-0.499984740745262"/>
      </top>
      <bottom style="medium">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top/>
      <bottom style="medium">
        <color theme="0" tint="-0.499984740745262"/>
      </bottom>
      <diagonal/>
    </border>
    <border>
      <left/>
      <right/>
      <top style="thin">
        <color indexed="64"/>
      </top>
      <bottom style="thin">
        <color indexed="64"/>
      </bottom>
      <diagonal/>
    </border>
    <border>
      <left/>
      <right style="thin">
        <color theme="0" tint="-0.499984740745262"/>
      </right>
      <top style="medium">
        <color theme="0" tint="-0.499984740745262"/>
      </top>
      <bottom style="medium">
        <color theme="0" tint="-0.499984740745262"/>
      </bottom>
      <diagonal/>
    </border>
    <border>
      <left/>
      <right style="thin">
        <color theme="0" tint="-0.24994659260841701"/>
      </right>
      <top style="medium">
        <color theme="0" tint="-0.499984740745262"/>
      </top>
      <bottom/>
      <diagonal/>
    </border>
    <border>
      <left style="medium">
        <color indexed="64"/>
      </left>
      <right/>
      <top style="thin">
        <color indexed="64"/>
      </top>
      <bottom style="thin">
        <color indexed="64"/>
      </bottom>
      <diagonal/>
    </border>
    <border>
      <left/>
      <right/>
      <top style="medium">
        <color theme="0" tint="-0.499984740745262"/>
      </top>
      <bottom/>
      <diagonal/>
    </border>
    <border>
      <left style="thin">
        <color indexed="64"/>
      </left>
      <right style="thin">
        <color indexed="64"/>
      </right>
      <top style="medium">
        <color theme="0" tint="-0.499984740745262"/>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theme="0" tint="-0.24994659260841701"/>
      </left>
      <right style="thin">
        <color theme="0" tint="-0.24994659260841701"/>
      </right>
      <top/>
      <bottom/>
      <diagonal/>
    </border>
    <border>
      <left style="thin">
        <color theme="0" tint="-0.24994659260841701"/>
      </left>
      <right style="medium">
        <color theme="1" tint="0.499984740745262"/>
      </right>
      <top/>
      <bottom/>
      <diagonal/>
    </border>
    <border>
      <left style="thin">
        <color theme="0" tint="-0.24994659260841701"/>
      </left>
      <right style="medium">
        <color theme="1" tint="0.499984740745262"/>
      </right>
      <top style="medium">
        <color theme="0" tint="-0.499984740745262"/>
      </top>
      <bottom style="thin">
        <color theme="0" tint="-0.24994659260841701"/>
      </bottom>
      <diagonal/>
    </border>
    <border>
      <left style="medium">
        <color theme="0" tint="-0.499984740745262"/>
      </left>
      <right style="thin">
        <color theme="0" tint="-0.24994659260841701"/>
      </right>
      <top style="medium">
        <color theme="0" tint="-0.499984740745262"/>
      </top>
      <bottom style="medium">
        <color theme="0" tint="-0.499984740745262"/>
      </bottom>
      <diagonal/>
    </border>
    <border>
      <left style="thin">
        <color theme="0" tint="-0.24994659260841701"/>
      </left>
      <right style="thin">
        <color theme="0" tint="-0.24994659260841701"/>
      </right>
      <top style="medium">
        <color theme="0" tint="-0.499984740745262"/>
      </top>
      <bottom style="medium">
        <color theme="0" tint="-0.499984740745262"/>
      </bottom>
      <diagonal/>
    </border>
    <border>
      <left style="thin">
        <color theme="0" tint="-0.24994659260841701"/>
      </left>
      <right style="medium">
        <color theme="1" tint="0.499984740745262"/>
      </right>
      <top style="medium">
        <color theme="0" tint="-0.499984740745262"/>
      </top>
      <bottom style="medium">
        <color theme="0" tint="-0.499984740745262"/>
      </bottom>
      <diagonal/>
    </border>
  </borders>
  <cellStyleXfs count="12">
    <xf numFmtId="0" fontId="0" fillId="0" borderId="0"/>
    <xf numFmtId="0" fontId="16" fillId="17" borderId="0" applyNumberFormat="0" applyBorder="0" applyAlignment="0" applyProtection="0"/>
    <xf numFmtId="0" fontId="3" fillId="0" borderId="0"/>
    <xf numFmtId="43" fontId="3" fillId="0" borderId="0" applyFont="0" applyFill="0" applyBorder="0" applyAlignment="0" applyProtection="0"/>
    <xf numFmtId="0" fontId="21" fillId="0" borderId="0"/>
    <xf numFmtId="0" fontId="2" fillId="0" borderId="0"/>
    <xf numFmtId="0" fontId="16" fillId="17" borderId="0" applyNumberFormat="0" applyBorder="0" applyAlignment="0" applyProtection="0"/>
    <xf numFmtId="0" fontId="27" fillId="0" borderId="0"/>
    <xf numFmtId="0" fontId="28" fillId="0" borderId="0" applyNumberFormat="0" applyFill="0" applyBorder="0" applyAlignment="0" applyProtection="0"/>
    <xf numFmtId="0" fontId="1" fillId="0" borderId="0"/>
    <xf numFmtId="0" fontId="1" fillId="0" borderId="0"/>
    <xf numFmtId="0" fontId="1" fillId="0" borderId="0"/>
  </cellStyleXfs>
  <cellXfs count="386">
    <xf numFmtId="0" fontId="0" fillId="0" borderId="0" xfId="0"/>
    <xf numFmtId="0" fontId="0" fillId="2" borderId="2" xfId="0" applyFill="1" applyBorder="1"/>
    <xf numFmtId="0" fontId="8" fillId="2" borderId="2" xfId="0" applyFont="1" applyFill="1" applyBorder="1"/>
    <xf numFmtId="0" fontId="0" fillId="0" borderId="0" xfId="0"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0" fillId="0" borderId="26" xfId="0" applyBorder="1"/>
    <xf numFmtId="0" fontId="0" fillId="0" borderId="27" xfId="0" applyBorder="1"/>
    <xf numFmtId="0" fontId="15" fillId="7" borderId="24" xfId="0" applyFont="1" applyFill="1" applyBorder="1" applyAlignment="1">
      <alignment horizontal="center" vertical="center"/>
    </xf>
    <xf numFmtId="0" fontId="15" fillId="8" borderId="24" xfId="0" applyFont="1" applyFill="1" applyBorder="1" applyAlignment="1">
      <alignment horizontal="center" vertical="center"/>
    </xf>
    <xf numFmtId="0" fontId="15" fillId="4" borderId="3"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7" borderId="21" xfId="0" applyFont="1" applyFill="1" applyBorder="1" applyAlignment="1">
      <alignment horizontal="center" vertical="center"/>
    </xf>
    <xf numFmtId="0" fontId="15" fillId="8" borderId="17" xfId="0" applyFont="1" applyFill="1" applyBorder="1" applyAlignment="1">
      <alignment horizontal="center" vertical="center"/>
    </xf>
    <xf numFmtId="0" fontId="15" fillId="8" borderId="15" xfId="0" applyFont="1" applyFill="1" applyBorder="1" applyAlignment="1">
      <alignment horizontal="center" vertical="center"/>
    </xf>
    <xf numFmtId="0" fontId="15" fillId="4" borderId="25" xfId="0" applyFont="1" applyFill="1" applyBorder="1" applyAlignment="1">
      <alignment horizontal="center" vertical="center"/>
    </xf>
    <xf numFmtId="0" fontId="15" fillId="4"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7" xfId="0" applyFont="1" applyFill="1" applyBorder="1" applyAlignment="1">
      <alignment horizontal="center" vertical="center"/>
    </xf>
    <xf numFmtId="0" fontId="15" fillId="4" borderId="23" xfId="0" applyFont="1" applyFill="1" applyBorder="1" applyAlignment="1">
      <alignment horizontal="center" vertical="center"/>
    </xf>
    <xf numFmtId="0" fontId="15" fillId="7" borderId="1" xfId="0" applyFont="1" applyFill="1" applyBorder="1" applyAlignment="1">
      <alignment horizontal="center" vertical="center"/>
    </xf>
    <xf numFmtId="0" fontId="15" fillId="8" borderId="28" xfId="0" applyFont="1" applyFill="1" applyBorder="1" applyAlignment="1">
      <alignment horizontal="center" vertical="center"/>
    </xf>
    <xf numFmtId="0" fontId="15" fillId="7" borderId="25" xfId="0" applyFont="1" applyFill="1" applyBorder="1" applyAlignment="1">
      <alignment horizontal="center" vertical="center"/>
    </xf>
    <xf numFmtId="0" fontId="15" fillId="7" borderId="19" xfId="0" applyFont="1" applyFill="1" applyBorder="1" applyAlignment="1">
      <alignment horizontal="center" vertical="center"/>
    </xf>
    <xf numFmtId="0" fontId="15" fillId="7" borderId="4" xfId="0" applyFont="1" applyFill="1" applyBorder="1" applyAlignment="1">
      <alignment horizontal="center" vertical="center"/>
    </xf>
    <xf numFmtId="0" fontId="15" fillId="9" borderId="5" xfId="0" applyFont="1" applyFill="1" applyBorder="1" applyAlignment="1">
      <alignment horizontal="center" vertical="center"/>
    </xf>
    <xf numFmtId="0" fontId="15" fillId="8" borderId="29" xfId="0" applyFont="1" applyFill="1" applyBorder="1" applyAlignment="1">
      <alignment horizontal="center" vertical="center"/>
    </xf>
    <xf numFmtId="0" fontId="15" fillId="0" borderId="0" xfId="0" applyFont="1"/>
    <xf numFmtId="0" fontId="4" fillId="11" borderId="6" xfId="0" applyFont="1" applyFill="1" applyBorder="1" applyAlignment="1">
      <alignment horizontal="center" vertical="center"/>
    </xf>
    <xf numFmtId="0" fontId="4" fillId="11" borderId="1" xfId="0" applyFont="1" applyFill="1" applyBorder="1" applyAlignment="1">
      <alignment horizontal="center" vertical="center"/>
    </xf>
    <xf numFmtId="0" fontId="4" fillId="11" borderId="7" xfId="0" applyFont="1" applyFill="1" applyBorder="1" applyAlignment="1">
      <alignment horizontal="center" vertical="center"/>
    </xf>
    <xf numFmtId="0" fontId="4" fillId="11" borderId="9" xfId="0" applyFont="1" applyFill="1" applyBorder="1" applyAlignment="1">
      <alignment horizontal="center" vertical="center"/>
    </xf>
    <xf numFmtId="0" fontId="4" fillId="12" borderId="1" xfId="0" applyFont="1" applyFill="1" applyBorder="1" applyAlignment="1">
      <alignment horizontal="center" vertical="center"/>
    </xf>
    <xf numFmtId="0" fontId="4" fillId="12" borderId="9"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9" xfId="0" applyFont="1" applyFill="1" applyBorder="1" applyAlignment="1">
      <alignment horizontal="center" vertical="center"/>
    </xf>
    <xf numFmtId="0" fontId="4" fillId="13" borderId="6" xfId="0" applyFont="1" applyFill="1" applyBorder="1" applyAlignment="1">
      <alignment horizontal="center" vertical="center"/>
    </xf>
    <xf numFmtId="0" fontId="4" fillId="10" borderId="8" xfId="0" applyFont="1" applyFill="1" applyBorder="1" applyAlignment="1">
      <alignment horizontal="center" vertical="center"/>
    </xf>
    <xf numFmtId="0" fontId="4" fillId="10" borderId="10" xfId="0" applyFont="1" applyFill="1" applyBorder="1" applyAlignment="1">
      <alignment horizontal="center" vertical="center"/>
    </xf>
    <xf numFmtId="0" fontId="4" fillId="10" borderId="25"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19" xfId="0" applyFont="1" applyFill="1" applyBorder="1" applyAlignment="1">
      <alignment horizontal="center" vertical="center"/>
    </xf>
    <xf numFmtId="0" fontId="4" fillId="10" borderId="9" xfId="0" applyFont="1" applyFill="1" applyBorder="1" applyAlignment="1">
      <alignment horizontal="center" vertical="center"/>
    </xf>
    <xf numFmtId="0" fontId="4" fillId="10" borderId="20" xfId="0" applyFont="1" applyFill="1" applyBorder="1" applyAlignment="1">
      <alignment horizontal="center" vertical="center"/>
    </xf>
    <xf numFmtId="0" fontId="0" fillId="0" borderId="0" xfId="0" applyAlignment="1">
      <alignment horizontal="right"/>
    </xf>
    <xf numFmtId="0" fontId="9" fillId="0" borderId="0" xfId="0" applyFont="1" applyAlignment="1">
      <alignment vertical="center" wrapText="1"/>
    </xf>
    <xf numFmtId="0" fontId="15" fillId="0" borderId="0" xfId="0" applyFont="1" applyAlignment="1">
      <alignment horizontal="center" vertical="center"/>
    </xf>
    <xf numFmtId="0" fontId="8" fillId="0" borderId="16" xfId="0" applyFont="1" applyBorder="1" applyAlignment="1">
      <alignment horizontal="center" vertical="center"/>
    </xf>
    <xf numFmtId="49" fontId="6" fillId="0" borderId="16" xfId="0" applyNumberFormat="1" applyFont="1" applyBorder="1" applyAlignment="1">
      <alignment horizontal="center" vertical="center"/>
    </xf>
    <xf numFmtId="0" fontId="9" fillId="0" borderId="54" xfId="0" applyFont="1" applyBorder="1" applyAlignment="1">
      <alignment vertical="center" wrapText="1"/>
    </xf>
    <xf numFmtId="49" fontId="6" fillId="0" borderId="17" xfId="0" applyNumberFormat="1" applyFont="1" applyBorder="1" applyAlignment="1">
      <alignment horizontal="center" vertical="center"/>
    </xf>
    <xf numFmtId="0" fontId="9" fillId="0" borderId="14" xfId="0" applyFont="1" applyBorder="1" applyAlignment="1">
      <alignment horizontal="left" vertical="center" wrapText="1"/>
    </xf>
    <xf numFmtId="0" fontId="9" fillId="0" borderId="47" xfId="0" applyFont="1" applyBorder="1" applyAlignment="1">
      <alignment vertical="center" wrapText="1"/>
    </xf>
    <xf numFmtId="0" fontId="9" fillId="0" borderId="54" xfId="0" applyFont="1" applyBorder="1" applyAlignment="1">
      <alignment horizontal="center" vertical="center" wrapText="1"/>
    </xf>
    <xf numFmtId="0" fontId="8" fillId="0" borderId="17" xfId="0" applyFont="1" applyBorder="1" applyAlignment="1">
      <alignment horizontal="center" vertical="center"/>
    </xf>
    <xf numFmtId="0" fontId="9" fillId="0" borderId="14" xfId="0" applyFont="1" applyBorder="1" applyAlignment="1">
      <alignment horizontal="center" vertical="center" wrapText="1"/>
    </xf>
    <xf numFmtId="0" fontId="9" fillId="0" borderId="47" xfId="0" applyFont="1" applyBorder="1" applyAlignment="1">
      <alignment horizontal="center" vertical="center" wrapText="1"/>
    </xf>
    <xf numFmtId="0" fontId="19" fillId="19" borderId="18" xfId="0" applyFont="1" applyFill="1" applyBorder="1" applyAlignment="1">
      <alignment horizontal="center"/>
    </xf>
    <xf numFmtId="0" fontId="19" fillId="19" borderId="12" xfId="0" applyFont="1" applyFill="1" applyBorder="1" applyAlignment="1">
      <alignment horizontal="center"/>
    </xf>
    <xf numFmtId="0" fontId="19" fillId="19" borderId="12" xfId="0" applyFont="1" applyFill="1" applyBorder="1" applyAlignment="1">
      <alignment horizontal="center" wrapText="1"/>
    </xf>
    <xf numFmtId="0" fontId="19" fillId="19" borderId="15" xfId="0" applyFont="1" applyFill="1" applyBorder="1" applyAlignment="1">
      <alignment horizontal="center"/>
    </xf>
    <xf numFmtId="0" fontId="8" fillId="15" borderId="1" xfId="0" applyFont="1" applyFill="1" applyBorder="1" applyAlignment="1">
      <alignment horizontal="center" vertical="center"/>
    </xf>
    <xf numFmtId="0" fontId="8" fillId="20" borderId="18" xfId="0" applyFont="1" applyFill="1" applyBorder="1" applyAlignment="1">
      <alignment horizontal="center" vertical="center"/>
    </xf>
    <xf numFmtId="0" fontId="8" fillId="20" borderId="12" xfId="0" applyFont="1" applyFill="1" applyBorder="1" applyAlignment="1">
      <alignment horizontal="center" vertical="center"/>
    </xf>
    <xf numFmtId="0" fontId="8" fillId="20" borderId="15" xfId="0" applyFont="1" applyFill="1" applyBorder="1" applyAlignment="1">
      <alignment horizontal="center" vertical="center"/>
    </xf>
    <xf numFmtId="0" fontId="3" fillId="0" borderId="0" xfId="0" applyFont="1"/>
    <xf numFmtId="0" fontId="0" fillId="2" borderId="0" xfId="0" applyFill="1"/>
    <xf numFmtId="0" fontId="4" fillId="0" borderId="0" xfId="0" applyFont="1"/>
    <xf numFmtId="0" fontId="3" fillId="0" borderId="15" xfId="1" applyFont="1" applyFill="1" applyBorder="1" applyAlignment="1">
      <alignment horizontal="left" vertical="top" wrapText="1"/>
    </xf>
    <xf numFmtId="0" fontId="8" fillId="0" borderId="0" xfId="2" applyFont="1"/>
    <xf numFmtId="0" fontId="8" fillId="0" borderId="48" xfId="2" applyFont="1" applyBorder="1" applyAlignment="1">
      <alignment horizontal="center" vertical="center" wrapText="1"/>
    </xf>
    <xf numFmtId="0" fontId="8" fillId="0" borderId="49" xfId="2" applyFont="1" applyBorder="1" applyAlignment="1">
      <alignment horizontal="center" vertical="center" wrapText="1"/>
    </xf>
    <xf numFmtId="0" fontId="8" fillId="0" borderId="28" xfId="2" applyFont="1" applyBorder="1" applyAlignment="1">
      <alignment horizontal="center" vertical="center" wrapText="1"/>
    </xf>
    <xf numFmtId="0" fontId="8" fillId="0" borderId="44" xfId="2" applyFont="1" applyBorder="1" applyAlignment="1">
      <alignment horizontal="center" vertical="center" wrapText="1"/>
    </xf>
    <xf numFmtId="0" fontId="8" fillId="0" borderId="46" xfId="2" applyFont="1" applyBorder="1" applyAlignment="1">
      <alignment horizontal="center" vertical="center" wrapText="1"/>
    </xf>
    <xf numFmtId="0" fontId="8" fillId="0" borderId="49" xfId="2" applyFont="1" applyBorder="1" applyAlignment="1">
      <alignment horizontal="center" vertical="center" textRotation="180"/>
    </xf>
    <xf numFmtId="0" fontId="8" fillId="3" borderId="28" xfId="2" applyFont="1" applyFill="1" applyBorder="1" applyAlignment="1">
      <alignment horizontal="center" vertical="center" textRotation="180"/>
    </xf>
    <xf numFmtId="0" fontId="3" fillId="0" borderId="0" xfId="2"/>
    <xf numFmtId="0" fontId="10" fillId="3" borderId="63" xfId="2" applyFont="1" applyFill="1" applyBorder="1" applyAlignment="1">
      <alignment horizontal="left" vertical="top"/>
    </xf>
    <xf numFmtId="0" fontId="10" fillId="3" borderId="50" xfId="2" applyFont="1" applyFill="1" applyBorder="1" applyAlignment="1">
      <alignment horizontal="left" vertical="top"/>
    </xf>
    <xf numFmtId="0" fontId="10" fillId="3" borderId="68" xfId="2" applyFont="1" applyFill="1" applyBorder="1" applyAlignment="1">
      <alignment horizontal="left" vertical="top"/>
    </xf>
    <xf numFmtId="0" fontId="3" fillId="0" borderId="0" xfId="2" applyAlignment="1">
      <alignment wrapText="1"/>
    </xf>
    <xf numFmtId="0" fontId="3" fillId="0" borderId="0" xfId="2" applyAlignment="1">
      <alignment horizontal="center" vertical="center"/>
    </xf>
    <xf numFmtId="1" fontId="3" fillId="0" borderId="0" xfId="2" applyNumberFormat="1" applyAlignment="1">
      <alignment horizontal="center" vertical="center"/>
    </xf>
    <xf numFmtId="0" fontId="3" fillId="0" borderId="0" xfId="2" applyAlignment="1">
      <alignment horizontal="left" wrapText="1"/>
    </xf>
    <xf numFmtId="0" fontId="21" fillId="0" borderId="0" xfId="4"/>
    <xf numFmtId="0" fontId="4" fillId="16" borderId="60" xfId="4" applyFont="1" applyFill="1" applyBorder="1" applyAlignment="1">
      <alignment horizontal="center" vertical="center" wrapText="1"/>
    </xf>
    <xf numFmtId="0" fontId="4" fillId="16" borderId="61" xfId="4" applyFont="1" applyFill="1" applyBorder="1" applyAlignment="1">
      <alignment horizontal="center" vertical="center" wrapText="1"/>
    </xf>
    <xf numFmtId="0" fontId="2" fillId="0" borderId="0" xfId="5" applyProtection="1">
      <protection locked="0"/>
    </xf>
    <xf numFmtId="0" fontId="3" fillId="0" borderId="0" xfId="5" applyFont="1" applyAlignment="1" applyProtection="1">
      <alignment horizontal="center"/>
      <protection locked="0"/>
    </xf>
    <xf numFmtId="0" fontId="2" fillId="0" borderId="0" xfId="5" applyAlignment="1" applyProtection="1">
      <alignment horizontal="left"/>
      <protection locked="0"/>
    </xf>
    <xf numFmtId="0" fontId="2" fillId="0" borderId="0" xfId="5"/>
    <xf numFmtId="0" fontId="22" fillId="21" borderId="77" xfId="5" applyFont="1" applyFill="1" applyBorder="1" applyAlignment="1" applyProtection="1">
      <alignment horizontal="left" vertical="center" wrapText="1"/>
      <protection locked="0"/>
    </xf>
    <xf numFmtId="0" fontId="22" fillId="21" borderId="80" xfId="5" applyFont="1" applyFill="1" applyBorder="1" applyAlignment="1" applyProtection="1">
      <alignment horizontal="left" vertical="center" wrapText="1"/>
      <protection locked="0"/>
    </xf>
    <xf numFmtId="0" fontId="0" fillId="0" borderId="83" xfId="0" applyBorder="1" applyAlignment="1">
      <alignment horizontal="left" vertical="center" wrapText="1"/>
    </xf>
    <xf numFmtId="0" fontId="0" fillId="0" borderId="84" xfId="0" applyBorder="1" applyAlignment="1">
      <alignment horizontal="left" vertical="center"/>
    </xf>
    <xf numFmtId="0" fontId="0" fillId="0" borderId="85" xfId="0" applyBorder="1" applyAlignment="1">
      <alignment horizontal="left" vertical="center" wrapText="1"/>
    </xf>
    <xf numFmtId="0" fontId="3" fillId="0" borderId="0" xfId="2" applyAlignment="1">
      <alignment horizontal="left" vertical="center"/>
    </xf>
    <xf numFmtId="0" fontId="4" fillId="16" borderId="59" xfId="5" applyFont="1" applyFill="1" applyBorder="1" applyAlignment="1">
      <alignment horizontal="center" vertical="center" wrapText="1"/>
    </xf>
    <xf numFmtId="0" fontId="4" fillId="16" borderId="61" xfId="5" applyFont="1" applyFill="1" applyBorder="1" applyAlignment="1">
      <alignment horizontal="center" vertical="center" wrapText="1"/>
    </xf>
    <xf numFmtId="164" fontId="18" fillId="0" borderId="73" xfId="5" applyNumberFormat="1" applyFont="1" applyBorder="1" applyAlignment="1">
      <alignment horizontal="left" vertical="center" wrapText="1"/>
    </xf>
    <xf numFmtId="164" fontId="18" fillId="0" borderId="86" xfId="5" applyNumberFormat="1" applyFont="1" applyBorder="1" applyAlignment="1">
      <alignment horizontal="left" vertical="center" wrapText="1"/>
    </xf>
    <xf numFmtId="0" fontId="24" fillId="2" borderId="18" xfId="2" applyFont="1" applyFill="1" applyBorder="1" applyAlignment="1">
      <alignment horizontal="center" vertical="center"/>
    </xf>
    <xf numFmtId="0" fontId="23" fillId="0" borderId="15" xfId="0" applyFont="1" applyBorder="1" applyAlignment="1">
      <alignment horizontal="center" vertical="center"/>
    </xf>
    <xf numFmtId="0" fontId="9" fillId="2" borderId="16" xfId="2" applyFont="1" applyFill="1" applyBorder="1" applyAlignment="1">
      <alignment horizontal="center" vertical="center"/>
    </xf>
    <xf numFmtId="0" fontId="3" fillId="4" borderId="54" xfId="2" applyFill="1" applyBorder="1" applyAlignment="1">
      <alignment horizontal="center" vertical="center"/>
    </xf>
    <xf numFmtId="0" fontId="3" fillId="5" borderId="54" xfId="2" applyFill="1" applyBorder="1" applyAlignment="1">
      <alignment horizontal="center" vertical="center"/>
    </xf>
    <xf numFmtId="0" fontId="3" fillId="6" borderId="54" xfId="2" applyFill="1" applyBorder="1" applyAlignment="1">
      <alignment horizontal="center" vertical="center"/>
    </xf>
    <xf numFmtId="0" fontId="9" fillId="2" borderId="17" xfId="2" applyFont="1" applyFill="1" applyBorder="1" applyAlignment="1">
      <alignment horizontal="center" vertical="center"/>
    </xf>
    <xf numFmtId="0" fontId="3" fillId="10" borderId="47" xfId="2" applyFill="1" applyBorder="1" applyAlignment="1">
      <alignment horizontal="center" vertical="center"/>
    </xf>
    <xf numFmtId="0" fontId="3" fillId="0" borderId="51" xfId="2" applyBorder="1" applyAlignment="1">
      <alignment vertical="center"/>
    </xf>
    <xf numFmtId="164" fontId="18" fillId="0" borderId="73" xfId="4" applyNumberFormat="1" applyFont="1" applyBorder="1" applyAlignment="1">
      <alignment horizontal="left" vertical="center" wrapText="1"/>
    </xf>
    <xf numFmtId="0" fontId="25" fillId="22" borderId="63" xfId="2" applyFont="1" applyFill="1" applyBorder="1" applyAlignment="1">
      <alignment vertical="top"/>
    </xf>
    <xf numFmtId="0" fontId="10" fillId="22" borderId="50" xfId="2" applyFont="1" applyFill="1" applyBorder="1" applyAlignment="1">
      <alignment vertical="top"/>
    </xf>
    <xf numFmtId="0" fontId="10" fillId="22" borderId="68" xfId="2" applyFont="1" applyFill="1" applyBorder="1" applyAlignment="1">
      <alignment vertical="top"/>
    </xf>
    <xf numFmtId="0" fontId="3" fillId="0" borderId="0" xfId="2" applyAlignment="1">
      <alignment horizontal="left"/>
    </xf>
    <xf numFmtId="0" fontId="3" fillId="14" borderId="21" xfId="2" applyFill="1" applyBorder="1" applyAlignment="1">
      <alignment horizontal="center" vertical="center"/>
    </xf>
    <xf numFmtId="0" fontId="3" fillId="14" borderId="0" xfId="2" applyFill="1" applyAlignment="1">
      <alignment vertical="center"/>
    </xf>
    <xf numFmtId="0" fontId="8" fillId="14" borderId="0" xfId="2" applyFont="1" applyFill="1" applyAlignment="1">
      <alignment horizontal="center" vertical="center" wrapText="1"/>
    </xf>
    <xf numFmtId="0" fontId="3" fillId="14" borderId="0" xfId="2" applyFill="1"/>
    <xf numFmtId="0" fontId="3" fillId="0" borderId="0" xfId="2" applyAlignment="1">
      <alignment vertical="center"/>
    </xf>
    <xf numFmtId="0" fontId="10" fillId="3" borderId="50" xfId="2" applyFont="1" applyFill="1" applyBorder="1" applyAlignment="1">
      <alignment horizontal="left" vertical="top" wrapText="1"/>
    </xf>
    <xf numFmtId="0" fontId="25" fillId="22" borderId="50" xfId="2" applyFont="1" applyFill="1" applyBorder="1" applyAlignment="1">
      <alignment vertical="top"/>
    </xf>
    <xf numFmtId="0" fontId="3" fillId="14" borderId="15" xfId="2" applyFill="1" applyBorder="1" applyAlignment="1">
      <alignment horizontal="left" vertical="top" wrapText="1"/>
    </xf>
    <xf numFmtId="0" fontId="3" fillId="14" borderId="36" xfId="2" applyFill="1" applyBorder="1" applyAlignment="1">
      <alignment horizontal="center" vertical="top" wrapText="1"/>
    </xf>
    <xf numFmtId="0" fontId="3" fillId="14" borderId="13" xfId="2" applyFill="1" applyBorder="1" applyAlignment="1">
      <alignment vertical="top" wrapText="1"/>
    </xf>
    <xf numFmtId="0" fontId="3" fillId="14" borderId="36" xfId="2" applyFill="1" applyBorder="1" applyAlignment="1">
      <alignment horizontal="left" vertical="top" wrapText="1"/>
    </xf>
    <xf numFmtId="1" fontId="3" fillId="3" borderId="27" xfId="2" applyNumberFormat="1" applyFill="1" applyBorder="1" applyAlignment="1">
      <alignment horizontal="left" vertical="top" wrapText="1"/>
    </xf>
    <xf numFmtId="1" fontId="3" fillId="3" borderId="36" xfId="2" applyNumberFormat="1" applyFill="1" applyBorder="1" applyAlignment="1">
      <alignment horizontal="left" vertical="top" wrapText="1"/>
    </xf>
    <xf numFmtId="0" fontId="3" fillId="0" borderId="13" xfId="2" applyBorder="1" applyAlignment="1">
      <alignment horizontal="left" vertical="top" wrapText="1"/>
    </xf>
    <xf numFmtId="0" fontId="3" fillId="3" borderId="51" xfId="2" applyFill="1" applyBorder="1" applyAlignment="1">
      <alignment horizontal="left" vertical="top" wrapText="1"/>
    </xf>
    <xf numFmtId="0" fontId="3" fillId="0" borderId="15" xfId="2" applyBorder="1" applyAlignment="1">
      <alignment horizontal="left" vertical="top" wrapText="1"/>
    </xf>
    <xf numFmtId="0" fontId="3" fillId="14" borderId="55" xfId="2" applyFill="1" applyBorder="1" applyAlignment="1">
      <alignment horizontal="left" vertical="top" wrapText="1"/>
    </xf>
    <xf numFmtId="0" fontId="3" fillId="14" borderId="11" xfId="2" applyFill="1" applyBorder="1" applyAlignment="1">
      <alignment horizontal="left" vertical="top" wrapText="1"/>
    </xf>
    <xf numFmtId="0" fontId="3" fillId="14" borderId="12" xfId="2" applyFill="1" applyBorder="1" applyAlignment="1">
      <alignment horizontal="left" vertical="top" wrapText="1"/>
    </xf>
    <xf numFmtId="0" fontId="3" fillId="14" borderId="65" xfId="2" applyFill="1" applyBorder="1" applyAlignment="1">
      <alignment horizontal="left" vertical="top" wrapText="1"/>
    </xf>
    <xf numFmtId="0" fontId="3" fillId="0" borderId="11" xfId="2" applyBorder="1" applyAlignment="1">
      <alignment horizontal="left" vertical="top" wrapText="1"/>
    </xf>
    <xf numFmtId="0" fontId="3" fillId="0" borderId="12" xfId="2" applyBorder="1" applyAlignment="1">
      <alignment horizontal="left" vertical="top" wrapText="1"/>
    </xf>
    <xf numFmtId="0" fontId="3" fillId="14" borderId="11" xfId="2" applyFill="1" applyBorder="1" applyAlignment="1">
      <alignment vertical="top" wrapText="1"/>
    </xf>
    <xf numFmtId="43" fontId="3" fillId="0" borderId="14" xfId="3" applyFont="1" applyBorder="1" applyAlignment="1">
      <alignment horizontal="left" vertical="top" wrapText="1"/>
    </xf>
    <xf numFmtId="43" fontId="3" fillId="0" borderId="12" xfId="3" applyFont="1" applyBorder="1" applyAlignment="1">
      <alignment horizontal="left" vertical="top" wrapText="1"/>
    </xf>
    <xf numFmtId="43" fontId="3" fillId="0" borderId="1" xfId="3" applyFont="1" applyBorder="1" applyAlignment="1">
      <alignment horizontal="left" vertical="top" wrapText="1"/>
    </xf>
    <xf numFmtId="43" fontId="3" fillId="0" borderId="49" xfId="3" applyFont="1" applyBorder="1" applyAlignment="1">
      <alignment horizontal="left" vertical="top" wrapText="1"/>
    </xf>
    <xf numFmtId="43" fontId="3" fillId="0" borderId="67" xfId="3" applyFont="1" applyBorder="1" applyAlignment="1">
      <alignment horizontal="left" vertical="top" wrapText="1"/>
    </xf>
    <xf numFmtId="0" fontId="3" fillId="14" borderId="1" xfId="2" applyFill="1" applyBorder="1" applyAlignment="1">
      <alignment horizontal="left" vertical="top" wrapText="1"/>
    </xf>
    <xf numFmtId="43" fontId="3" fillId="0" borderId="64" xfId="3" applyFont="1" applyBorder="1" applyAlignment="1">
      <alignment horizontal="center" vertical="top" wrapText="1"/>
    </xf>
    <xf numFmtId="43" fontId="3" fillId="0" borderId="44" xfId="3" applyFont="1" applyBorder="1" applyAlignment="1">
      <alignment horizontal="left" vertical="top" wrapText="1"/>
    </xf>
    <xf numFmtId="0" fontId="8" fillId="0" borderId="0" xfId="2" applyFont="1" applyAlignment="1">
      <alignment vertical="center"/>
    </xf>
    <xf numFmtId="165" fontId="18" fillId="0" borderId="71" xfId="4" applyNumberFormat="1" applyFont="1" applyBorder="1" applyAlignment="1">
      <alignment horizontal="center" vertical="center" wrapText="1"/>
    </xf>
    <xf numFmtId="0" fontId="18" fillId="0" borderId="72" xfId="4" applyFont="1" applyBorder="1" applyAlignment="1">
      <alignment horizontal="left" vertical="center" wrapText="1" indent="1" readingOrder="1"/>
    </xf>
    <xf numFmtId="0" fontId="4" fillId="16" borderId="88" xfId="4" applyFont="1" applyFill="1" applyBorder="1" applyAlignment="1">
      <alignment horizontal="center" vertical="center" wrapText="1"/>
    </xf>
    <xf numFmtId="164" fontId="18" fillId="0" borderId="89" xfId="4" applyNumberFormat="1" applyFont="1" applyBorder="1" applyAlignment="1">
      <alignment horizontal="center" vertical="center" wrapText="1"/>
    </xf>
    <xf numFmtId="1" fontId="21" fillId="0" borderId="0" xfId="4" applyNumberFormat="1"/>
    <xf numFmtId="1" fontId="4" fillId="16" borderId="59" xfId="4" applyNumberFormat="1" applyFont="1" applyFill="1" applyBorder="1" applyAlignment="1">
      <alignment horizontal="center" vertical="center" wrapText="1"/>
    </xf>
    <xf numFmtId="1" fontId="18" fillId="0" borderId="70" xfId="4" applyNumberFormat="1" applyFont="1" applyBorder="1" applyAlignment="1">
      <alignment horizontal="center" vertical="center" wrapText="1"/>
    </xf>
    <xf numFmtId="0" fontId="3" fillId="14" borderId="44" xfId="2" applyFill="1" applyBorder="1" applyAlignment="1">
      <alignment horizontal="left" vertical="top" wrapText="1"/>
    </xf>
    <xf numFmtId="0" fontId="3" fillId="14" borderId="18" xfId="2" applyFill="1" applyBorder="1" applyAlignment="1">
      <alignment horizontal="left" vertical="top" wrapText="1"/>
    </xf>
    <xf numFmtId="0" fontId="3" fillId="14" borderId="46" xfId="2" applyFill="1" applyBorder="1" applyAlignment="1">
      <alignment horizontal="left" vertical="top" wrapText="1"/>
    </xf>
    <xf numFmtId="0" fontId="3" fillId="14" borderId="90" xfId="2" applyFill="1" applyBorder="1" applyAlignment="1">
      <alignment horizontal="center" vertical="center"/>
    </xf>
    <xf numFmtId="0" fontId="10" fillId="3" borderId="33" xfId="2" applyFont="1" applyFill="1" applyBorder="1" applyAlignment="1">
      <alignment horizontal="left" vertical="top"/>
    </xf>
    <xf numFmtId="0" fontId="3" fillId="0" borderId="21" xfId="2" applyBorder="1" applyAlignment="1">
      <alignment horizontal="center" vertical="center"/>
    </xf>
    <xf numFmtId="0" fontId="3" fillId="0" borderId="46" xfId="2" applyBorder="1" applyAlignment="1">
      <alignment horizontal="left" vertical="top" wrapText="1"/>
    </xf>
    <xf numFmtId="0" fontId="3" fillId="0" borderId="36" xfId="2" applyBorder="1" applyAlignment="1">
      <alignment horizontal="center" vertical="top" wrapText="1"/>
    </xf>
    <xf numFmtId="0" fontId="3" fillId="0" borderId="11" xfId="2" applyBorder="1" applyAlignment="1">
      <alignment vertical="top" wrapText="1"/>
    </xf>
    <xf numFmtId="0" fontId="3" fillId="0" borderId="13" xfId="2" applyBorder="1" applyAlignment="1">
      <alignment vertical="top" wrapText="1"/>
    </xf>
    <xf numFmtId="0" fontId="3" fillId="0" borderId="36" xfId="2" applyBorder="1" applyAlignment="1">
      <alignment horizontal="left" vertical="top" wrapText="1"/>
    </xf>
    <xf numFmtId="1" fontId="3" fillId="0" borderId="27" xfId="2" applyNumberFormat="1" applyBorder="1" applyAlignment="1">
      <alignment horizontal="left" vertical="top" wrapText="1"/>
    </xf>
    <xf numFmtId="1" fontId="3" fillId="0" borderId="36" xfId="2" applyNumberFormat="1" applyBorder="1" applyAlignment="1">
      <alignment horizontal="left" vertical="top" wrapText="1"/>
    </xf>
    <xf numFmtId="0" fontId="3" fillId="0" borderId="51" xfId="2" applyBorder="1" applyAlignment="1">
      <alignment horizontal="left" vertical="top" wrapText="1"/>
    </xf>
    <xf numFmtId="0" fontId="3" fillId="0" borderId="55" xfId="2" applyBorder="1" applyAlignment="1">
      <alignment horizontal="left" vertical="top" wrapText="1"/>
    </xf>
    <xf numFmtId="0" fontId="3" fillId="12" borderId="12" xfId="2" applyFill="1" applyBorder="1" applyAlignment="1">
      <alignment horizontal="left" vertical="top" wrapText="1"/>
    </xf>
    <xf numFmtId="43" fontId="3" fillId="14" borderId="1" xfId="3" applyFont="1" applyFill="1" applyBorder="1" applyAlignment="1">
      <alignment horizontal="left" vertical="top" wrapText="1"/>
    </xf>
    <xf numFmtId="1" fontId="3" fillId="14" borderId="27" xfId="2" applyNumberFormat="1" applyFill="1" applyBorder="1" applyAlignment="1">
      <alignment horizontal="left" vertical="top" wrapText="1"/>
    </xf>
    <xf numFmtId="0" fontId="3" fillId="14" borderId="15" xfId="1" applyFont="1" applyFill="1" applyBorder="1" applyAlignment="1">
      <alignment horizontal="left" vertical="top" wrapText="1"/>
    </xf>
    <xf numFmtId="1" fontId="3" fillId="14" borderId="36" xfId="2" applyNumberFormat="1" applyFill="1" applyBorder="1" applyAlignment="1">
      <alignment horizontal="left" vertical="top" wrapText="1"/>
    </xf>
    <xf numFmtId="0" fontId="3" fillId="14" borderId="1" xfId="2" applyFill="1" applyBorder="1" applyAlignment="1">
      <alignment wrapText="1"/>
    </xf>
    <xf numFmtId="0" fontId="3" fillId="14" borderId="13" xfId="2" applyFill="1" applyBorder="1" applyAlignment="1">
      <alignment horizontal="left" vertical="top" wrapText="1"/>
    </xf>
    <xf numFmtId="0" fontId="3" fillId="14" borderId="51" xfId="2" applyFill="1" applyBorder="1" applyAlignment="1">
      <alignment horizontal="left" vertical="top" wrapText="1"/>
    </xf>
    <xf numFmtId="0" fontId="3" fillId="14" borderId="51" xfId="2" applyFill="1" applyBorder="1" applyAlignment="1">
      <alignment vertical="center"/>
    </xf>
    <xf numFmtId="0" fontId="3" fillId="0" borderId="44" xfId="2" applyBorder="1" applyAlignment="1">
      <alignment horizontal="left" vertical="top" wrapText="1"/>
    </xf>
    <xf numFmtId="43" fontId="3" fillId="14" borderId="12" xfId="3" applyFont="1" applyFill="1" applyBorder="1" applyAlignment="1">
      <alignment horizontal="left" vertical="top" wrapText="1"/>
    </xf>
    <xf numFmtId="43" fontId="3" fillId="14" borderId="49" xfId="3" applyFont="1" applyFill="1" applyBorder="1" applyAlignment="1">
      <alignment horizontal="left" vertical="top" wrapText="1"/>
    </xf>
    <xf numFmtId="43" fontId="3" fillId="14" borderId="14" xfId="3" applyFont="1" applyFill="1" applyBorder="1" applyAlignment="1">
      <alignment horizontal="left" vertical="top" wrapText="1"/>
    </xf>
    <xf numFmtId="0" fontId="29" fillId="14" borderId="12" xfId="2" applyFont="1" applyFill="1" applyBorder="1" applyAlignment="1">
      <alignment horizontal="left" vertical="top" wrapText="1"/>
    </xf>
    <xf numFmtId="0" fontId="29" fillId="14" borderId="15" xfId="2" applyFont="1" applyFill="1" applyBorder="1" applyAlignment="1">
      <alignment horizontal="left" vertical="top" wrapText="1"/>
    </xf>
    <xf numFmtId="0" fontId="29" fillId="14" borderId="36" xfId="2" applyFont="1" applyFill="1" applyBorder="1" applyAlignment="1">
      <alignment horizontal="center" vertical="top" wrapText="1"/>
    </xf>
    <xf numFmtId="0" fontId="29" fillId="14" borderId="11" xfId="2" applyFont="1" applyFill="1" applyBorder="1" applyAlignment="1">
      <alignment vertical="top" wrapText="1"/>
    </xf>
    <xf numFmtId="0" fontId="29" fillId="14" borderId="13" xfId="2" applyFont="1" applyFill="1" applyBorder="1" applyAlignment="1">
      <alignment vertical="top" wrapText="1"/>
    </xf>
    <xf numFmtId="0" fontId="29" fillId="14" borderId="36" xfId="2" applyFont="1" applyFill="1" applyBorder="1" applyAlignment="1">
      <alignment horizontal="left" vertical="top" wrapText="1"/>
    </xf>
    <xf numFmtId="1" fontId="29" fillId="3" borderId="27" xfId="2" applyNumberFormat="1" applyFont="1" applyFill="1" applyBorder="1" applyAlignment="1">
      <alignment horizontal="left" vertical="top" wrapText="1"/>
    </xf>
    <xf numFmtId="0" fontId="29" fillId="0" borderId="11" xfId="2" applyFont="1" applyBorder="1" applyAlignment="1">
      <alignment horizontal="left" vertical="top" wrapText="1"/>
    </xf>
    <xf numFmtId="0" fontId="29" fillId="0" borderId="15" xfId="1" applyFont="1" applyFill="1" applyBorder="1" applyAlignment="1">
      <alignment horizontal="left" vertical="top" wrapText="1"/>
    </xf>
    <xf numFmtId="1" fontId="29" fillId="3" borderId="36" xfId="2" applyNumberFormat="1" applyFont="1" applyFill="1" applyBorder="1" applyAlignment="1">
      <alignment horizontal="left" vertical="top" wrapText="1"/>
    </xf>
    <xf numFmtId="0" fontId="3" fillId="10" borderId="12" xfId="2" applyFill="1" applyBorder="1" applyAlignment="1">
      <alignment horizontal="left" vertical="top" wrapText="1"/>
    </xf>
    <xf numFmtId="0" fontId="3" fillId="10" borderId="11" xfId="2" applyFill="1" applyBorder="1" applyAlignment="1">
      <alignment horizontal="left" vertical="top" wrapText="1"/>
    </xf>
    <xf numFmtId="0" fontId="3" fillId="20" borderId="12" xfId="2" applyFill="1" applyBorder="1" applyAlignment="1">
      <alignment horizontal="left" vertical="top" wrapText="1"/>
    </xf>
    <xf numFmtId="1" fontId="18" fillId="0" borderId="12" xfId="9" applyNumberFormat="1" applyFont="1" applyBorder="1" applyAlignment="1">
      <alignment horizontal="center" vertical="center" wrapText="1"/>
    </xf>
    <xf numFmtId="0" fontId="28" fillId="0" borderId="12" xfId="8" applyFill="1" applyBorder="1" applyAlignment="1">
      <alignment horizontal="left" vertical="center" wrapText="1" indent="1" readingOrder="1"/>
    </xf>
    <xf numFmtId="0" fontId="3" fillId="14" borderId="14" xfId="2" applyFill="1" applyBorder="1" applyAlignment="1">
      <alignment horizontal="left" vertical="top" wrapText="1"/>
    </xf>
    <xf numFmtId="0" fontId="3" fillId="14" borderId="49" xfId="2" applyFill="1" applyBorder="1" applyAlignment="1">
      <alignment horizontal="left" vertical="top" wrapText="1"/>
    </xf>
    <xf numFmtId="0" fontId="3" fillId="0" borderId="49" xfId="2" applyBorder="1" applyAlignment="1">
      <alignment horizontal="left" vertical="top" wrapText="1"/>
    </xf>
    <xf numFmtId="0" fontId="3" fillId="0" borderId="0" xfId="2" applyAlignment="1">
      <alignment horizontal="left" vertical="top" wrapText="1"/>
    </xf>
    <xf numFmtId="0" fontId="3" fillId="14" borderId="22" xfId="2" applyFill="1" applyBorder="1" applyAlignment="1">
      <alignment horizontal="center" vertical="center"/>
    </xf>
    <xf numFmtId="0" fontId="3" fillId="14" borderId="93" xfId="2" applyFill="1" applyBorder="1" applyAlignment="1">
      <alignment horizontal="center" vertical="center"/>
    </xf>
    <xf numFmtId="0" fontId="10" fillId="22" borderId="50" xfId="2" applyFont="1" applyFill="1" applyBorder="1" applyAlignment="1">
      <alignment horizontal="left" vertical="top"/>
    </xf>
    <xf numFmtId="0" fontId="3" fillId="14" borderId="0" xfId="2" applyFill="1" applyAlignment="1">
      <alignment horizontal="center" vertical="center"/>
    </xf>
    <xf numFmtId="0" fontId="1" fillId="0" borderId="0" xfId="9"/>
    <xf numFmtId="0" fontId="4" fillId="16" borderId="59" xfId="9" applyFont="1" applyFill="1" applyBorder="1" applyAlignment="1">
      <alignment horizontal="center" vertical="center" wrapText="1"/>
    </xf>
    <xf numFmtId="0" fontId="4" fillId="16" borderId="60" xfId="9" applyFont="1" applyFill="1" applyBorder="1" applyAlignment="1">
      <alignment horizontal="center" vertical="center" wrapText="1"/>
    </xf>
    <xf numFmtId="0" fontId="4" fillId="16" borderId="61" xfId="9" applyFont="1" applyFill="1" applyBorder="1" applyAlignment="1">
      <alignment horizontal="center" vertical="center" wrapText="1"/>
    </xf>
    <xf numFmtId="164" fontId="18" fillId="0" borderId="70" xfId="9" applyNumberFormat="1" applyFont="1" applyBorder="1" applyAlignment="1">
      <alignment horizontal="center" vertical="center" wrapText="1"/>
    </xf>
    <xf numFmtId="0" fontId="18" fillId="0" borderId="71" xfId="9" applyFont="1" applyBorder="1" applyAlignment="1">
      <alignment horizontal="center" vertical="center" wrapText="1"/>
    </xf>
    <xf numFmtId="0" fontId="18" fillId="0" borderId="72" xfId="10" applyFont="1" applyBorder="1" applyAlignment="1">
      <alignment horizontal="left" vertical="center" wrapText="1" indent="1" readingOrder="1"/>
    </xf>
    <xf numFmtId="165" fontId="18" fillId="0" borderId="71" xfId="9" applyNumberFormat="1" applyFont="1" applyBorder="1" applyAlignment="1">
      <alignment horizontal="center" vertical="center" wrapText="1"/>
    </xf>
    <xf numFmtId="0" fontId="18" fillId="0" borderId="97" xfId="10" applyFont="1" applyBorder="1" applyAlignment="1">
      <alignment horizontal="left" vertical="center" wrapText="1" indent="1" readingOrder="1"/>
    </xf>
    <xf numFmtId="164" fontId="18" fillId="0" borderId="98" xfId="9" applyNumberFormat="1" applyFont="1" applyBorder="1" applyAlignment="1">
      <alignment horizontal="center" vertical="center" wrapText="1"/>
    </xf>
    <xf numFmtId="165" fontId="18" fillId="0" borderId="99" xfId="9" applyNumberFormat="1" applyFont="1" applyBorder="1" applyAlignment="1">
      <alignment horizontal="center" vertical="center" wrapText="1"/>
    </xf>
    <xf numFmtId="1" fontId="18" fillId="0" borderId="70" xfId="11" applyNumberFormat="1" applyFont="1" applyBorder="1" applyAlignment="1">
      <alignment horizontal="center" vertical="center" wrapText="1"/>
    </xf>
    <xf numFmtId="1" fontId="18" fillId="0" borderId="92" xfId="11" applyNumberFormat="1" applyFont="1" applyBorder="1" applyAlignment="1">
      <alignment horizontal="center" vertical="center" wrapText="1"/>
    </xf>
    <xf numFmtId="1" fontId="18" fillId="0" borderId="1" xfId="11" applyNumberFormat="1" applyFont="1" applyBorder="1" applyAlignment="1">
      <alignment horizontal="center" vertical="center" wrapText="1"/>
    </xf>
    <xf numFmtId="164" fontId="30" fillId="0" borderId="91" xfId="11" applyNumberFormat="1" applyFont="1" applyBorder="1" applyAlignment="1">
      <alignment horizontal="left" vertical="center" wrapText="1"/>
    </xf>
    <xf numFmtId="164" fontId="30" fillId="0" borderId="1" xfId="11" applyNumberFormat="1" applyFont="1" applyBorder="1" applyAlignment="1">
      <alignment horizontal="left" vertical="center" wrapText="1"/>
    </xf>
    <xf numFmtId="164" fontId="30" fillId="0" borderId="12" xfId="9" applyNumberFormat="1" applyFont="1" applyBorder="1" applyAlignment="1">
      <alignment horizontal="left" vertical="center" wrapText="1"/>
    </xf>
    <xf numFmtId="0" fontId="18" fillId="0" borderId="72" xfId="10" applyFont="1" applyBorder="1" applyAlignment="1">
      <alignment horizontal="left" vertical="center" wrapText="1" indent="1" readingOrder="1"/>
    </xf>
    <xf numFmtId="0" fontId="3" fillId="14" borderId="11" xfId="2" applyFill="1" applyBorder="1" applyAlignment="1">
      <alignment horizontal="left" vertical="top" wrapText="1"/>
    </xf>
    <xf numFmtId="0" fontId="3" fillId="14" borderId="12" xfId="2" applyFill="1" applyBorder="1" applyAlignment="1">
      <alignment horizontal="left" vertical="top" wrapText="1"/>
    </xf>
    <xf numFmtId="0" fontId="3" fillId="14" borderId="1" xfId="2" applyFill="1" applyBorder="1" applyAlignment="1">
      <alignment horizontal="left" vertical="top" wrapText="1"/>
    </xf>
    <xf numFmtId="43" fontId="3" fillId="14" borderId="55" xfId="3" applyFont="1" applyFill="1" applyBorder="1" applyAlignment="1">
      <alignment horizontal="left" vertical="top" wrapText="1"/>
    </xf>
    <xf numFmtId="0" fontId="3" fillId="14" borderId="55" xfId="2" applyFill="1" applyBorder="1" applyAlignment="1">
      <alignment horizontal="left" vertical="top" wrapText="1"/>
    </xf>
    <xf numFmtId="0" fontId="3" fillId="14" borderId="12" xfId="2" applyFill="1" applyBorder="1" applyAlignment="1">
      <alignment horizontal="left" vertical="top" wrapText="1"/>
    </xf>
    <xf numFmtId="0" fontId="3" fillId="14" borderId="24" xfId="2" applyFill="1" applyBorder="1" applyAlignment="1">
      <alignment horizontal="center" vertical="center"/>
    </xf>
    <xf numFmtId="43" fontId="3" fillId="14" borderId="16" xfId="3" applyFont="1" applyFill="1" applyBorder="1" applyAlignment="1">
      <alignment horizontal="left" vertical="top" wrapText="1"/>
    </xf>
    <xf numFmtId="0" fontId="3" fillId="14" borderId="1" xfId="2" applyFill="1" applyBorder="1" applyAlignment="1">
      <alignment horizontal="center" vertical="center"/>
    </xf>
    <xf numFmtId="0" fontId="3" fillId="14" borderId="94" xfId="2" applyFill="1" applyBorder="1" applyAlignment="1">
      <alignment horizontal="center" vertical="center"/>
    </xf>
    <xf numFmtId="0" fontId="3" fillId="14" borderId="12" xfId="2" applyFill="1" applyBorder="1" applyAlignment="1">
      <alignment horizontal="left" vertical="top" wrapText="1"/>
    </xf>
    <xf numFmtId="0" fontId="18" fillId="0" borderId="72" xfId="10" applyFont="1" applyBorder="1" applyAlignment="1">
      <alignment horizontal="left" vertical="center" wrapText="1" indent="1" readingOrder="1"/>
    </xf>
    <xf numFmtId="0" fontId="3" fillId="14" borderId="11" xfId="2" applyFill="1" applyBorder="1" applyAlignment="1">
      <alignment horizontal="left" vertical="top" wrapText="1"/>
    </xf>
    <xf numFmtId="0" fontId="3" fillId="14" borderId="12" xfId="2" applyFill="1" applyBorder="1" applyAlignment="1">
      <alignment horizontal="left" vertical="top" wrapText="1"/>
    </xf>
    <xf numFmtId="0" fontId="3" fillId="0" borderId="11" xfId="0" applyFont="1" applyBorder="1" applyAlignment="1">
      <alignment horizontal="left" vertical="top" wrapText="1"/>
    </xf>
    <xf numFmtId="0" fontId="3" fillId="0" borderId="15" xfId="0" applyFont="1" applyBorder="1" applyAlignment="1">
      <alignment horizontal="left" vertical="top" wrapText="1"/>
    </xf>
    <xf numFmtId="0" fontId="3" fillId="0" borderId="1" xfId="2" applyBorder="1" applyAlignment="1">
      <alignment vertical="top" wrapText="1"/>
    </xf>
    <xf numFmtId="0" fontId="3" fillId="14" borderId="12" xfId="2" applyFill="1" applyBorder="1" applyAlignment="1">
      <alignment horizontal="left" vertical="top" wrapText="1"/>
    </xf>
    <xf numFmtId="0" fontId="18" fillId="0" borderId="100" xfId="10" applyFont="1" applyBorder="1" applyAlignment="1">
      <alignment horizontal="left" vertical="center" wrapText="1" indent="1" readingOrder="1"/>
    </xf>
    <xf numFmtId="0" fontId="9" fillId="0" borderId="0" xfId="2" applyFont="1"/>
    <xf numFmtId="0" fontId="9" fillId="0" borderId="0" xfId="2" applyFont="1" applyAlignment="1">
      <alignment horizontal="center"/>
    </xf>
    <xf numFmtId="0" fontId="9" fillId="0" borderId="0" xfId="2" applyFont="1" applyAlignment="1">
      <alignment horizontal="left"/>
    </xf>
    <xf numFmtId="0" fontId="7" fillId="0" borderId="0" xfId="2" applyFont="1"/>
    <xf numFmtId="0" fontId="3" fillId="14" borderId="16" xfId="2" applyFill="1" applyBorder="1" applyAlignment="1">
      <alignment horizontal="left" vertical="top" wrapText="1"/>
    </xf>
    <xf numFmtId="0" fontId="3" fillId="14" borderId="12" xfId="2" applyFill="1" applyBorder="1" applyAlignment="1">
      <alignment horizontal="center" vertical="top" wrapText="1"/>
    </xf>
    <xf numFmtId="0" fontId="25" fillId="22" borderId="50" xfId="2" applyFont="1" applyFill="1" applyBorder="1" applyAlignment="1">
      <alignment horizontal="center" vertical="top"/>
    </xf>
    <xf numFmtId="0" fontId="10" fillId="3" borderId="50" xfId="2" applyFont="1" applyFill="1" applyBorder="1" applyAlignment="1">
      <alignment horizontal="center" vertical="top"/>
    </xf>
    <xf numFmtId="0" fontId="3" fillId="14" borderId="49" xfId="2" applyFill="1" applyBorder="1" applyAlignment="1">
      <alignment horizontal="center" vertical="top" wrapText="1"/>
    </xf>
    <xf numFmtId="0" fontId="10" fillId="3" borderId="32" xfId="2" applyFont="1" applyFill="1" applyBorder="1" applyAlignment="1">
      <alignment horizontal="center" vertical="top"/>
    </xf>
    <xf numFmtId="0" fontId="3" fillId="0" borderId="1" xfId="3" applyNumberFormat="1" applyFont="1" applyBorder="1" applyAlignment="1">
      <alignment horizontal="center" vertical="top" wrapText="1"/>
    </xf>
    <xf numFmtId="0" fontId="3" fillId="14" borderId="14" xfId="3" applyNumberFormat="1" applyFont="1" applyFill="1" applyBorder="1" applyAlignment="1">
      <alignment horizontal="center" vertical="top" wrapText="1"/>
    </xf>
    <xf numFmtId="0" fontId="3" fillId="0" borderId="12" xfId="3" applyNumberFormat="1" applyFont="1" applyBorder="1" applyAlignment="1">
      <alignment horizontal="center" vertical="top" wrapText="1"/>
    </xf>
    <xf numFmtId="0" fontId="3" fillId="14" borderId="1" xfId="3" applyNumberFormat="1" applyFont="1" applyFill="1" applyBorder="1" applyAlignment="1">
      <alignment horizontal="center" vertical="top" wrapText="1"/>
    </xf>
    <xf numFmtId="0" fontId="3" fillId="0" borderId="1" xfId="2" applyBorder="1" applyAlignment="1">
      <alignment horizontal="center" vertical="top"/>
    </xf>
    <xf numFmtId="0" fontId="3" fillId="14" borderId="14" xfId="2" applyFill="1" applyBorder="1" applyAlignment="1">
      <alignment horizontal="center" vertical="top" wrapText="1"/>
    </xf>
    <xf numFmtId="0" fontId="3" fillId="14" borderId="1" xfId="2" applyFill="1" applyBorder="1" applyAlignment="1">
      <alignment horizontal="center" vertical="top" wrapText="1"/>
    </xf>
    <xf numFmtId="0" fontId="3" fillId="0" borderId="0" xfId="2" applyAlignment="1">
      <alignment horizontal="center" vertical="top"/>
    </xf>
    <xf numFmtId="0" fontId="5" fillId="18" borderId="74" xfId="5" applyFont="1" applyFill="1" applyBorder="1" applyAlignment="1">
      <alignment horizontal="center" vertical="center" wrapText="1"/>
    </xf>
    <xf numFmtId="0" fontId="5" fillId="18" borderId="75" xfId="5" applyFont="1" applyFill="1" applyBorder="1" applyAlignment="1">
      <alignment horizontal="center" vertical="center" wrapText="1"/>
    </xf>
    <xf numFmtId="0" fontId="5" fillId="18" borderId="76" xfId="5" applyFont="1" applyFill="1" applyBorder="1" applyAlignment="1">
      <alignment horizontal="center" vertical="center" wrapText="1"/>
    </xf>
    <xf numFmtId="0" fontId="4" fillId="0" borderId="78" xfId="0" applyFont="1" applyBorder="1" applyAlignment="1" applyProtection="1">
      <alignment horizontal="left" vertical="center" wrapText="1"/>
      <protection locked="0"/>
    </xf>
    <xf numFmtId="0" fontId="4" fillId="0" borderId="79" xfId="0" applyFont="1" applyBorder="1" applyAlignment="1" applyProtection="1">
      <alignment horizontal="left" vertical="center" wrapText="1"/>
      <protection locked="0"/>
    </xf>
    <xf numFmtId="0" fontId="3" fillId="0" borderId="81" xfId="0" applyFont="1" applyBorder="1" applyAlignment="1" applyProtection="1">
      <alignment horizontal="left" vertical="center" wrapText="1"/>
      <protection locked="0"/>
    </xf>
    <xf numFmtId="0" fontId="3" fillId="0" borderId="82" xfId="0" applyFont="1" applyBorder="1" applyAlignment="1" applyProtection="1">
      <alignment horizontal="left" vertical="center" wrapText="1"/>
      <protection locked="0"/>
    </xf>
    <xf numFmtId="0" fontId="17" fillId="18" borderId="56" xfId="9" applyFont="1" applyFill="1" applyBorder="1" applyAlignment="1">
      <alignment horizontal="left" vertical="center" wrapText="1"/>
    </xf>
    <xf numFmtId="0" fontId="17" fillId="18" borderId="57" xfId="9" applyFont="1" applyFill="1" applyBorder="1" applyAlignment="1">
      <alignment horizontal="left" vertical="center" wrapText="1"/>
    </xf>
    <xf numFmtId="0" fontId="17" fillId="18" borderId="58" xfId="9" applyFont="1" applyFill="1" applyBorder="1" applyAlignment="1">
      <alignment horizontal="left" vertical="center" wrapText="1"/>
    </xf>
    <xf numFmtId="164" fontId="18" fillId="0" borderId="70" xfId="9" applyNumberFormat="1" applyFont="1" applyBorder="1" applyAlignment="1">
      <alignment horizontal="center" vertical="center" wrapText="1"/>
    </xf>
    <xf numFmtId="164" fontId="18" fillId="0" borderId="73" xfId="9" applyNumberFormat="1" applyFont="1" applyBorder="1" applyAlignment="1">
      <alignment horizontal="center" vertical="center" wrapText="1"/>
    </xf>
    <xf numFmtId="165" fontId="18" fillId="0" borderId="71" xfId="9" applyNumberFormat="1" applyFont="1" applyBorder="1" applyAlignment="1">
      <alignment horizontal="center" vertical="center" wrapText="1"/>
    </xf>
    <xf numFmtId="165" fontId="18" fillId="0" borderId="95" xfId="9" applyNumberFormat="1" applyFont="1" applyBorder="1" applyAlignment="1">
      <alignment horizontal="center" vertical="center" wrapText="1"/>
    </xf>
    <xf numFmtId="0" fontId="18" fillId="0" borderId="72" xfId="10" applyFont="1" applyBorder="1" applyAlignment="1">
      <alignment horizontal="left" vertical="center" wrapText="1" indent="1" readingOrder="1"/>
    </xf>
    <xf numFmtId="0" fontId="18" fillId="0" borderId="96" xfId="10" applyFont="1" applyBorder="1" applyAlignment="1">
      <alignment horizontal="left" vertical="center" wrapText="1" indent="1" readingOrder="1"/>
    </xf>
    <xf numFmtId="0" fontId="17" fillId="18" borderId="56" xfId="5" applyFont="1" applyFill="1" applyBorder="1" applyAlignment="1">
      <alignment horizontal="left" vertical="center" wrapText="1"/>
    </xf>
    <xf numFmtId="0" fontId="17" fillId="18" borderId="57" xfId="5" applyFont="1" applyFill="1" applyBorder="1" applyAlignment="1">
      <alignment horizontal="left" vertical="center" wrapText="1"/>
    </xf>
    <xf numFmtId="0" fontId="17" fillId="18" borderId="58" xfId="5" applyFont="1" applyFill="1" applyBorder="1" applyAlignment="1">
      <alignment horizontal="left" vertical="center" wrapText="1"/>
    </xf>
    <xf numFmtId="0" fontId="17" fillId="18" borderId="56" xfId="4" applyFont="1" applyFill="1" applyBorder="1" applyAlignment="1">
      <alignment horizontal="left" vertical="center" wrapText="1"/>
    </xf>
    <xf numFmtId="0" fontId="17" fillId="18" borderId="57" xfId="4" applyFont="1" applyFill="1" applyBorder="1" applyAlignment="1">
      <alignment horizontal="left" vertical="center" wrapText="1"/>
    </xf>
    <xf numFmtId="0" fontId="17" fillId="18" borderId="58" xfId="4" applyFont="1" applyFill="1" applyBorder="1" applyAlignment="1">
      <alignment horizontal="left" vertical="center" wrapText="1"/>
    </xf>
    <xf numFmtId="0" fontId="15" fillId="0" borderId="0" xfId="0" applyFont="1" applyAlignment="1">
      <alignment horizontal="center" vertical="center"/>
    </xf>
    <xf numFmtId="0" fontId="3" fillId="0" borderId="33" xfId="0" applyFont="1" applyBorder="1" applyAlignment="1">
      <alignment horizontal="right"/>
    </xf>
    <xf numFmtId="0" fontId="0" fillId="0" borderId="32" xfId="0" applyBorder="1" applyAlignment="1">
      <alignment horizontal="right"/>
    </xf>
    <xf numFmtId="0" fontId="3" fillId="0" borderId="34" xfId="0" applyFont="1" applyBorder="1" applyAlignment="1">
      <alignment horizontal="right"/>
    </xf>
    <xf numFmtId="0" fontId="3" fillId="0" borderId="35" xfId="0" applyFont="1" applyBorder="1" applyAlignment="1">
      <alignment horizontal="right"/>
    </xf>
    <xf numFmtId="0" fontId="0" fillId="0" borderId="33" xfId="0" applyBorder="1" applyAlignment="1">
      <alignment horizontal="right"/>
    </xf>
    <xf numFmtId="0" fontId="0" fillId="0" borderId="34" xfId="0" applyBorder="1" applyAlignment="1">
      <alignment horizontal="right"/>
    </xf>
    <xf numFmtId="0" fontId="0" fillId="0" borderId="35" xfId="0" applyBorder="1" applyAlignment="1">
      <alignment horizontal="right"/>
    </xf>
    <xf numFmtId="0" fontId="15" fillId="0" borderId="0" xfId="0" applyFont="1" applyAlignment="1">
      <alignment horizontal="center"/>
    </xf>
    <xf numFmtId="0" fontId="15" fillId="0" borderId="0" xfId="0" applyFont="1" applyAlignment="1">
      <alignment horizontal="center" vertical="center" textRotation="90"/>
    </xf>
    <xf numFmtId="0" fontId="15" fillId="0" borderId="0" xfId="0" applyFont="1" applyAlignment="1">
      <alignment horizontal="right" vertical="center" textRotation="90"/>
    </xf>
    <xf numFmtId="0" fontId="20" fillId="20" borderId="1" xfId="0" applyFont="1" applyFill="1" applyBorder="1" applyAlignment="1">
      <alignment horizontal="center" vertical="center" wrapText="1"/>
    </xf>
    <xf numFmtId="0" fontId="20" fillId="19" borderId="1" xfId="0" applyFont="1" applyFill="1" applyBorder="1" applyAlignment="1">
      <alignment horizontal="left" wrapText="1"/>
    </xf>
    <xf numFmtId="0" fontId="5" fillId="15" borderId="87" xfId="0" applyFont="1" applyFill="1" applyBorder="1" applyAlignment="1">
      <alignment horizontal="center" vertical="center" wrapText="1"/>
    </xf>
    <xf numFmtId="0" fontId="5" fillId="15" borderId="16" xfId="0" applyFont="1" applyFill="1" applyBorder="1" applyAlignment="1">
      <alignment horizontal="center" vertical="center" wrapText="1"/>
    </xf>
    <xf numFmtId="0" fontId="9" fillId="0" borderId="0" xfId="0" applyFont="1" applyAlignment="1">
      <alignment horizontal="center" vertical="center" wrapText="1"/>
    </xf>
    <xf numFmtId="0" fontId="8" fillId="21" borderId="63" xfId="2" applyFont="1" applyFill="1" applyBorder="1" applyAlignment="1">
      <alignment horizontal="center"/>
    </xf>
    <xf numFmtId="0" fontId="8" fillId="21" borderId="68" xfId="2" applyFont="1" applyFill="1" applyBorder="1" applyAlignment="1">
      <alignment horizontal="center"/>
    </xf>
    <xf numFmtId="0" fontId="8" fillId="21" borderId="51" xfId="2" applyFont="1" applyFill="1" applyBorder="1" applyAlignment="1">
      <alignment horizontal="center"/>
    </xf>
    <xf numFmtId="0" fontId="9" fillId="0" borderId="54" xfId="2" applyFont="1" applyBorder="1" applyAlignment="1">
      <alignment horizontal="center"/>
    </xf>
    <xf numFmtId="0" fontId="9" fillId="0" borderId="16" xfId="2" applyFont="1" applyBorder="1" applyAlignment="1">
      <alignment horizontal="center"/>
    </xf>
    <xf numFmtId="0" fontId="9" fillId="0" borderId="54" xfId="2" applyFont="1" applyBorder="1" applyAlignment="1">
      <alignment horizontal="left"/>
    </xf>
    <xf numFmtId="0" fontId="9" fillId="0" borderId="16" xfId="2" applyFont="1" applyBorder="1" applyAlignment="1">
      <alignment horizontal="left"/>
    </xf>
    <xf numFmtId="0" fontId="3" fillId="14" borderId="65" xfId="2" applyFill="1" applyBorder="1" applyAlignment="1">
      <alignment horizontal="left" vertical="top" wrapText="1"/>
    </xf>
    <xf numFmtId="0" fontId="3" fillId="14" borderId="11" xfId="2" applyFill="1" applyBorder="1" applyAlignment="1">
      <alignment horizontal="left" vertical="top" wrapText="1"/>
    </xf>
    <xf numFmtId="0" fontId="3" fillId="14" borderId="14" xfId="2" applyFill="1" applyBorder="1" applyAlignment="1">
      <alignment horizontal="center" vertical="top" wrapText="1"/>
    </xf>
    <xf numFmtId="0" fontId="3" fillId="14" borderId="67" xfId="2" applyFill="1" applyBorder="1" applyAlignment="1">
      <alignment horizontal="center" vertical="top" wrapText="1"/>
    </xf>
    <xf numFmtId="0" fontId="3" fillId="14" borderId="66" xfId="2" applyFill="1" applyBorder="1" applyAlignment="1">
      <alignment horizontal="center" vertical="top" wrapText="1"/>
    </xf>
    <xf numFmtId="0" fontId="3" fillId="14" borderId="12" xfId="2" applyFill="1" applyBorder="1" applyAlignment="1">
      <alignment horizontal="center" vertical="top" wrapText="1"/>
    </xf>
    <xf numFmtId="0" fontId="3" fillId="0" borderId="14" xfId="3" applyNumberFormat="1" applyFont="1" applyBorder="1" applyAlignment="1">
      <alignment horizontal="center" vertical="top" wrapText="1"/>
    </xf>
    <xf numFmtId="0" fontId="3" fillId="0" borderId="12" xfId="3" applyNumberFormat="1" applyFont="1" applyBorder="1" applyAlignment="1">
      <alignment horizontal="center" vertical="top" wrapText="1"/>
    </xf>
    <xf numFmtId="0" fontId="3" fillId="14" borderId="14" xfId="3" applyNumberFormat="1" applyFont="1" applyFill="1" applyBorder="1" applyAlignment="1">
      <alignment horizontal="center" vertical="top" wrapText="1"/>
    </xf>
    <xf numFmtId="0" fontId="3" fillId="14" borderId="12" xfId="3" applyNumberFormat="1" applyFont="1" applyFill="1" applyBorder="1" applyAlignment="1">
      <alignment horizontal="center" vertical="top" wrapText="1"/>
    </xf>
    <xf numFmtId="0" fontId="3" fillId="0" borderId="1" xfId="3" applyNumberFormat="1" applyFont="1" applyBorder="1" applyAlignment="1">
      <alignment horizontal="center" vertical="top" wrapText="1"/>
    </xf>
    <xf numFmtId="0" fontId="3" fillId="0" borderId="49" xfId="3" applyNumberFormat="1" applyFont="1" applyBorder="1" applyAlignment="1">
      <alignment horizontal="center" vertical="top" wrapText="1"/>
    </xf>
    <xf numFmtId="0" fontId="3" fillId="0" borderId="67" xfId="3" applyNumberFormat="1" applyFont="1" applyBorder="1" applyAlignment="1">
      <alignment horizontal="center" vertical="top" wrapText="1"/>
    </xf>
    <xf numFmtId="0" fontId="3" fillId="14" borderId="1" xfId="2" applyFill="1" applyBorder="1" applyAlignment="1">
      <alignment horizontal="center" vertical="top" wrapText="1"/>
    </xf>
    <xf numFmtId="0" fontId="3" fillId="14" borderId="14" xfId="2" applyFill="1" applyBorder="1" applyAlignment="1">
      <alignment horizontal="center" vertical="top"/>
    </xf>
    <xf numFmtId="0" fontId="3" fillId="14" borderId="12" xfId="2" applyFill="1" applyBorder="1" applyAlignment="1">
      <alignment horizontal="center" vertical="top"/>
    </xf>
    <xf numFmtId="0" fontId="3" fillId="14" borderId="49" xfId="3" applyNumberFormat="1" applyFont="1" applyFill="1" applyBorder="1" applyAlignment="1">
      <alignment horizontal="center" vertical="top" wrapText="1"/>
    </xf>
    <xf numFmtId="0" fontId="3" fillId="14" borderId="49" xfId="2" applyFill="1" applyBorder="1" applyAlignment="1">
      <alignment horizontal="center" vertical="top" wrapText="1"/>
    </xf>
    <xf numFmtId="0" fontId="8" fillId="0" borderId="24" xfId="2" applyFont="1" applyBorder="1" applyAlignment="1">
      <alignment horizontal="center" vertical="center" wrapText="1"/>
    </xf>
    <xf numFmtId="0" fontId="8" fillId="0" borderId="23" xfId="2" applyFont="1" applyBorder="1" applyAlignment="1">
      <alignment horizontal="center" vertical="center" wrapText="1"/>
    </xf>
    <xf numFmtId="0" fontId="8" fillId="0" borderId="30" xfId="2" applyFont="1" applyBorder="1" applyAlignment="1">
      <alignment horizontal="center" vertical="center" wrapText="1"/>
    </xf>
    <xf numFmtId="0" fontId="8" fillId="0" borderId="17" xfId="2" applyFont="1" applyBorder="1" applyAlignment="1">
      <alignment horizontal="center" vertical="center" wrapText="1"/>
    </xf>
    <xf numFmtId="0" fontId="8" fillId="0" borderId="42" xfId="2" applyFont="1" applyBorder="1" applyAlignment="1">
      <alignment horizontal="center" vertical="center" wrapText="1"/>
    </xf>
    <xf numFmtId="0" fontId="8" fillId="0" borderId="47" xfId="2" applyFont="1" applyBorder="1" applyAlignment="1">
      <alignment horizontal="center" vertical="center" wrapText="1"/>
    </xf>
    <xf numFmtId="0" fontId="8" fillId="0" borderId="24" xfId="2" applyFont="1" applyBorder="1" applyAlignment="1">
      <alignment horizontal="center" vertical="center" textRotation="180"/>
    </xf>
    <xf numFmtId="0" fontId="8" fillId="0" borderId="22" xfId="2" applyFont="1" applyBorder="1" applyAlignment="1">
      <alignment horizontal="center" vertical="center" textRotation="180"/>
    </xf>
    <xf numFmtId="0" fontId="8" fillId="0" borderId="53" xfId="2" applyFont="1" applyBorder="1" applyAlignment="1">
      <alignment horizontal="center" vertical="center" textRotation="180"/>
    </xf>
    <xf numFmtId="0" fontId="8" fillId="0" borderId="31" xfId="2" applyFont="1" applyBorder="1" applyAlignment="1">
      <alignment horizontal="center" vertical="center" textRotation="180"/>
    </xf>
    <xf numFmtId="0" fontId="8" fillId="0" borderId="37" xfId="2" applyFont="1" applyBorder="1" applyAlignment="1">
      <alignment horizontal="center" vertical="center" wrapText="1"/>
    </xf>
    <xf numFmtId="0" fontId="8" fillId="0" borderId="38" xfId="2" applyFont="1" applyBorder="1" applyAlignment="1">
      <alignment horizontal="center" vertical="center" wrapText="1"/>
    </xf>
    <xf numFmtId="0" fontId="8" fillId="0" borderId="39" xfId="2" applyFont="1" applyBorder="1" applyAlignment="1">
      <alignment horizontal="center" vertical="center" wrapText="1"/>
    </xf>
    <xf numFmtId="1" fontId="8" fillId="0" borderId="43" xfId="2" applyNumberFormat="1" applyFont="1" applyBorder="1" applyAlignment="1">
      <alignment horizontal="center" vertical="center" textRotation="180"/>
    </xf>
    <xf numFmtId="1" fontId="8" fillId="0" borderId="28" xfId="2" applyNumberFormat="1" applyFont="1" applyBorder="1" applyAlignment="1">
      <alignment horizontal="center" vertical="center" textRotation="180"/>
    </xf>
    <xf numFmtId="0" fontId="8" fillId="12" borderId="6" xfId="2" applyFont="1" applyFill="1" applyBorder="1" applyAlignment="1">
      <alignment horizontal="center" vertical="center" textRotation="180" wrapText="1"/>
    </xf>
    <xf numFmtId="0" fontId="8" fillId="12" borderId="14" xfId="2" applyFont="1" applyFill="1" applyBorder="1" applyAlignment="1">
      <alignment horizontal="center" vertical="center" textRotation="180" wrapText="1"/>
    </xf>
    <xf numFmtId="0" fontId="8" fillId="0" borderId="42" xfId="2" applyFont="1" applyBorder="1" applyAlignment="1">
      <alignment horizontal="center" vertical="center" textRotation="180" wrapText="1"/>
    </xf>
    <xf numFmtId="0" fontId="8" fillId="0" borderId="47" xfId="2" applyFont="1" applyBorder="1" applyAlignment="1">
      <alignment horizontal="center" vertical="center" textRotation="180" wrapText="1"/>
    </xf>
    <xf numFmtId="0" fontId="8" fillId="0" borderId="40" xfId="2" applyFont="1" applyBorder="1" applyAlignment="1">
      <alignment horizontal="center" vertical="center"/>
    </xf>
    <xf numFmtId="0" fontId="8" fillId="0" borderId="41" xfId="2" applyFont="1" applyBorder="1" applyAlignment="1">
      <alignment horizontal="center" vertical="center"/>
    </xf>
    <xf numFmtId="0" fontId="8" fillId="0" borderId="69" xfId="2" applyFont="1" applyBorder="1" applyAlignment="1">
      <alignment horizontal="center" vertical="center"/>
    </xf>
    <xf numFmtId="0" fontId="3" fillId="14" borderId="55" xfId="2" applyFill="1" applyBorder="1" applyAlignment="1">
      <alignment horizontal="left" vertical="top" wrapText="1"/>
    </xf>
    <xf numFmtId="0" fontId="8" fillId="0" borderId="62" xfId="2" applyFont="1" applyBorder="1" applyAlignment="1">
      <alignment horizontal="center" vertical="center" wrapText="1"/>
    </xf>
    <xf numFmtId="0" fontId="8" fillId="0" borderId="52" xfId="2" applyFont="1" applyBorder="1" applyAlignment="1">
      <alignment horizontal="center" vertical="center" wrapText="1"/>
    </xf>
    <xf numFmtId="0" fontId="3" fillId="14" borderId="14" xfId="2" applyFill="1" applyBorder="1" applyAlignment="1">
      <alignment horizontal="left" vertical="top" wrapText="1"/>
    </xf>
    <xf numFmtId="0" fontId="3" fillId="14" borderId="12" xfId="2" applyFill="1" applyBorder="1" applyAlignment="1">
      <alignment horizontal="left" vertical="top" wrapText="1"/>
    </xf>
    <xf numFmtId="0" fontId="3" fillId="14" borderId="66" xfId="2" applyFill="1" applyBorder="1" applyAlignment="1">
      <alignment horizontal="left" vertical="top" wrapText="1"/>
    </xf>
    <xf numFmtId="0" fontId="3" fillId="14" borderId="49" xfId="2" applyFill="1" applyBorder="1" applyAlignment="1">
      <alignment horizontal="left" vertical="top" wrapText="1"/>
    </xf>
    <xf numFmtId="43" fontId="3" fillId="14" borderId="55" xfId="3" applyFont="1" applyFill="1" applyBorder="1" applyAlignment="1">
      <alignment horizontal="left" vertical="top" wrapText="1"/>
    </xf>
    <xf numFmtId="43" fontId="3" fillId="14" borderId="11" xfId="3" applyFont="1" applyFill="1" applyBorder="1" applyAlignment="1">
      <alignment horizontal="left" vertical="top" wrapText="1"/>
    </xf>
    <xf numFmtId="0" fontId="8" fillId="0" borderId="62" xfId="2" applyFont="1" applyBorder="1" applyAlignment="1">
      <alignment horizontal="center" vertical="center"/>
    </xf>
    <xf numFmtId="0" fontId="8" fillId="0" borderId="52" xfId="2" applyFont="1" applyBorder="1" applyAlignment="1">
      <alignment horizontal="center" vertical="center"/>
    </xf>
    <xf numFmtId="0" fontId="3" fillId="14" borderId="44" xfId="2" applyFill="1" applyBorder="1" applyAlignment="1">
      <alignment horizontal="left" vertical="top" wrapText="1"/>
    </xf>
    <xf numFmtId="0" fontId="3" fillId="0" borderId="14" xfId="2" applyBorder="1" applyAlignment="1">
      <alignment horizontal="center" vertical="top" wrapText="1"/>
    </xf>
    <xf numFmtId="0" fontId="3" fillId="0" borderId="49" xfId="2" applyBorder="1" applyAlignment="1">
      <alignment horizontal="center" vertical="top" wrapText="1"/>
    </xf>
    <xf numFmtId="0" fontId="3" fillId="0" borderId="12" xfId="2" applyBorder="1" applyAlignment="1">
      <alignment horizontal="center" vertical="top" wrapText="1"/>
    </xf>
    <xf numFmtId="0" fontId="3" fillId="14" borderId="1" xfId="2" applyFill="1" applyBorder="1" applyAlignment="1">
      <alignment horizontal="left" vertical="top" wrapText="1"/>
    </xf>
    <xf numFmtId="0" fontId="3" fillId="10" borderId="14" xfId="2" applyFill="1" applyBorder="1" applyAlignment="1">
      <alignment horizontal="left" vertical="top" wrapText="1"/>
    </xf>
    <xf numFmtId="0" fontId="3" fillId="10" borderId="12" xfId="2" applyFill="1" applyBorder="1" applyAlignment="1">
      <alignment horizontal="left" vertical="top" wrapText="1"/>
    </xf>
    <xf numFmtId="0" fontId="3" fillId="14" borderId="67" xfId="2" applyFill="1" applyBorder="1" applyAlignment="1">
      <alignment horizontal="left" vertical="top" wrapText="1"/>
    </xf>
    <xf numFmtId="0" fontId="3" fillId="0" borderId="14" xfId="2" applyBorder="1" applyAlignment="1">
      <alignment horizontal="left" vertical="top" wrapText="1"/>
    </xf>
    <xf numFmtId="0" fontId="3" fillId="0" borderId="12" xfId="2" applyBorder="1" applyAlignment="1">
      <alignment horizontal="left" vertical="top" wrapText="1"/>
    </xf>
    <xf numFmtId="0" fontId="8" fillId="0" borderId="7" xfId="2" applyFont="1" applyBorder="1" applyAlignment="1">
      <alignment horizontal="center" vertical="center" wrapText="1"/>
    </xf>
    <xf numFmtId="0" fontId="8" fillId="13" borderId="37" xfId="2" applyFont="1" applyFill="1" applyBorder="1" applyAlignment="1">
      <alignment horizontal="center" vertical="center" wrapText="1"/>
    </xf>
    <xf numFmtId="0" fontId="3" fillId="13" borderId="38" xfId="2" applyFill="1" applyBorder="1" applyAlignment="1">
      <alignment horizontal="center" vertical="center" wrapText="1"/>
    </xf>
    <xf numFmtId="0" fontId="3" fillId="13" borderId="45" xfId="2" applyFill="1" applyBorder="1" applyAlignment="1">
      <alignment horizontal="center" vertical="center" wrapText="1"/>
    </xf>
    <xf numFmtId="0" fontId="3" fillId="14" borderId="66" xfId="3" applyNumberFormat="1" applyFont="1" applyFill="1" applyBorder="1" applyAlignment="1">
      <alignment horizontal="center" vertical="top" wrapText="1"/>
    </xf>
    <xf numFmtId="43" fontId="3" fillId="14" borderId="1" xfId="3" applyFont="1" applyFill="1" applyBorder="1" applyAlignment="1">
      <alignment horizontal="left" vertical="top" wrapText="1"/>
    </xf>
    <xf numFmtId="0" fontId="3" fillId="14" borderId="1" xfId="3" applyNumberFormat="1" applyFont="1" applyFill="1" applyBorder="1" applyAlignment="1">
      <alignment horizontal="center" vertical="top" wrapText="1"/>
    </xf>
    <xf numFmtId="43" fontId="3" fillId="14" borderId="14" xfId="3" applyFont="1" applyFill="1" applyBorder="1" applyAlignment="1">
      <alignment horizontal="left" vertical="top" wrapText="1"/>
    </xf>
    <xf numFmtId="43" fontId="3" fillId="14" borderId="12" xfId="3" applyFont="1" applyFill="1" applyBorder="1" applyAlignment="1">
      <alignment horizontal="left" vertical="top" wrapText="1"/>
    </xf>
    <xf numFmtId="43" fontId="3" fillId="14" borderId="17" xfId="3" applyFont="1" applyFill="1" applyBorder="1" applyAlignment="1">
      <alignment horizontal="left" vertical="top" wrapText="1"/>
    </xf>
    <xf numFmtId="43" fontId="3" fillId="14" borderId="18" xfId="3" applyFont="1" applyFill="1" applyBorder="1" applyAlignment="1">
      <alignment horizontal="left" vertical="top" wrapText="1"/>
    </xf>
    <xf numFmtId="43" fontId="3" fillId="0" borderId="55" xfId="3" applyFont="1" applyBorder="1" applyAlignment="1">
      <alignment horizontal="left" vertical="top" wrapText="1"/>
    </xf>
    <xf numFmtId="43" fontId="3" fillId="0" borderId="11" xfId="3" applyFont="1" applyBorder="1" applyAlignment="1">
      <alignment horizontal="left" vertical="top" wrapText="1"/>
    </xf>
    <xf numFmtId="0" fontId="3" fillId="14" borderId="55" xfId="2" applyFill="1" applyBorder="1" applyAlignment="1">
      <alignment horizontal="center" vertical="top" wrapText="1"/>
    </xf>
    <xf numFmtId="0" fontId="3" fillId="14" borderId="11" xfId="2" applyFill="1" applyBorder="1" applyAlignment="1">
      <alignment horizontal="center" vertical="top" wrapText="1"/>
    </xf>
    <xf numFmtId="0" fontId="8" fillId="14" borderId="53" xfId="2" applyFont="1" applyFill="1" applyBorder="1" applyAlignment="1">
      <alignment horizontal="center" vertical="center" wrapText="1"/>
    </xf>
    <xf numFmtId="0" fontId="8" fillId="14" borderId="36" xfId="2" applyFont="1" applyFill="1" applyBorder="1" applyAlignment="1">
      <alignment horizontal="center" vertical="center" wrapText="1"/>
    </xf>
  </cellXfs>
  <cellStyles count="12">
    <cellStyle name="Comma 2" xfId="3" xr:uid="{00000000-0005-0000-0000-000000000000}"/>
    <cellStyle name="Hyperlink" xfId="8" builtinId="8"/>
    <cellStyle name="Neutral" xfId="1" builtinId="28"/>
    <cellStyle name="Neutral 2" xfId="6" xr:uid="{00000000-0005-0000-0000-000003000000}"/>
    <cellStyle name="Normal" xfId="0" builtinId="0"/>
    <cellStyle name="Normal 2" xfId="2" xr:uid="{00000000-0005-0000-0000-000005000000}"/>
    <cellStyle name="Normal 3" xfId="7" xr:uid="{00000000-0005-0000-0000-000006000000}"/>
    <cellStyle name="Normal 4" xfId="4" xr:uid="{00000000-0005-0000-0000-000007000000}"/>
    <cellStyle name="Normal 4 2" xfId="5" xr:uid="{00000000-0005-0000-0000-000008000000}"/>
    <cellStyle name="Normal 4 2 2" xfId="10" xr:uid="{F5CBB0AC-7969-4377-A179-C10D95795205}"/>
    <cellStyle name="Normal 4 3" xfId="9" xr:uid="{9E6A2838-EB7B-47B0-B403-BE5CDF437D48}"/>
    <cellStyle name="Normal 4 3 2" xfId="11" xr:uid="{3C3AF9B4-88B0-4B32-AEC5-48260D58B914}"/>
  </cellStyles>
  <dxfs count="2266">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solid">
          <fgColor indexed="64"/>
          <bgColor indexed="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D6DA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Arial"/>
        <scheme val="none"/>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2900E"/>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left style="thin">
          <color theme="1" tint="0.499984740745262"/>
        </left>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vertical="center" textRotation="0" wrapText="1" indent="0" justifyLastLine="0" shrinkToFit="0" readingOrder="0"/>
      <border diagonalUp="0" diagonalDown="0">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theme="1" tint="0.499984740745262"/>
        </top>
      </border>
    </dxf>
    <dxf>
      <border diagonalUp="0" diagonalDown="0">
        <left style="medium">
          <color theme="1" tint="0.499984740745262"/>
        </left>
        <right style="medium">
          <color theme="1" tint="0.499984740745262"/>
        </right>
        <top style="medium">
          <color theme="1" tint="0.499984740745262"/>
        </top>
        <bottom style="medium">
          <color theme="1" tint="0.499984740745262"/>
        </bottom>
      </border>
    </dxf>
    <dxf>
      <alignment horizontal="left" vertical="center" textRotation="0" indent="0" justifyLastLine="0" shrinkToFit="0" readingOrder="0"/>
    </dxf>
    <dxf>
      <border>
        <bottom style="thin">
          <color theme="1" tint="0.499984740745262"/>
        </bottom>
      </border>
    </dxf>
    <dxf>
      <alignment horizontal="left" vertical="center" textRotation="0" indent="0" justifyLastLine="0" shrinkToFit="0" readingOrder="0"/>
      <border diagonalUp="0" diagonalDown="0">
        <left style="thin">
          <color theme="1" tint="0.499984740745262"/>
        </left>
        <right style="thin">
          <color theme="1" tint="0.499984740745262"/>
        </right>
        <top/>
        <bottom/>
        <vertical style="thin">
          <color theme="1" tint="0.499984740745262"/>
        </vertical>
        <horizontal style="thin">
          <color theme="1" tint="0.499984740745262"/>
        </horizontal>
      </border>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TableStyleMedium9" defaultPivotStyle="PivotStyleLight16">
    <tableStyle name="POLARION" pivot="0" count="5" xr9:uid="{00000000-0011-0000-FFFF-FFFF00000000}">
      <tableStyleElement type="wholeTable" dxfId="2265"/>
      <tableStyleElement type="headerRow" dxfId="2264"/>
      <tableStyleElement type="totalRow" dxfId="2263"/>
      <tableStyleElement type="firstRowStripe" dxfId="2262"/>
      <tableStyleElement type="secondRowStripe" dxfId="226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2900E"/>
      <color rgb="FF00B050"/>
      <color rgb="FFC0C0C0"/>
      <color rgb="FFF05026"/>
      <color rgb="FF68D242"/>
      <color rgb="FF3D6DA1"/>
      <color rgb="FF314672"/>
      <color rgb="FF92D050"/>
      <color rgb="FF8365A3"/>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1393548</xdr:colOff>
      <xdr:row>1</xdr:row>
      <xdr:rowOff>27746</xdr:rowOff>
    </xdr:from>
    <xdr:ext cx="2038350" cy="6572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9598" y="227771"/>
          <a:ext cx="20383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6624276</xdr:colOff>
      <xdr:row>1</xdr:row>
      <xdr:rowOff>115614</xdr:rowOff>
    </xdr:from>
    <xdr:ext cx="1967274" cy="643759"/>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5401" y="315639"/>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1652219</xdr:colOff>
      <xdr:row>1</xdr:row>
      <xdr:rowOff>28208</xdr:rowOff>
    </xdr:from>
    <xdr:ext cx="1967274" cy="643759"/>
    <xdr:pic>
      <xdr:nvPicPr>
        <xdr:cNvPr id="2" name="Picture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7694" y="228233"/>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5371117</xdr:colOff>
      <xdr:row>0</xdr:row>
      <xdr:rowOff>181852</xdr:rowOff>
    </xdr:from>
    <xdr:ext cx="1469156" cy="480757"/>
    <xdr:pic>
      <xdr:nvPicPr>
        <xdr:cNvPr id="2" name="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7769" y="181852"/>
          <a:ext cx="1469156" cy="480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488123</xdr:colOff>
      <xdr:row>53</xdr:row>
      <xdr:rowOff>56663</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xfrm>
          <a:off x="0" y="0"/>
          <a:ext cx="12590476" cy="83714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503162</xdr:colOff>
      <xdr:row>51</xdr:row>
      <xdr:rowOff>65634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0" y="0"/>
          <a:ext cx="13304762" cy="83238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438150</xdr:colOff>
      <xdr:row>68</xdr:row>
      <xdr:rowOff>85725</xdr:rowOff>
    </xdr:to>
    <xdr:pic>
      <xdr:nvPicPr>
        <xdr:cNvPr id="3" name="Picture 2">
          <a:extLst>
            <a:ext uri="{FF2B5EF4-FFF2-40B4-BE49-F238E27FC236}">
              <a16:creationId xmlns:a16="http://schemas.microsoft.com/office/drawing/2014/main" id="{77F097E5-DBD2-4E3E-BE14-2B5FC8A533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020550" cy="1109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01\HDE%20World\Polarion\4.%20Polarion-Exported-Docs\20180625-Product-PRDs\SmartByPass-P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Report"/>
      <sheetName val="Polarion"/>
      <sheetName val="_polarion"/>
      <sheetName val="SmartByPass-PRD"/>
      <sheetName val="Data Validation"/>
    </sheetNames>
    <sheetDataSet>
      <sheetData sheetId="0" refreshError="1"/>
      <sheetData sheetId="1" refreshError="1"/>
      <sheetData sheetId="2"/>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54" displayName="Table154" ref="B6:D7" totalsRowShown="0" headerRowDxfId="2260" dataDxfId="2258" headerRowBorderDxfId="2259" tableBorderDxfId="2257" totalsRowBorderDxfId="2256">
  <autoFilter ref="B6:D7" xr:uid="{00000000-0009-0000-0100-000001000000}"/>
  <tableColumns count="3">
    <tableColumn id="2" xr3:uid="{00000000-0010-0000-0000-000002000000}" name="PS19 QPI" dataDxfId="2255"/>
    <tableColumn id="3" xr3:uid="{00000000-0010-0000-0000-000003000000}" name="PS19 Technical Experts" dataDxfId="2254"/>
    <tableColumn id="4" xr3:uid="{00000000-0010-0000-0000-000004000000}" name="Smart Wires Reviewer" dataDxfId="2253"/>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3:E8" totalsRowShown="0" headerRowDxfId="2252" headerRowBorderDxfId="2251" tableBorderDxfId="2250" totalsRowBorderDxfId="2249">
  <autoFilter ref="B3:E8" xr:uid="{00000000-0009-0000-0100-000002000000}"/>
  <tableColumns count="4">
    <tableColumn id="1" xr3:uid="{00000000-0010-0000-0100-000001000000}" name="Score" dataDxfId="2248"/>
    <tableColumn id="2" xr3:uid="{00000000-0010-0000-0100-000002000000}" name="Criteria" dataDxfId="2247"/>
    <tableColumn id="4" xr3:uid="{00000000-0010-0000-0100-000004000000}" name="Notes" dataDxfId="2246"/>
    <tableColumn id="3" xr3:uid="{00000000-0010-0000-0100-000003000000}" name="Example" dataDxfId="2245"/>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G3:J8" totalsRowShown="0" headerRowDxfId="2244" headerRowBorderDxfId="2243" tableBorderDxfId="2242" totalsRowBorderDxfId="2241">
  <autoFilter ref="G3:J8" xr:uid="{00000000-0009-0000-0100-000004000000}"/>
  <tableColumns count="4">
    <tableColumn id="1" xr3:uid="{00000000-0010-0000-0200-000001000000}" name="Score" dataDxfId="2240"/>
    <tableColumn id="2" xr3:uid="{00000000-0010-0000-0200-000002000000}" name="Notes" dataDxfId="2239"/>
    <tableColumn id="3" xr3:uid="{00000000-0010-0000-0200-000003000000}" name="Probability Description" dataDxfId="2238"/>
    <tableColumn id="4" xr3:uid="{00000000-0010-0000-0200-000004000000}" name="Probability" dataDxfId="223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5" displayName="Table5" ref="G12:H16" totalsRowShown="0" headerRowDxfId="2236" headerRowBorderDxfId="2235" tableBorderDxfId="2234" totalsRowBorderDxfId="2233">
  <autoFilter ref="G12:H16" xr:uid="{00000000-0009-0000-0100-000003000000}"/>
  <tableColumns count="2">
    <tableColumn id="1" xr3:uid="{00000000-0010-0000-0300-000001000000}" name="RPN Conditions" dataDxfId="2232" dataCellStyle="Normal 2"/>
    <tableColumn id="2" xr3:uid="{00000000-0010-0000-0300-000002000000}" name="Color" dataDxfId="223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martwires.box.com/s/5ix0maoqkrptwc0o7g3etx2dmtnl1xe9" TargetMode="External"/><Relationship Id="rId7" Type="http://schemas.openxmlformats.org/officeDocument/2006/relationships/drawing" Target="../drawings/drawing4.xml"/><Relationship Id="rId2" Type="http://schemas.openxmlformats.org/officeDocument/2006/relationships/hyperlink" Target="https://app.box.com/folder/161100757955" TargetMode="External"/><Relationship Id="rId1" Type="http://schemas.openxmlformats.org/officeDocument/2006/relationships/hyperlink" Target="https://smartwires.box.com/s/vdzurtx3awsldud3rbujqgtuk429zy2d" TargetMode="External"/><Relationship Id="rId6" Type="http://schemas.openxmlformats.org/officeDocument/2006/relationships/printerSettings" Target="../printerSettings/printerSettings4.bin"/><Relationship Id="rId5" Type="http://schemas.openxmlformats.org/officeDocument/2006/relationships/hyperlink" Target="https://smartwires.box.com/s/ee1j475xj0oug4mwn3ss2d95tecg5r5q" TargetMode="External"/><Relationship Id="rId4" Type="http://schemas.openxmlformats.org/officeDocument/2006/relationships/hyperlink" Target="https://smartwires.box.com/s/o4439y3u31735okh9o7bsgp7xvjvog0t"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6.bin"/><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9"/>
  <sheetViews>
    <sheetView showGridLines="0" zoomScale="130" zoomScaleNormal="130" workbookViewId="0">
      <selection activeCell="C3" sqref="C3:D3"/>
    </sheetView>
  </sheetViews>
  <sheetFormatPr defaultColWidth="8.85546875" defaultRowHeight="15" x14ac:dyDescent="0.25"/>
  <cols>
    <col min="1" max="1" width="8.85546875" style="93"/>
    <col min="2" max="2" width="31.42578125" style="93" bestFit="1" customWidth="1"/>
    <col min="3" max="3" width="33.7109375" style="93" customWidth="1"/>
    <col min="4" max="4" width="105.28515625" style="93" customWidth="1"/>
    <col min="5" max="5" width="8.85546875" style="93"/>
    <col min="6" max="6" width="10.140625" style="93" bestFit="1" customWidth="1"/>
    <col min="7" max="7" width="18.42578125" style="93" bestFit="1" customWidth="1"/>
    <col min="8" max="16384" width="8.85546875" style="93"/>
  </cols>
  <sheetData>
    <row r="1" spans="1:9" ht="15.75" thickBot="1" x14ac:dyDescent="0.3">
      <c r="A1" s="90"/>
      <c r="B1" s="91"/>
      <c r="C1" s="91"/>
      <c r="D1" s="92"/>
      <c r="E1" s="90"/>
      <c r="F1" s="90"/>
      <c r="G1" s="90"/>
      <c r="H1" s="90"/>
      <c r="I1" s="90"/>
    </row>
    <row r="2" spans="1:9" ht="56.1" customHeight="1" thickBot="1" x14ac:dyDescent="0.3">
      <c r="A2" s="90"/>
      <c r="B2" s="263"/>
      <c r="C2" s="264"/>
      <c r="D2" s="265"/>
      <c r="E2" s="90"/>
      <c r="F2" s="90"/>
      <c r="G2" s="90"/>
      <c r="H2" s="90"/>
      <c r="I2" s="90"/>
    </row>
    <row r="3" spans="1:9" ht="32.1" customHeight="1" x14ac:dyDescent="0.25">
      <c r="A3" s="90"/>
      <c r="B3" s="94" t="s">
        <v>112</v>
      </c>
      <c r="C3" s="266" t="s">
        <v>1487</v>
      </c>
      <c r="D3" s="267"/>
      <c r="E3" s="90"/>
      <c r="F3" s="90"/>
      <c r="G3" s="90"/>
      <c r="H3" s="90"/>
      <c r="I3" s="90"/>
    </row>
    <row r="4" spans="1:9" ht="15.75" customHeight="1" thickBot="1" x14ac:dyDescent="0.3">
      <c r="A4" s="90"/>
      <c r="B4" s="95" t="s">
        <v>113</v>
      </c>
      <c r="C4" s="268" t="s">
        <v>975</v>
      </c>
      <c r="D4" s="269"/>
      <c r="E4" s="90"/>
      <c r="F4" s="90"/>
      <c r="G4" s="90"/>
      <c r="H4" s="90"/>
      <c r="I4" s="90"/>
    </row>
    <row r="5" spans="1:9" customFormat="1" ht="12.75" x14ac:dyDescent="0.2"/>
    <row r="6" spans="1:9" ht="24" customHeight="1" x14ac:dyDescent="0.25">
      <c r="B6" s="96" t="s">
        <v>924</v>
      </c>
      <c r="C6" s="97" t="s">
        <v>925</v>
      </c>
      <c r="D6" s="98" t="s">
        <v>926</v>
      </c>
    </row>
    <row r="7" spans="1:9" ht="24.75" customHeight="1" x14ac:dyDescent="0.25">
      <c r="B7" s="99" t="s">
        <v>1423</v>
      </c>
      <c r="C7" s="99" t="s">
        <v>1462</v>
      </c>
      <c r="D7" s="99" t="s">
        <v>1424</v>
      </c>
    </row>
    <row r="8" spans="1:9" ht="24.75" customHeight="1" x14ac:dyDescent="0.25"/>
    <row r="9" spans="1:9" ht="24.75" customHeight="1" x14ac:dyDescent="0.25"/>
  </sheetData>
  <mergeCells count="3">
    <mergeCell ref="B2:D2"/>
    <mergeCell ref="C3:D3"/>
    <mergeCell ref="C4:D4"/>
  </mergeCells>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68F8-B517-441E-A557-0645CD37D3CB}">
  <sheetPr codeName="Sheet11"/>
  <dimension ref="A1:G58"/>
  <sheetViews>
    <sheetView showGridLines="0" zoomScale="145" zoomScaleNormal="145" workbookViewId="0">
      <selection activeCell="D19" sqref="D19"/>
    </sheetView>
  </sheetViews>
  <sheetFormatPr defaultColWidth="0" defaultRowHeight="15" customHeight="1" zeroHeight="1" x14ac:dyDescent="0.25"/>
  <cols>
    <col min="1" max="1" width="2.140625" style="208" customWidth="1"/>
    <col min="2" max="2" width="9.7109375" style="208" bestFit="1" customWidth="1"/>
    <col min="3" max="3" width="8.85546875" style="208" customWidth="1"/>
    <col min="4" max="4" width="127.140625" style="208" customWidth="1"/>
    <col min="5" max="5" width="3" style="208" customWidth="1"/>
    <col min="6" max="7" width="0" style="208" hidden="1" customWidth="1"/>
    <col min="8" max="16384" width="8.85546875" style="208" hidden="1"/>
  </cols>
  <sheetData>
    <row r="1" spans="2:4" ht="15.75" thickBot="1" x14ac:dyDescent="0.3"/>
    <row r="2" spans="2:4" ht="18.75" thickBot="1" x14ac:dyDescent="0.3">
      <c r="B2" s="270" t="s">
        <v>1437</v>
      </c>
      <c r="C2" s="271"/>
      <c r="D2" s="272"/>
    </row>
    <row r="3" spans="2:4" ht="39" customHeight="1" thickBot="1" x14ac:dyDescent="0.3">
      <c r="B3" s="209" t="s">
        <v>1438</v>
      </c>
      <c r="C3" s="210" t="s">
        <v>1439</v>
      </c>
      <c r="D3" s="211" t="s">
        <v>0</v>
      </c>
    </row>
    <row r="4" spans="2:4" x14ac:dyDescent="0.25">
      <c r="B4" s="273">
        <v>44244</v>
      </c>
      <c r="C4" s="275">
        <v>1</v>
      </c>
      <c r="D4" s="277" t="s">
        <v>1442</v>
      </c>
    </row>
    <row r="5" spans="2:4" ht="15.75" thickBot="1" x14ac:dyDescent="0.3">
      <c r="B5" s="274"/>
      <c r="C5" s="276"/>
      <c r="D5" s="278"/>
    </row>
    <row r="6" spans="2:4" ht="15.75" thickBot="1" x14ac:dyDescent="0.3">
      <c r="B6" s="212">
        <v>44453</v>
      </c>
      <c r="C6" s="213">
        <v>1.1000000000000001</v>
      </c>
      <c r="D6" s="214" t="s">
        <v>1440</v>
      </c>
    </row>
    <row r="7" spans="2:4" ht="15.75" thickBot="1" x14ac:dyDescent="0.3">
      <c r="B7" s="212">
        <v>44575</v>
      </c>
      <c r="C7" s="215">
        <v>1.2</v>
      </c>
      <c r="D7" s="214" t="s">
        <v>1443</v>
      </c>
    </row>
    <row r="8" spans="2:4" ht="15.75" thickBot="1" x14ac:dyDescent="0.3">
      <c r="B8" s="212">
        <v>44594</v>
      </c>
      <c r="C8" s="215">
        <v>1.3</v>
      </c>
      <c r="D8" s="216" t="s">
        <v>1444</v>
      </c>
    </row>
    <row r="9" spans="2:4" ht="15.75" thickBot="1" x14ac:dyDescent="0.3">
      <c r="B9" s="212">
        <v>44599</v>
      </c>
      <c r="C9" s="215">
        <v>1.4</v>
      </c>
      <c r="D9" s="214" t="s">
        <v>1441</v>
      </c>
    </row>
    <row r="10" spans="2:4" ht="15.75" thickBot="1" x14ac:dyDescent="0.3">
      <c r="B10" s="212">
        <v>44886</v>
      </c>
      <c r="C10" s="215">
        <v>1.5</v>
      </c>
      <c r="D10" s="225" t="s">
        <v>1441</v>
      </c>
    </row>
    <row r="11" spans="2:4" ht="15.75" thickBot="1" x14ac:dyDescent="0.3">
      <c r="B11" s="212">
        <v>45015</v>
      </c>
      <c r="C11" s="215">
        <v>1.6</v>
      </c>
      <c r="D11" s="225" t="s">
        <v>1461</v>
      </c>
    </row>
    <row r="12" spans="2:4" ht="15.75" hidden="1" thickBot="1" x14ac:dyDescent="0.3">
      <c r="B12" s="212"/>
      <c r="C12" s="215"/>
      <c r="D12" s="214"/>
    </row>
    <row r="13" spans="2:4" ht="15.75" hidden="1" thickBot="1" x14ac:dyDescent="0.3">
      <c r="B13" s="212"/>
      <c r="C13" s="215"/>
      <c r="D13" s="214"/>
    </row>
    <row r="14" spans="2:4" ht="15.75" hidden="1" thickBot="1" x14ac:dyDescent="0.3">
      <c r="B14" s="212"/>
      <c r="C14" s="215"/>
      <c r="D14" s="216"/>
    </row>
    <row r="15" spans="2:4" ht="15.75" hidden="1" thickBot="1" x14ac:dyDescent="0.3">
      <c r="B15" s="212"/>
      <c r="C15" s="215"/>
      <c r="D15" s="214"/>
    </row>
    <row r="16" spans="2:4" ht="15.75" hidden="1" thickBot="1" x14ac:dyDescent="0.3">
      <c r="B16" s="217"/>
      <c r="C16" s="218"/>
      <c r="D16" s="216"/>
    </row>
    <row r="17" spans="2:4" ht="15.75" hidden="1" thickBot="1" x14ac:dyDescent="0.3">
      <c r="B17" s="217"/>
      <c r="C17" s="218"/>
      <c r="D17" s="214"/>
    </row>
    <row r="18" spans="2:4" ht="15.75" thickBot="1" x14ac:dyDescent="0.3">
      <c r="B18" s="217">
        <v>45196</v>
      </c>
      <c r="C18" s="218">
        <v>1.7</v>
      </c>
      <c r="D18" s="237" t="s">
        <v>1466</v>
      </c>
    </row>
    <row r="19" spans="2:4" ht="15.75" thickBot="1" x14ac:dyDescent="0.3">
      <c r="B19" s="217">
        <v>45455</v>
      </c>
      <c r="C19" s="218">
        <v>1.8</v>
      </c>
      <c r="D19" s="244" t="s">
        <v>1488</v>
      </c>
    </row>
    <row r="20" spans="2:4" x14ac:dyDescent="0.25"/>
    <row r="21" spans="2:4" x14ac:dyDescent="0.25"/>
    <row r="22" spans="2:4" x14ac:dyDescent="0.25"/>
    <row r="23" spans="2:4" x14ac:dyDescent="0.25"/>
    <row r="24" spans="2:4" x14ac:dyDescent="0.25"/>
    <row r="25" spans="2:4" x14ac:dyDescent="0.25"/>
    <row r="26" spans="2:4" x14ac:dyDescent="0.25"/>
    <row r="27" spans="2:4" x14ac:dyDescent="0.25"/>
    <row r="28" spans="2:4" x14ac:dyDescent="0.25"/>
    <row r="29" spans="2:4" x14ac:dyDescent="0.25"/>
    <row r="30" spans="2:4" x14ac:dyDescent="0.25"/>
    <row r="31" spans="2:4" x14ac:dyDescent="0.25"/>
    <row r="32" spans="2:4" x14ac:dyDescent="0.25"/>
    <row r="33" x14ac:dyDescent="0.25"/>
    <row r="34" x14ac:dyDescent="0.25"/>
    <row r="35" x14ac:dyDescent="0.25"/>
    <row r="36" x14ac:dyDescent="0.25"/>
    <row r="37" x14ac:dyDescent="0.25"/>
    <row r="38" x14ac:dyDescent="0.25"/>
    <row r="39" x14ac:dyDescent="0.25"/>
    <row r="40" x14ac:dyDescent="0.25"/>
    <row r="4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4">
    <mergeCell ref="B2:D2"/>
    <mergeCell ref="B4:B5"/>
    <mergeCell ref="C4:C5"/>
    <mergeCell ref="D4:D5"/>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50"/>
  <sheetViews>
    <sheetView showGridLines="0" zoomScale="130" zoomScaleNormal="130" workbookViewId="0">
      <selection activeCell="A51" sqref="A51:XFD1048576"/>
    </sheetView>
  </sheetViews>
  <sheetFormatPr defaultColWidth="0" defaultRowHeight="0" customHeight="1" zeroHeight="1" x14ac:dyDescent="0.25"/>
  <cols>
    <col min="1" max="1" width="2.140625" style="93" customWidth="1"/>
    <col min="2" max="2" width="26.28515625" style="93" customWidth="1"/>
    <col min="3" max="3" width="39" style="93" customWidth="1"/>
    <col min="4" max="4" width="26.28515625" style="93" customWidth="1"/>
    <col min="5" max="5" width="45.28515625" style="93" customWidth="1"/>
    <col min="6" max="6" width="3" style="93" customWidth="1"/>
    <col min="7" max="9" width="0" style="93" hidden="1" customWidth="1"/>
    <col min="10" max="16384" width="8.85546875" style="93" hidden="1"/>
  </cols>
  <sheetData>
    <row r="1" spans="2:5" ht="15.75" thickBot="1" x14ac:dyDescent="0.3"/>
    <row r="2" spans="2:5" ht="54.75" customHeight="1" thickBot="1" x14ac:dyDescent="0.3">
      <c r="B2" s="279" t="s">
        <v>115</v>
      </c>
      <c r="C2" s="280"/>
      <c r="D2" s="280"/>
      <c r="E2" s="281"/>
    </row>
    <row r="3" spans="2:5" ht="15.75" thickBot="1" x14ac:dyDescent="0.3">
      <c r="B3" s="100" t="s">
        <v>116</v>
      </c>
      <c r="C3" s="101" t="s">
        <v>0</v>
      </c>
      <c r="D3" s="100" t="s">
        <v>116</v>
      </c>
      <c r="E3" s="101" t="s">
        <v>0</v>
      </c>
    </row>
    <row r="4" spans="2:5" ht="15.75" thickBot="1" x14ac:dyDescent="0.3">
      <c r="B4" s="102" t="s">
        <v>68</v>
      </c>
      <c r="C4" s="102" t="s">
        <v>69</v>
      </c>
      <c r="D4" s="103" t="s">
        <v>99</v>
      </c>
      <c r="E4" s="102" t="s">
        <v>100</v>
      </c>
    </row>
    <row r="5" spans="2:5" ht="15.75" thickBot="1" x14ac:dyDescent="0.3">
      <c r="B5" s="113" t="s">
        <v>122</v>
      </c>
      <c r="C5" s="113" t="s">
        <v>123</v>
      </c>
      <c r="D5" s="103" t="s">
        <v>150</v>
      </c>
      <c r="E5" s="102" t="s">
        <v>151</v>
      </c>
    </row>
    <row r="6" spans="2:5" ht="15.75" thickBot="1" x14ac:dyDescent="0.3">
      <c r="B6" s="102" t="s">
        <v>62</v>
      </c>
      <c r="C6" s="102" t="s">
        <v>63</v>
      </c>
      <c r="D6" s="103" t="s">
        <v>152</v>
      </c>
      <c r="E6" s="102" t="s">
        <v>153</v>
      </c>
    </row>
    <row r="7" spans="2:5" ht="15.75" thickBot="1" x14ac:dyDescent="0.3">
      <c r="B7" s="102" t="s">
        <v>87</v>
      </c>
      <c r="C7" s="102" t="s">
        <v>88</v>
      </c>
      <c r="D7" s="103" t="s">
        <v>468</v>
      </c>
      <c r="E7" s="102" t="s">
        <v>469</v>
      </c>
    </row>
    <row r="8" spans="2:5" ht="15.75" thickBot="1" x14ac:dyDescent="0.3">
      <c r="B8" s="102" t="s">
        <v>1</v>
      </c>
      <c r="C8" s="102" t="s">
        <v>72</v>
      </c>
      <c r="D8" s="103" t="s">
        <v>499</v>
      </c>
      <c r="E8" s="102" t="s">
        <v>500</v>
      </c>
    </row>
    <row r="9" spans="2:5" ht="15.75" thickBot="1" x14ac:dyDescent="0.3">
      <c r="B9" s="102" t="s">
        <v>90</v>
      </c>
      <c r="C9" s="102" t="s">
        <v>92</v>
      </c>
      <c r="D9" s="103" t="s">
        <v>730</v>
      </c>
      <c r="E9" s="102" t="s">
        <v>731</v>
      </c>
    </row>
    <row r="10" spans="2:5" ht="15.75" thickBot="1" x14ac:dyDescent="0.3">
      <c r="B10" s="113" t="s">
        <v>124</v>
      </c>
      <c r="C10" s="113" t="s">
        <v>125</v>
      </c>
      <c r="D10" s="103"/>
      <c r="E10" s="102"/>
    </row>
    <row r="11" spans="2:5" ht="15.75" thickBot="1" x14ac:dyDescent="0.3">
      <c r="B11" s="102" t="s">
        <v>89</v>
      </c>
      <c r="C11" s="102" t="s">
        <v>91</v>
      </c>
      <c r="D11" s="103"/>
      <c r="E11" s="102"/>
    </row>
    <row r="12" spans="2:5" ht="15.75" thickBot="1" x14ac:dyDescent="0.3">
      <c r="B12" s="113" t="s">
        <v>126</v>
      </c>
      <c r="C12" s="113" t="s">
        <v>127</v>
      </c>
      <c r="D12" s="103"/>
      <c r="E12" s="102"/>
    </row>
    <row r="13" spans="2:5" ht="15.75" thickBot="1" x14ac:dyDescent="0.3">
      <c r="B13" s="102" t="s">
        <v>97</v>
      </c>
      <c r="C13" s="102" t="s">
        <v>98</v>
      </c>
      <c r="D13" s="103"/>
      <c r="E13" s="102"/>
    </row>
    <row r="14" spans="2:5" ht="15.75" thickBot="1" x14ac:dyDescent="0.3">
      <c r="B14" s="113" t="s">
        <v>128</v>
      </c>
      <c r="C14" s="113" t="s">
        <v>129</v>
      </c>
      <c r="D14" s="103"/>
      <c r="E14" s="102"/>
    </row>
    <row r="15" spans="2:5" ht="15.75" thickBot="1" x14ac:dyDescent="0.3">
      <c r="B15" s="102" t="s">
        <v>66</v>
      </c>
      <c r="C15" s="102" t="s">
        <v>67</v>
      </c>
      <c r="D15" s="103"/>
      <c r="E15" s="102"/>
    </row>
    <row r="16" spans="2:5" ht="15.75" thickBot="1" x14ac:dyDescent="0.3">
      <c r="B16" s="102" t="s">
        <v>64</v>
      </c>
      <c r="C16" s="102" t="s">
        <v>65</v>
      </c>
      <c r="D16" s="103"/>
      <c r="E16" s="102"/>
    </row>
    <row r="17" spans="2:5" ht="15.75" thickBot="1" x14ac:dyDescent="0.3">
      <c r="B17" s="102" t="s">
        <v>71</v>
      </c>
      <c r="C17" s="102" t="s">
        <v>74</v>
      </c>
      <c r="D17" s="103"/>
      <c r="E17" s="102"/>
    </row>
    <row r="18" spans="2:5" ht="15.75" thickBot="1" x14ac:dyDescent="0.3">
      <c r="B18" s="113" t="s">
        <v>130</v>
      </c>
      <c r="C18" s="113" t="s">
        <v>131</v>
      </c>
      <c r="D18" s="103"/>
      <c r="E18" s="102"/>
    </row>
    <row r="19" spans="2:5" ht="15.75" thickBot="1" x14ac:dyDescent="0.3">
      <c r="B19" s="102" t="s">
        <v>99</v>
      </c>
      <c r="C19" s="102" t="s">
        <v>100</v>
      </c>
      <c r="D19" s="103"/>
      <c r="E19" s="102"/>
    </row>
    <row r="20" spans="2:5" ht="15.75" thickBot="1" x14ac:dyDescent="0.3">
      <c r="B20" s="113" t="s">
        <v>132</v>
      </c>
      <c r="C20" s="113" t="s">
        <v>133</v>
      </c>
      <c r="D20" s="103"/>
      <c r="E20" s="102"/>
    </row>
    <row r="21" spans="2:5" ht="15.75" thickBot="1" x14ac:dyDescent="0.3">
      <c r="B21" s="102" t="s">
        <v>109</v>
      </c>
      <c r="C21" s="102" t="s">
        <v>110</v>
      </c>
      <c r="D21" s="103"/>
      <c r="E21" s="102"/>
    </row>
    <row r="22" spans="2:5" ht="15.75" thickBot="1" x14ac:dyDescent="0.3">
      <c r="B22" s="102" t="s">
        <v>93</v>
      </c>
      <c r="C22" s="102" t="s">
        <v>94</v>
      </c>
      <c r="D22" s="103"/>
      <c r="E22" s="102"/>
    </row>
    <row r="23" spans="2:5" ht="15.75" thickBot="1" x14ac:dyDescent="0.3">
      <c r="B23" s="102" t="s">
        <v>85</v>
      </c>
      <c r="C23" s="102" t="s">
        <v>86</v>
      </c>
      <c r="D23" s="103"/>
      <c r="E23" s="102"/>
    </row>
    <row r="24" spans="2:5" ht="15.75" thickBot="1" x14ac:dyDescent="0.3">
      <c r="B24" s="113" t="s">
        <v>103</v>
      </c>
      <c r="C24" s="113" t="s">
        <v>134</v>
      </c>
      <c r="D24" s="103"/>
      <c r="E24" s="102"/>
    </row>
    <row r="25" spans="2:5" ht="15.75" thickBot="1" x14ac:dyDescent="0.3">
      <c r="B25" s="102" t="s">
        <v>70</v>
      </c>
      <c r="C25" s="102" t="s">
        <v>73</v>
      </c>
      <c r="D25" s="103"/>
      <c r="E25" s="102"/>
    </row>
    <row r="26" spans="2:5" ht="15.75" thickBot="1" x14ac:dyDescent="0.3">
      <c r="B26" s="113" t="s">
        <v>135</v>
      </c>
      <c r="C26" s="113" t="s">
        <v>136</v>
      </c>
      <c r="D26" s="103"/>
      <c r="E26" s="102"/>
    </row>
    <row r="27" spans="2:5" ht="15.75" thickBot="1" x14ac:dyDescent="0.3">
      <c r="B27" s="113" t="s">
        <v>137</v>
      </c>
      <c r="C27" s="113" t="s">
        <v>138</v>
      </c>
      <c r="D27" s="103"/>
      <c r="E27" s="102"/>
    </row>
    <row r="28" spans="2:5" ht="15.75" thickBot="1" x14ac:dyDescent="0.3">
      <c r="B28" s="113" t="s">
        <v>139</v>
      </c>
      <c r="C28" s="113" t="s">
        <v>140</v>
      </c>
      <c r="D28" s="103"/>
      <c r="E28" s="102"/>
    </row>
    <row r="29" spans="2:5" ht="15.75" thickBot="1" x14ac:dyDescent="0.3">
      <c r="B29" s="102" t="s">
        <v>59</v>
      </c>
      <c r="C29" s="102" t="s">
        <v>60</v>
      </c>
      <c r="D29" s="103"/>
      <c r="E29" s="102"/>
    </row>
    <row r="30" spans="2:5" ht="15.75" thickBot="1" x14ac:dyDescent="0.3">
      <c r="B30" s="113" t="s">
        <v>141</v>
      </c>
      <c r="C30" s="113" t="s">
        <v>102</v>
      </c>
      <c r="D30" s="103"/>
      <c r="E30" s="102"/>
    </row>
    <row r="31" spans="2:5" ht="15.75" thickBot="1" x14ac:dyDescent="0.3">
      <c r="B31" s="113" t="s">
        <v>142</v>
      </c>
      <c r="C31" s="113" t="s">
        <v>143</v>
      </c>
      <c r="D31" s="103"/>
      <c r="E31" s="102"/>
    </row>
    <row r="32" spans="2:5" ht="15.75" thickBot="1" x14ac:dyDescent="0.3">
      <c r="B32" s="113" t="s">
        <v>144</v>
      </c>
      <c r="C32" s="113" t="s">
        <v>145</v>
      </c>
      <c r="D32" s="103"/>
      <c r="E32" s="102"/>
    </row>
    <row r="33" spans="2:5" ht="15.75" thickBot="1" x14ac:dyDescent="0.3">
      <c r="B33" s="102" t="s">
        <v>95</v>
      </c>
      <c r="C33" s="102" t="s">
        <v>96</v>
      </c>
      <c r="D33" s="103"/>
      <c r="E33" s="102"/>
    </row>
    <row r="34" spans="2:5" ht="15.75" thickBot="1" x14ac:dyDescent="0.3">
      <c r="B34" s="113" t="s">
        <v>146</v>
      </c>
      <c r="C34" s="113" t="s">
        <v>147</v>
      </c>
      <c r="D34" s="103"/>
      <c r="E34" s="102"/>
    </row>
    <row r="35" spans="2:5" ht="15.75" thickBot="1" x14ac:dyDescent="0.3">
      <c r="B35" s="102" t="s">
        <v>84</v>
      </c>
      <c r="C35" s="102" t="s">
        <v>114</v>
      </c>
      <c r="D35" s="103"/>
      <c r="E35" s="102"/>
    </row>
    <row r="36" spans="2:5" ht="15.75" thickBot="1" x14ac:dyDescent="0.3">
      <c r="B36" s="102" t="s">
        <v>465</v>
      </c>
      <c r="C36" s="102" t="s">
        <v>464</v>
      </c>
      <c r="D36" s="103"/>
      <c r="E36" s="102"/>
    </row>
    <row r="37" spans="2:5" ht="15.75" thickBot="1" x14ac:dyDescent="0.3">
      <c r="B37" s="102" t="s">
        <v>466</v>
      </c>
      <c r="C37" s="102" t="s">
        <v>467</v>
      </c>
      <c r="D37" s="103"/>
      <c r="E37" s="102"/>
    </row>
    <row r="38" spans="2:5" ht="15.75" thickBot="1" x14ac:dyDescent="0.3">
      <c r="B38" s="102"/>
      <c r="C38" s="102"/>
      <c r="D38" s="103"/>
      <c r="E38" s="102"/>
    </row>
    <row r="39" spans="2:5" ht="15.75" thickBot="1" x14ac:dyDescent="0.3">
      <c r="B39" s="102"/>
      <c r="C39" s="102"/>
      <c r="D39" s="103"/>
      <c r="E39" s="102"/>
    </row>
    <row r="40" spans="2:5" ht="15.75" thickBot="1" x14ac:dyDescent="0.3">
      <c r="B40" s="102"/>
      <c r="C40" s="102"/>
      <c r="D40" s="103"/>
      <c r="E40" s="102"/>
    </row>
    <row r="41" spans="2:5" ht="15.75" thickBot="1" x14ac:dyDescent="0.3">
      <c r="B41" s="102"/>
      <c r="C41" s="102"/>
      <c r="D41" s="103"/>
      <c r="E41" s="102"/>
    </row>
    <row r="42" spans="2:5" ht="15.75" thickBot="1" x14ac:dyDescent="0.3">
      <c r="B42" s="102"/>
      <c r="C42" s="102"/>
      <c r="D42" s="103"/>
      <c r="E42" s="102"/>
    </row>
    <row r="43" spans="2:5" ht="15.75" thickBot="1" x14ac:dyDescent="0.3">
      <c r="B43" s="102"/>
      <c r="C43" s="102"/>
      <c r="D43" s="103"/>
      <c r="E43" s="102"/>
    </row>
    <row r="44" spans="2:5" ht="15.75" thickBot="1" x14ac:dyDescent="0.3">
      <c r="B44" s="102"/>
      <c r="C44" s="102"/>
      <c r="D44" s="103"/>
      <c r="E44" s="102"/>
    </row>
    <row r="45" spans="2:5" ht="15" x14ac:dyDescent="0.25">
      <c r="B45"/>
      <c r="C45"/>
      <c r="D45"/>
      <c r="E45"/>
    </row>
    <row r="46" spans="2:5" ht="15" x14ac:dyDescent="0.25">
      <c r="B46"/>
      <c r="C46"/>
      <c r="D46"/>
      <c r="E46"/>
    </row>
    <row r="47" spans="2:5" ht="15" x14ac:dyDescent="0.25">
      <c r="B47"/>
      <c r="C47"/>
      <c r="D47"/>
      <c r="E47"/>
    </row>
    <row r="48" spans="2:5" ht="15" x14ac:dyDescent="0.25">
      <c r="B48"/>
      <c r="C48"/>
      <c r="D48"/>
      <c r="E48"/>
    </row>
    <row r="49" spans="2:5" ht="15" x14ac:dyDescent="0.25">
      <c r="B49"/>
      <c r="C49"/>
      <c r="D49"/>
      <c r="E49"/>
    </row>
    <row r="50" spans="2:5" ht="15" x14ac:dyDescent="0.25">
      <c r="B50"/>
      <c r="C50"/>
      <c r="D50"/>
      <c r="E50"/>
    </row>
  </sheetData>
  <sortState ref="B4:E50">
    <sortCondition ref="B4:B50"/>
  </sortState>
  <mergeCells count="1">
    <mergeCell ref="B2:E2"/>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H75"/>
  <sheetViews>
    <sheetView showGridLines="0" topLeftCell="A2" zoomScale="175" zoomScaleNormal="175" workbookViewId="0">
      <selection activeCell="B1" sqref="B1"/>
    </sheetView>
  </sheetViews>
  <sheetFormatPr defaultColWidth="0" defaultRowHeight="15" customHeight="1" zeroHeight="1" x14ac:dyDescent="0.25"/>
  <cols>
    <col min="1" max="1" width="2.140625" style="87" customWidth="1"/>
    <col min="2" max="2" width="6.140625" style="154" customWidth="1"/>
    <col min="3" max="3" width="81.7109375" style="87" customWidth="1"/>
    <col min="4" max="4" width="7.140625" style="87" customWidth="1"/>
    <col min="5" max="5" width="13.5703125" style="87" customWidth="1"/>
    <col min="6" max="6" width="3" style="87" customWidth="1"/>
    <col min="7" max="8" width="0" style="87" hidden="1" customWidth="1"/>
    <col min="9" max="16384" width="8.85546875" style="87" hidden="1"/>
  </cols>
  <sheetData>
    <row r="1" spans="2:5" ht="15.75" thickBot="1" x14ac:dyDescent="0.3"/>
    <row r="2" spans="2:5" ht="35.25" customHeight="1" thickBot="1" x14ac:dyDescent="0.3">
      <c r="B2" s="282" t="s">
        <v>735</v>
      </c>
      <c r="C2" s="283"/>
      <c r="D2" s="283"/>
      <c r="E2" s="284"/>
    </row>
    <row r="3" spans="2:5" ht="39" customHeight="1" thickBot="1" x14ac:dyDescent="0.3">
      <c r="B3" s="155" t="s">
        <v>737</v>
      </c>
      <c r="C3" s="152" t="s">
        <v>738</v>
      </c>
      <c r="D3" s="88" t="s">
        <v>739</v>
      </c>
      <c r="E3" s="89" t="s">
        <v>740</v>
      </c>
    </row>
    <row r="4" spans="2:5" hidden="1" x14ac:dyDescent="0.25">
      <c r="B4" s="156"/>
      <c r="C4" s="153"/>
      <c r="D4" s="150"/>
      <c r="E4" s="151"/>
    </row>
    <row r="5" spans="2:5" ht="22.5" x14ac:dyDescent="0.25">
      <c r="B5" s="219">
        <v>1</v>
      </c>
      <c r="C5" s="222" t="s">
        <v>1445</v>
      </c>
      <c r="D5" s="220">
        <v>4</v>
      </c>
      <c r="E5" s="199" t="s">
        <v>736</v>
      </c>
    </row>
    <row r="6" spans="2:5" x14ac:dyDescent="0.25">
      <c r="B6" s="221">
        <v>2</v>
      </c>
      <c r="C6" s="223" t="s">
        <v>923</v>
      </c>
      <c r="D6" s="221" t="s">
        <v>1446</v>
      </c>
      <c r="E6" s="199" t="s">
        <v>736</v>
      </c>
    </row>
    <row r="7" spans="2:5" x14ac:dyDescent="0.25">
      <c r="B7" s="198">
        <v>3</v>
      </c>
      <c r="C7" s="224" t="s">
        <v>933</v>
      </c>
      <c r="D7" s="198">
        <v>2</v>
      </c>
      <c r="E7" s="199" t="s">
        <v>736</v>
      </c>
    </row>
    <row r="8" spans="2:5" x14ac:dyDescent="0.25">
      <c r="B8" s="198">
        <v>4</v>
      </c>
      <c r="C8" s="224" t="s">
        <v>934</v>
      </c>
      <c r="D8" s="198">
        <v>2</v>
      </c>
      <c r="E8" s="199" t="s">
        <v>736</v>
      </c>
    </row>
    <row r="9" spans="2:5" x14ac:dyDescent="0.25">
      <c r="B9" s="198">
        <v>5</v>
      </c>
      <c r="C9" s="224" t="s">
        <v>935</v>
      </c>
      <c r="D9" s="198" t="s">
        <v>936</v>
      </c>
      <c r="E9" s="199" t="s">
        <v>736</v>
      </c>
    </row>
    <row r="10" spans="2:5" x14ac:dyDescent="0.25"/>
    <row r="11" spans="2:5" x14ac:dyDescent="0.25"/>
    <row r="12" spans="2:5" x14ac:dyDescent="0.25"/>
    <row r="13" spans="2:5" x14ac:dyDescent="0.25"/>
    <row r="14" spans="2:5" x14ac:dyDescent="0.25"/>
    <row r="15" spans="2:5" x14ac:dyDescent="0.25"/>
    <row r="16" spans="2:5"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mergeCells count="1">
    <mergeCell ref="B2:E2"/>
  </mergeCells>
  <hyperlinks>
    <hyperlink ref="E7" r:id="rId1" xr:uid="{A75A135D-4C98-4E3F-8583-6F6EFAA93A50}"/>
    <hyperlink ref="E9" r:id="rId2" xr:uid="{3E5ED9D0-8FA1-4825-94B1-B896A8DE1E27}"/>
    <hyperlink ref="E8" r:id="rId3" xr:uid="{37E4A930-02BC-4D39-81C7-8125FB16A26D}"/>
    <hyperlink ref="E5" r:id="rId4" xr:uid="{E810FBF4-A5B6-4BC7-9DC1-812E9A82A8B2}"/>
    <hyperlink ref="E6" r:id="rId5" xr:uid="{C4D7A2B4-8AD6-4E54-82E0-81F8F7CAFA5D}"/>
  </hyperlinks>
  <pageMargins left="0.7" right="0.7" top="0.75" bottom="0.75" header="0.3" footer="0.3"/>
  <pageSetup orientation="portrait" horizontalDpi="1200" verticalDpi="1200"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B2:R48"/>
  <sheetViews>
    <sheetView showGridLines="0" zoomScaleNormal="100" workbookViewId="0">
      <selection activeCell="R27" sqref="R27"/>
    </sheetView>
  </sheetViews>
  <sheetFormatPr defaultRowHeight="12.75" x14ac:dyDescent="0.2"/>
  <cols>
    <col min="13" max="13" width="12" customWidth="1"/>
    <col min="15" max="15" width="12.7109375" bestFit="1" customWidth="1"/>
  </cols>
  <sheetData>
    <row r="2" spans="2:18" ht="18" x14ac:dyDescent="0.2">
      <c r="D2" s="285" t="s">
        <v>2</v>
      </c>
      <c r="E2" s="285"/>
      <c r="F2" s="285"/>
      <c r="G2" s="285"/>
      <c r="H2" s="285"/>
      <c r="L2" s="285" t="s">
        <v>284</v>
      </c>
      <c r="M2" s="285"/>
      <c r="N2" s="285"/>
      <c r="O2" s="285"/>
      <c r="P2" s="285"/>
      <c r="Q2" s="285"/>
      <c r="R2" s="285"/>
    </row>
    <row r="3" spans="2:18" ht="13.5" thickBot="1" x14ac:dyDescent="0.25"/>
    <row r="4" spans="2:18" ht="45" customHeight="1" thickBot="1" x14ac:dyDescent="0.25">
      <c r="B4" s="295" t="s">
        <v>3</v>
      </c>
      <c r="C4" s="48">
        <v>5</v>
      </c>
      <c r="D4" s="9">
        <f>$C$4*D9</f>
        <v>5</v>
      </c>
      <c r="E4" s="10">
        <f>$C$4*E9</f>
        <v>10</v>
      </c>
      <c r="F4" s="11">
        <f>$C$4*F9</f>
        <v>15</v>
      </c>
      <c r="G4" s="12">
        <f>$C$4*G9</f>
        <v>20</v>
      </c>
      <c r="H4" s="13">
        <f>$C$4*H9</f>
        <v>25</v>
      </c>
      <c r="K4" s="295" t="s">
        <v>3</v>
      </c>
      <c r="L4" s="48">
        <v>5</v>
      </c>
      <c r="M4" s="9">
        <f>SUMPRODUCT(--(DFMECA!I3:I397=1),--(DFMECA!L3:L397=5))</f>
        <v>0</v>
      </c>
      <c r="N4" s="28">
        <f>SUMPRODUCT(--(DFMECA!I3:I397=2),--(DFMECA!L3:L397=5))</f>
        <v>0</v>
      </c>
      <c r="O4" s="11">
        <f>SUMPRODUCT(--(DFMECA!I3:I397=3),--(DFMECA!L3:L397=5))</f>
        <v>0</v>
      </c>
      <c r="P4" s="12">
        <f>SUMPRODUCT(--(DFMECA!I3:I397=4),--(DFMECA!L3:L397=5))</f>
        <v>0</v>
      </c>
      <c r="Q4" s="13">
        <f>SUMPRODUCT(--(DFMECA!I3:I397=5),--(DFMECA!L3:L397=5))</f>
        <v>0</v>
      </c>
    </row>
    <row r="5" spans="2:18" ht="45" customHeight="1" thickBot="1" x14ac:dyDescent="0.25">
      <c r="B5" s="295"/>
      <c r="C5" s="48">
        <v>4</v>
      </c>
      <c r="D5" s="14">
        <f>$C$5*D9</f>
        <v>4</v>
      </c>
      <c r="E5" s="15">
        <f>$C$5*E9</f>
        <v>8</v>
      </c>
      <c r="F5" s="16">
        <f>$C$5*F9</f>
        <v>12</v>
      </c>
      <c r="G5" s="17">
        <f>$C$5*G9</f>
        <v>16</v>
      </c>
      <c r="H5" s="18">
        <f>$C$5*H9</f>
        <v>20</v>
      </c>
      <c r="K5" s="295"/>
      <c r="L5" s="48">
        <v>4</v>
      </c>
      <c r="M5" s="14">
        <f>SUMPRODUCT(--(DFMECA!I3:I397=1),--(DFMECA!L3:L397=4))</f>
        <v>0</v>
      </c>
      <c r="N5" s="15">
        <f>SUMPRODUCT(--(DFMECA!I3:I397=2),--(DFMECA!L3:L397=4))</f>
        <v>0</v>
      </c>
      <c r="O5" s="16">
        <f>SUMPRODUCT(--(DFMECA!I3:I397=3),--(DFMECA!L3:L397=4))</f>
        <v>0</v>
      </c>
      <c r="P5" s="17">
        <f>SUMPRODUCT(--(DFMECA!I3:I397=4),--(DFMECA!L3:L397=4))</f>
        <v>0</v>
      </c>
      <c r="Q5" s="18">
        <f>SUMPRODUCT(--(DFMECA!I3:I397=5),--(DFMECA!L3:L397=4))</f>
        <v>0</v>
      </c>
    </row>
    <row r="6" spans="2:18" ht="45" customHeight="1" thickBot="1" x14ac:dyDescent="0.25">
      <c r="B6" s="295"/>
      <c r="C6" s="48">
        <v>3</v>
      </c>
      <c r="D6" s="19">
        <f>$C$6*D9</f>
        <v>3</v>
      </c>
      <c r="E6" s="20">
        <f>$C$6*E9</f>
        <v>6</v>
      </c>
      <c r="F6" s="15">
        <f>$C$6*F9</f>
        <v>9</v>
      </c>
      <c r="G6" s="16">
        <f>$C$6*G9</f>
        <v>12</v>
      </c>
      <c r="H6" s="21">
        <f>$C$6*H9</f>
        <v>15</v>
      </c>
      <c r="K6" s="295"/>
      <c r="L6" s="48">
        <v>3</v>
      </c>
      <c r="M6" s="19">
        <f>SUMPRODUCT(--(DFMECA!I3:I397=1),--(DFMECA!L3:L397=3))</f>
        <v>0</v>
      </c>
      <c r="N6" s="20">
        <f>SUMPRODUCT(--(DFMECA!I3:I397=2),--(DFMECA!L3:L397=3))</f>
        <v>0</v>
      </c>
      <c r="O6" s="15">
        <f>SUMPRODUCT(--(DFMECA!I3:I397=3),--(DFMECA!L3:L397=3))</f>
        <v>0</v>
      </c>
      <c r="P6" s="16">
        <f>SUMPRODUCT(--(DFMECA!I3:I397=4),--(DFMECA!L3:L397=3))</f>
        <v>0</v>
      </c>
      <c r="Q6" s="21">
        <f>SUMPRODUCT(--(DFMECA!I3:I397=5),--(DFMECA!L3:L397=3))</f>
        <v>0</v>
      </c>
    </row>
    <row r="7" spans="2:18" ht="45" customHeight="1" thickBot="1" x14ac:dyDescent="0.25">
      <c r="B7" s="295"/>
      <c r="C7" s="48">
        <v>2</v>
      </c>
      <c r="D7" s="19">
        <f>$C$7*D9</f>
        <v>2</v>
      </c>
      <c r="E7" s="22">
        <f>$C$7*E9</f>
        <v>4</v>
      </c>
      <c r="F7" s="20">
        <f>$C$7*F9</f>
        <v>6</v>
      </c>
      <c r="G7" s="15">
        <f>$C$7*G9</f>
        <v>8</v>
      </c>
      <c r="H7" s="23">
        <f>$C$7*H9</f>
        <v>10</v>
      </c>
      <c r="K7" s="295"/>
      <c r="L7" s="48">
        <v>2</v>
      </c>
      <c r="M7" s="19">
        <f>SUMPRODUCT(--(DFMECA!I3:I397=1),--(DFMECA!L3:L397=2))</f>
        <v>15</v>
      </c>
      <c r="N7" s="22">
        <f>SUMPRODUCT(--(DFMECA!I3:I397=2),--(DFMECA!L3:L397=2))</f>
        <v>16</v>
      </c>
      <c r="O7" s="20">
        <f>SUMPRODUCT(--(DFMECA!I3:I397=3),--(DFMECA!L3:L397=2))</f>
        <v>96</v>
      </c>
      <c r="P7" s="15">
        <f>SUMPRODUCT(--(DFMECA!I3:I397=4),--(DFMECA!L3:L397=2))</f>
        <v>16</v>
      </c>
      <c r="Q7" s="23">
        <f>SUMPRODUCT(--(DFMECA!I3:I397=5),--(DFMECA!L3:L397=2))</f>
        <v>0</v>
      </c>
    </row>
    <row r="8" spans="2:18" ht="45" customHeight="1" thickBot="1" x14ac:dyDescent="0.25">
      <c r="B8" s="295"/>
      <c r="C8" s="48">
        <v>1</v>
      </c>
      <c r="D8" s="24">
        <f>$C$8*D9</f>
        <v>1</v>
      </c>
      <c r="E8" s="25">
        <f>$C$8*E9</f>
        <v>2</v>
      </c>
      <c r="F8" s="25">
        <f>$C$8*F9</f>
        <v>3</v>
      </c>
      <c r="G8" s="26">
        <f>$C$8*G9</f>
        <v>4</v>
      </c>
      <c r="H8" s="27">
        <f>$C$8*H9</f>
        <v>5</v>
      </c>
      <c r="K8" s="295"/>
      <c r="L8" s="48">
        <v>1</v>
      </c>
      <c r="M8" s="24">
        <f>SUMPRODUCT(--(DFMECA!I3:I397=1),--(DFMECA!L3:L397=1))</f>
        <v>94</v>
      </c>
      <c r="N8" s="25">
        <f>SUMPRODUCT(--(DFMECA!I3:I397=2),--(DFMECA!L3:L397=1))</f>
        <v>44</v>
      </c>
      <c r="O8" s="25">
        <f>SUMPRODUCT(--(DFMECA!I3:I397=3),--(DFMECA!L3:L397=1))</f>
        <v>90</v>
      </c>
      <c r="P8" s="26">
        <f>SUMPRODUCT(--(DFMECA!I3:I397=4),--(DFMECA!L3:L397=1))</f>
        <v>7</v>
      </c>
      <c r="Q8" s="27">
        <f>SUMPRODUCT(--(DFMECA!I3:I397=5),--(DFMECA!L3:L397=1))</f>
        <v>0</v>
      </c>
    </row>
    <row r="9" spans="2:18" ht="33" customHeight="1" x14ac:dyDescent="0.25">
      <c r="C9" s="3"/>
      <c r="D9" s="48">
        <v>1</v>
      </c>
      <c r="E9" s="48">
        <v>2</v>
      </c>
      <c r="F9" s="48">
        <v>3</v>
      </c>
      <c r="G9" s="48">
        <v>4</v>
      </c>
      <c r="H9" s="48">
        <v>5</v>
      </c>
      <c r="L9" s="29"/>
      <c r="M9" s="48">
        <v>1</v>
      </c>
      <c r="N9" s="48">
        <v>2</v>
      </c>
      <c r="O9" s="48">
        <v>3</v>
      </c>
      <c r="P9" s="48">
        <v>4</v>
      </c>
      <c r="Q9" s="48">
        <v>5</v>
      </c>
    </row>
    <row r="10" spans="2:18" ht="18" x14ac:dyDescent="0.25">
      <c r="D10" s="293" t="s">
        <v>4</v>
      </c>
      <c r="E10" s="293"/>
      <c r="F10" s="293"/>
      <c r="G10" s="293"/>
      <c r="H10" s="293"/>
      <c r="M10" s="293" t="s">
        <v>4</v>
      </c>
      <c r="N10" s="293"/>
      <c r="O10" s="293"/>
      <c r="P10" s="293"/>
      <c r="Q10" s="293"/>
    </row>
    <row r="11" spans="2:18" ht="13.5" thickBot="1" x14ac:dyDescent="0.25"/>
    <row r="12" spans="2:18" x14ac:dyDescent="0.2">
      <c r="M12" s="290" t="s">
        <v>111</v>
      </c>
      <c r="N12" s="287"/>
      <c r="O12" s="287"/>
      <c r="P12" s="287"/>
      <c r="Q12" s="7">
        <f>SUM(M4:M8)+SUM(N4:N8)+SUM(O4:O8)+SUM(P4:P8)+SUM(Q4:Q8)</f>
        <v>378</v>
      </c>
    </row>
    <row r="13" spans="2:18" ht="13.5" thickBot="1" x14ac:dyDescent="0.25">
      <c r="M13" s="291" t="s">
        <v>149</v>
      </c>
      <c r="N13" s="292"/>
      <c r="O13" s="292"/>
      <c r="P13" s="292"/>
      <c r="Q13" s="8">
        <f>SUM(N4:N5)+SUM(O4:O6)+SUM(P4:P7)+SUM(Q4:Q8)</f>
        <v>16</v>
      </c>
    </row>
    <row r="14" spans="2:18" x14ac:dyDescent="0.2">
      <c r="M14" s="46"/>
      <c r="N14" s="46"/>
      <c r="O14" s="46"/>
      <c r="P14" s="46"/>
    </row>
    <row r="15" spans="2:18" x14ac:dyDescent="0.2">
      <c r="M15" s="46"/>
      <c r="N15" s="46"/>
      <c r="O15" s="46"/>
      <c r="P15" s="46"/>
    </row>
    <row r="17" spans="2:17" ht="18" customHeight="1" x14ac:dyDescent="0.25">
      <c r="C17" s="293" t="s">
        <v>5</v>
      </c>
      <c r="D17" s="293"/>
      <c r="E17" s="293"/>
      <c r="F17" s="293"/>
      <c r="G17" s="293"/>
      <c r="H17" s="293"/>
      <c r="L17" s="293" t="s">
        <v>285</v>
      </c>
      <c r="M17" s="293"/>
      <c r="N17" s="293"/>
      <c r="O17" s="293"/>
      <c r="P17" s="293"/>
      <c r="Q17" s="293"/>
    </row>
    <row r="18" spans="2:17" ht="13.5" thickBot="1" x14ac:dyDescent="0.25"/>
    <row r="19" spans="2:17" ht="18.75" thickBot="1" x14ac:dyDescent="0.25">
      <c r="B19" s="294" t="s">
        <v>6</v>
      </c>
      <c r="C19" s="48">
        <v>25</v>
      </c>
      <c r="D19" s="39">
        <f>C19*$D$44</f>
        <v>25</v>
      </c>
      <c r="E19" s="38">
        <f>C19*$E$44</f>
        <v>50</v>
      </c>
      <c r="F19" s="30">
        <f>C19*$F$44</f>
        <v>75</v>
      </c>
      <c r="G19" s="30">
        <f>C19*$G$44</f>
        <v>100</v>
      </c>
      <c r="H19" s="32">
        <f>C19*$H$44</f>
        <v>125</v>
      </c>
      <c r="K19" s="294" t="s">
        <v>6</v>
      </c>
      <c r="L19" s="48">
        <v>25</v>
      </c>
      <c r="M19" s="39">
        <f>SUMPRODUCT(--(DFMECA!M3:M397=25),--(DFMECA!P3:P397=1))</f>
        <v>0</v>
      </c>
      <c r="N19" s="38">
        <f>SUMPRODUCT(--(DFMECA!M3:M397=25),--(DFMECA!P3:P397=2))</f>
        <v>0</v>
      </c>
      <c r="O19" s="30">
        <f>SUMPRODUCT(--(DFMECA!M3:M397=25),--(DFMECA!P3:P397=3))</f>
        <v>0</v>
      </c>
      <c r="P19" s="30">
        <f>SUMPRODUCT(--(DFMECA!M3:M397=25),--(DFMECA!P3:P397=4))</f>
        <v>0</v>
      </c>
      <c r="Q19" s="32">
        <f>SUMPRODUCT(--(DFMECA!M3:M397=25),--(DFMECA!P3:P397=5))</f>
        <v>0</v>
      </c>
    </row>
    <row r="20" spans="2:17" ht="18" x14ac:dyDescent="0.2">
      <c r="B20" s="294"/>
      <c r="C20" s="48">
        <v>24</v>
      </c>
      <c r="D20" s="40">
        <f t="shared" ref="D20:D43" si="0">C20*$D$44</f>
        <v>24</v>
      </c>
      <c r="E20" s="42">
        <f t="shared" ref="E20:E43" si="1">C20*$E$44</f>
        <v>48</v>
      </c>
      <c r="F20" s="31">
        <f t="shared" ref="F20:F43" si="2">C20*$F$44</f>
        <v>72</v>
      </c>
      <c r="G20" s="31">
        <f t="shared" ref="G20:G43" si="3">C20*$G$44</f>
        <v>96</v>
      </c>
      <c r="H20" s="33">
        <f t="shared" ref="H20:H43" si="4">C20*$H$44</f>
        <v>120</v>
      </c>
      <c r="K20" s="294"/>
      <c r="L20" s="48">
        <v>24</v>
      </c>
      <c r="M20" s="39">
        <f>SUMPRODUCT(--(DFMECA!M3:M397=24),--(DFMECA!P3:P397=1))</f>
        <v>0</v>
      </c>
      <c r="N20" s="42">
        <f>SUMPRODUCT(--(DFMECA!M3:M397=24),--(DFMECA!P3:P397=2))</f>
        <v>0</v>
      </c>
      <c r="O20" s="31">
        <f>SUMPRODUCT(--(DFMECA!M3:M397=24),--(DFMECA!P3:P397=3))</f>
        <v>0</v>
      </c>
      <c r="P20" s="31">
        <f>SUMPRODUCT(--(DFMECA!M3:M397=24),--(DFMECA!P3:P397=4))</f>
        <v>0</v>
      </c>
      <c r="Q20" s="33">
        <f>SUMPRODUCT(--(DFMECA!M3:M397=24),--(DFMECA!P3:P397=5))</f>
        <v>0</v>
      </c>
    </row>
    <row r="21" spans="2:17" ht="18" x14ac:dyDescent="0.2">
      <c r="B21" s="294"/>
      <c r="C21" s="48">
        <v>23</v>
      </c>
      <c r="D21" s="40">
        <f t="shared" si="0"/>
        <v>23</v>
      </c>
      <c r="E21" s="42">
        <f t="shared" si="1"/>
        <v>46</v>
      </c>
      <c r="F21" s="34">
        <f t="shared" si="2"/>
        <v>69</v>
      </c>
      <c r="G21" s="31">
        <f t="shared" si="3"/>
        <v>92</v>
      </c>
      <c r="H21" s="33">
        <f t="shared" si="4"/>
        <v>115</v>
      </c>
      <c r="K21" s="294"/>
      <c r="L21" s="48">
        <v>23</v>
      </c>
      <c r="M21" s="40">
        <f>SUMPRODUCT(--(DFMECA!M3:M397=23),--(DFMECA!P3:P397=1))</f>
        <v>0</v>
      </c>
      <c r="N21" s="42">
        <f>SUMPRODUCT(--(DFMECA!M3:M397=23),--(DFMECA!P3:P397=2))</f>
        <v>0</v>
      </c>
      <c r="O21" s="34">
        <f>SUMPRODUCT(--(DFMECA!M3:M397=23),--(DFMECA!P3:P397=3))</f>
        <v>0</v>
      </c>
      <c r="P21" s="31">
        <f>SUMPRODUCT(--(DFMECA!M3:M397=23),--(DFMECA!P3:P397=4))</f>
        <v>0</v>
      </c>
      <c r="Q21" s="33">
        <f>SUMPRODUCT(--(DFMECA!M3:M397=23),--(DFMECA!P3:P397=5))</f>
        <v>0</v>
      </c>
    </row>
    <row r="22" spans="2:17" ht="18" x14ac:dyDescent="0.2">
      <c r="B22" s="294"/>
      <c r="C22" s="48">
        <v>22</v>
      </c>
      <c r="D22" s="40">
        <f t="shared" si="0"/>
        <v>22</v>
      </c>
      <c r="E22" s="42">
        <f t="shared" si="1"/>
        <v>44</v>
      </c>
      <c r="F22" s="34">
        <f t="shared" si="2"/>
        <v>66</v>
      </c>
      <c r="G22" s="31">
        <f t="shared" si="3"/>
        <v>88</v>
      </c>
      <c r="H22" s="33">
        <f t="shared" si="4"/>
        <v>110</v>
      </c>
      <c r="K22" s="294"/>
      <c r="L22" s="48">
        <v>22</v>
      </c>
      <c r="M22" s="40">
        <f>SUMPRODUCT(--(DFMECA!M3:M397=22),--(DFMECA!P3:P397=1))</f>
        <v>0</v>
      </c>
      <c r="N22" s="42">
        <f>SUMPRODUCT(--(DFMECA!M3:M397=22),--(DFMECA!P3:P397=2))</f>
        <v>0</v>
      </c>
      <c r="O22" s="34">
        <f>SUMPRODUCT(--(DFMECA!M3:M397=22),--(DFMECA!P3:P397=3))</f>
        <v>0</v>
      </c>
      <c r="P22" s="31">
        <f>SUMPRODUCT(--(DFMECA!M3:M397=22),--(DFMECA!P3:P397=4))</f>
        <v>0</v>
      </c>
      <c r="Q22" s="33">
        <f>SUMPRODUCT(--(DFMECA!M3:M397=22),--(DFMECA!P3:P397=5))</f>
        <v>0</v>
      </c>
    </row>
    <row r="23" spans="2:17" ht="18" x14ac:dyDescent="0.2">
      <c r="B23" s="294"/>
      <c r="C23" s="48">
        <v>21</v>
      </c>
      <c r="D23" s="40">
        <f t="shared" si="0"/>
        <v>21</v>
      </c>
      <c r="E23" s="42">
        <f t="shared" si="1"/>
        <v>42</v>
      </c>
      <c r="F23" s="34">
        <f t="shared" si="2"/>
        <v>63</v>
      </c>
      <c r="G23" s="31">
        <f t="shared" si="3"/>
        <v>84</v>
      </c>
      <c r="H23" s="33">
        <f t="shared" si="4"/>
        <v>105</v>
      </c>
      <c r="K23" s="294"/>
      <c r="L23" s="48">
        <v>21</v>
      </c>
      <c r="M23" s="40">
        <f>SUMPRODUCT(--(DFMECA!M3:M397=21),--(DFMECA!P3:P397=1))</f>
        <v>0</v>
      </c>
      <c r="N23" s="42">
        <f>SUMPRODUCT(--(DFMECA!M3:M397=21),--(DFMECA!P3:P397=2))</f>
        <v>0</v>
      </c>
      <c r="O23" s="34">
        <f>SUMPRODUCT(--(DFMECA!M3:M397=21),--(DFMECA!P3:P397=3))</f>
        <v>0</v>
      </c>
      <c r="P23" s="31">
        <f>SUMPRODUCT(--(DFMECA!M3:M397=21),--(DFMECA!P3:P397=4))</f>
        <v>0</v>
      </c>
      <c r="Q23" s="33">
        <f>SUMPRODUCT(--(DFMECA!M3:M397=21),--(DFMECA!P3:P397=5))</f>
        <v>0</v>
      </c>
    </row>
    <row r="24" spans="2:17" ht="18" x14ac:dyDescent="0.2">
      <c r="B24" s="294"/>
      <c r="C24" s="48">
        <v>20</v>
      </c>
      <c r="D24" s="40">
        <f t="shared" si="0"/>
        <v>20</v>
      </c>
      <c r="E24" s="42">
        <f t="shared" si="1"/>
        <v>40</v>
      </c>
      <c r="F24" s="34">
        <f t="shared" si="2"/>
        <v>60</v>
      </c>
      <c r="G24" s="31">
        <f t="shared" si="3"/>
        <v>80</v>
      </c>
      <c r="H24" s="33">
        <f t="shared" si="4"/>
        <v>100</v>
      </c>
      <c r="K24" s="294"/>
      <c r="L24" s="48">
        <v>20</v>
      </c>
      <c r="M24" s="40">
        <f>SUMPRODUCT(--(DFMECA!M3:M397=20),--(DFMECA!P3:P397=1))</f>
        <v>0</v>
      </c>
      <c r="N24" s="42">
        <f>SUMPRODUCT(--(DFMECA!M3:M397=20),--(DFMECA!P3:P397=2))</f>
        <v>0</v>
      </c>
      <c r="O24" s="34">
        <f>SUMPRODUCT(--(DFMECA!M3:M397=20),--(DFMECA!P3:P397=3))</f>
        <v>0</v>
      </c>
      <c r="P24" s="31">
        <f>SUMPRODUCT(--(DFMECA!M3:M397=20),--(DFMECA!P3:P397=4))</f>
        <v>0</v>
      </c>
      <c r="Q24" s="33">
        <f>SUMPRODUCT(--(DFMECA!M3:M397=20),--(DFMECA!P3:P397=5))</f>
        <v>0</v>
      </c>
    </row>
    <row r="25" spans="2:17" ht="18" x14ac:dyDescent="0.2">
      <c r="B25" s="294"/>
      <c r="C25" s="48">
        <v>19</v>
      </c>
      <c r="D25" s="40">
        <f t="shared" si="0"/>
        <v>19</v>
      </c>
      <c r="E25" s="42">
        <f t="shared" si="1"/>
        <v>38</v>
      </c>
      <c r="F25" s="36">
        <f t="shared" si="2"/>
        <v>57</v>
      </c>
      <c r="G25" s="31">
        <f t="shared" si="3"/>
        <v>76</v>
      </c>
      <c r="H25" s="33">
        <f t="shared" si="4"/>
        <v>95</v>
      </c>
      <c r="K25" s="294"/>
      <c r="L25" s="48">
        <v>19</v>
      </c>
      <c r="M25" s="40">
        <f>SUMPRODUCT(--(DFMECA!M3:M397=19),--(DFMECA!P3:P397=1))</f>
        <v>0</v>
      </c>
      <c r="N25" s="42">
        <f>SUMPRODUCT(--(DFMECA!M3:M397=19),--(DFMECA!P3:P397=2))</f>
        <v>0</v>
      </c>
      <c r="O25" s="36">
        <f>SUMPRODUCT(--(DFMECA!M3:M397=19),--(DFMECA!P3:P397=3))</f>
        <v>0</v>
      </c>
      <c r="P25" s="31">
        <f>SUMPRODUCT(--(DFMECA!M3:M397=19),--(DFMECA!P3:P397=4))</f>
        <v>0</v>
      </c>
      <c r="Q25" s="33">
        <f>SUMPRODUCT(--(DFMECA!M3:M397=19),--(DFMECA!P3:P397=5))</f>
        <v>0</v>
      </c>
    </row>
    <row r="26" spans="2:17" ht="18" x14ac:dyDescent="0.2">
      <c r="B26" s="294"/>
      <c r="C26" s="48">
        <v>18</v>
      </c>
      <c r="D26" s="40">
        <f t="shared" si="0"/>
        <v>18</v>
      </c>
      <c r="E26" s="42">
        <f t="shared" si="1"/>
        <v>36</v>
      </c>
      <c r="F26" s="36">
        <f t="shared" si="2"/>
        <v>54</v>
      </c>
      <c r="G26" s="31">
        <f t="shared" si="3"/>
        <v>72</v>
      </c>
      <c r="H26" s="33">
        <f t="shared" si="4"/>
        <v>90</v>
      </c>
      <c r="K26" s="294"/>
      <c r="L26" s="48">
        <v>18</v>
      </c>
      <c r="M26" s="40">
        <f>SUMPRODUCT(--(DFMECA!M3:M397=18),--(DFMECA!P3:P397=1))</f>
        <v>0</v>
      </c>
      <c r="N26" s="42">
        <f>SUMPRODUCT(--(DFMECA!M3:M397=18),--(DFMECA!P3:P397=2))</f>
        <v>0</v>
      </c>
      <c r="O26" s="36">
        <f>SUMPRODUCT(--(DFMECA!M3:M397=18),--(DFMECA!P3:P397=3))</f>
        <v>0</v>
      </c>
      <c r="P26" s="31">
        <f>SUMPRODUCT(--(DFMECA!M3:M397=18),--(DFMECA!P3:P397=4))</f>
        <v>0</v>
      </c>
      <c r="Q26" s="33">
        <f>SUMPRODUCT(--(DFMECA!M3:M397=18),--(DFMECA!P3:P397=5))</f>
        <v>0</v>
      </c>
    </row>
    <row r="27" spans="2:17" ht="18" x14ac:dyDescent="0.2">
      <c r="B27" s="294"/>
      <c r="C27" s="48">
        <v>17</v>
      </c>
      <c r="D27" s="40">
        <f t="shared" si="0"/>
        <v>17</v>
      </c>
      <c r="E27" s="42">
        <f t="shared" si="1"/>
        <v>34</v>
      </c>
      <c r="F27" s="36">
        <f t="shared" si="2"/>
        <v>51</v>
      </c>
      <c r="G27" s="34">
        <f t="shared" si="3"/>
        <v>68</v>
      </c>
      <c r="H27" s="33">
        <f t="shared" si="4"/>
        <v>85</v>
      </c>
      <c r="K27" s="294"/>
      <c r="L27" s="48">
        <v>17</v>
      </c>
      <c r="M27" s="40">
        <f>SUMPRODUCT(--(DFMECA!M3:M397=17),--(DFMECA!P3:P397=1))</f>
        <v>0</v>
      </c>
      <c r="N27" s="42">
        <f>SUMPRODUCT(--(DFMECA!M3:M397=17),--(DFMECA!P3:P397=2))</f>
        <v>0</v>
      </c>
      <c r="O27" s="36">
        <f>SUMPRODUCT(--(DFMECA!M3:M397=17),--(DFMECA!P3:P397=3))</f>
        <v>0</v>
      </c>
      <c r="P27" s="34">
        <f>SUMPRODUCT(--(DFMECA!M3:M397=17),--(DFMECA!P3:P397=4))</f>
        <v>0</v>
      </c>
      <c r="Q27" s="33">
        <f>SUMPRODUCT(--(DFMECA!M3:M397=17),--(DFMECA!P3:P397=5))</f>
        <v>0</v>
      </c>
    </row>
    <row r="28" spans="2:17" ht="18" x14ac:dyDescent="0.2">
      <c r="B28" s="294"/>
      <c r="C28" s="48">
        <v>16</v>
      </c>
      <c r="D28" s="40">
        <f t="shared" si="0"/>
        <v>16</v>
      </c>
      <c r="E28" s="42">
        <f t="shared" si="1"/>
        <v>32</v>
      </c>
      <c r="F28" s="42">
        <f t="shared" si="2"/>
        <v>48</v>
      </c>
      <c r="G28" s="34">
        <f t="shared" si="3"/>
        <v>64</v>
      </c>
      <c r="H28" s="33">
        <f t="shared" si="4"/>
        <v>80</v>
      </c>
      <c r="K28" s="294"/>
      <c r="L28" s="48">
        <v>16</v>
      </c>
      <c r="M28" s="40">
        <f>SUMPRODUCT(--(DFMECA!M3:M397=16),--(DFMECA!P3:P397=1))</f>
        <v>0</v>
      </c>
      <c r="N28" s="42">
        <f>SUMPRODUCT(--(DFMECA!M3:M397=16),--(DFMECA!P3:P397=2))</f>
        <v>0</v>
      </c>
      <c r="O28" s="42">
        <f>SUMPRODUCT(--(DFMECA!M3:M397=16),--(DFMECA!P3:P397=3))</f>
        <v>0</v>
      </c>
      <c r="P28" s="34">
        <f>SUMPRODUCT(--(DFMECA!M3:M397=16),--(DFMECA!P3:P397=4))</f>
        <v>0</v>
      </c>
      <c r="Q28" s="33">
        <f>SUMPRODUCT(--(DFMECA!M3:M397=16),--(DFMECA!P3:P397=5))</f>
        <v>0</v>
      </c>
    </row>
    <row r="29" spans="2:17" ht="18" x14ac:dyDescent="0.2">
      <c r="B29" s="294"/>
      <c r="C29" s="48">
        <v>15</v>
      </c>
      <c r="D29" s="40">
        <f t="shared" si="0"/>
        <v>15</v>
      </c>
      <c r="E29" s="42">
        <f t="shared" si="1"/>
        <v>30</v>
      </c>
      <c r="F29" s="42">
        <f t="shared" si="2"/>
        <v>45</v>
      </c>
      <c r="G29" s="34">
        <f t="shared" si="3"/>
        <v>60</v>
      </c>
      <c r="H29" s="33">
        <f t="shared" si="4"/>
        <v>75</v>
      </c>
      <c r="K29" s="294"/>
      <c r="L29" s="48">
        <v>15</v>
      </c>
      <c r="M29" s="40">
        <f>SUMPRODUCT(--(DFMECA!M3:M397=15),--(DFMECA!P3:P397=1))</f>
        <v>0</v>
      </c>
      <c r="N29" s="42">
        <f>SUMPRODUCT(--(DFMECA!M3:M397=15),--(DFMECA!P3:P397=2))</f>
        <v>0</v>
      </c>
      <c r="O29" s="42">
        <f>SUMPRODUCT(--(DFMECA!M3:M397=15),--(DFMECA!P3:P397=3))</f>
        <v>0</v>
      </c>
      <c r="P29" s="34">
        <f>SUMPRODUCT(--(DFMECA!M3:M397=15),--(DFMECA!P3:P397=4))</f>
        <v>0</v>
      </c>
      <c r="Q29" s="33">
        <f>SUMPRODUCT(--(DFMECA!M3:M397=15),--(DFMECA!P3:P397=5))</f>
        <v>0</v>
      </c>
    </row>
    <row r="30" spans="2:17" ht="18" x14ac:dyDescent="0.2">
      <c r="B30" s="294"/>
      <c r="C30" s="48">
        <v>14</v>
      </c>
      <c r="D30" s="40">
        <f t="shared" si="0"/>
        <v>14</v>
      </c>
      <c r="E30" s="42">
        <f t="shared" si="1"/>
        <v>28</v>
      </c>
      <c r="F30" s="42">
        <f t="shared" si="2"/>
        <v>42</v>
      </c>
      <c r="G30" s="36">
        <f t="shared" si="3"/>
        <v>56</v>
      </c>
      <c r="H30" s="33">
        <f t="shared" si="4"/>
        <v>70</v>
      </c>
      <c r="K30" s="294"/>
      <c r="L30" s="48">
        <v>14</v>
      </c>
      <c r="M30" s="40">
        <f>SUMPRODUCT(--(DFMECA!M3:M397=14),--(DFMECA!P3:P397=1))</f>
        <v>0</v>
      </c>
      <c r="N30" s="42">
        <f>SUMPRODUCT(--(DFMECA!M3:M397=14),--(DFMECA!P3:P397=2))</f>
        <v>0</v>
      </c>
      <c r="O30" s="42">
        <f>SUMPRODUCT(--(DFMECA!M3:M397=14),--(DFMECA!P3:P397=3))</f>
        <v>0</v>
      </c>
      <c r="P30" s="36">
        <f>SUMPRODUCT(--(DFMECA!M3:M397=14),--(DFMECA!P3:P397=4))</f>
        <v>0</v>
      </c>
      <c r="Q30" s="33">
        <f>SUMPRODUCT(--(DFMECA!M3:M397=14),--(DFMECA!P3:P397=5))</f>
        <v>0</v>
      </c>
    </row>
    <row r="31" spans="2:17" ht="18" x14ac:dyDescent="0.2">
      <c r="B31" s="294"/>
      <c r="C31" s="48">
        <v>13</v>
      </c>
      <c r="D31" s="40">
        <f t="shared" si="0"/>
        <v>13</v>
      </c>
      <c r="E31" s="42">
        <f t="shared" si="1"/>
        <v>26</v>
      </c>
      <c r="F31" s="42">
        <f t="shared" si="2"/>
        <v>39</v>
      </c>
      <c r="G31" s="36">
        <f t="shared" si="3"/>
        <v>52</v>
      </c>
      <c r="H31" s="35">
        <f t="shared" si="4"/>
        <v>65</v>
      </c>
      <c r="K31" s="294"/>
      <c r="L31" s="48">
        <v>13</v>
      </c>
      <c r="M31" s="40">
        <f>SUMPRODUCT(--(DFMECA!M3:M397=13),--(DFMECA!P3:P397=1))</f>
        <v>0</v>
      </c>
      <c r="N31" s="42">
        <f>SUMPRODUCT(--(DFMECA!M3:M397=13),--(DFMECA!P3:P397=2))</f>
        <v>0</v>
      </c>
      <c r="O31" s="42">
        <f>SUMPRODUCT(--(DFMECA!M3:M397=13),--(DFMECA!P3:P397=3))</f>
        <v>0</v>
      </c>
      <c r="P31" s="36">
        <f>SUMPRODUCT(--(DFMECA!M3:M397=13),--(DFMECA!P3:P397=4))</f>
        <v>0</v>
      </c>
      <c r="Q31" s="35">
        <f>SUMPRODUCT(--(DFMECA!M3:M397=13),--(DFMECA!P3:P397=5))</f>
        <v>0</v>
      </c>
    </row>
    <row r="32" spans="2:17" ht="18" x14ac:dyDescent="0.2">
      <c r="B32" s="294"/>
      <c r="C32" s="48">
        <v>12</v>
      </c>
      <c r="D32" s="40">
        <f t="shared" si="0"/>
        <v>12</v>
      </c>
      <c r="E32" s="42">
        <f t="shared" si="1"/>
        <v>24</v>
      </c>
      <c r="F32" s="42">
        <f t="shared" si="2"/>
        <v>36</v>
      </c>
      <c r="G32" s="42">
        <f t="shared" si="3"/>
        <v>48</v>
      </c>
      <c r="H32" s="35">
        <f t="shared" si="4"/>
        <v>60</v>
      </c>
      <c r="K32" s="294"/>
      <c r="L32" s="48">
        <v>12</v>
      </c>
      <c r="M32" s="40">
        <f>SUMPRODUCT(--(DFMECA!M3:M397=12),--(DFMECA!P3:P397=1))</f>
        <v>0</v>
      </c>
      <c r="N32" s="42">
        <f>SUMPRODUCT(--(DFMECA!M3:M397=12),--(DFMECA!P3:P397=2))</f>
        <v>0</v>
      </c>
      <c r="O32" s="42">
        <f>SUMPRODUCT(--(DFMECA!M3:M397=12),--(DFMECA!P3:P397=3))</f>
        <v>0</v>
      </c>
      <c r="P32" s="42">
        <f>SUMPRODUCT(--(DFMECA!M3:M397=12),--(DFMECA!P3:P397=4))</f>
        <v>0</v>
      </c>
      <c r="Q32" s="35">
        <f>SUMPRODUCT(--(DFMECA!M3:M397=12),--(DFMECA!P3:P397=5))</f>
        <v>0</v>
      </c>
    </row>
    <row r="33" spans="2:17" ht="18" x14ac:dyDescent="0.2">
      <c r="B33" s="294"/>
      <c r="C33" s="48">
        <v>11</v>
      </c>
      <c r="D33" s="40">
        <f t="shared" si="0"/>
        <v>11</v>
      </c>
      <c r="E33" s="42">
        <f t="shared" si="1"/>
        <v>22</v>
      </c>
      <c r="F33" s="42">
        <f t="shared" si="2"/>
        <v>33</v>
      </c>
      <c r="G33" s="42">
        <f t="shared" si="3"/>
        <v>44</v>
      </c>
      <c r="H33" s="37">
        <f t="shared" si="4"/>
        <v>55</v>
      </c>
      <c r="K33" s="294"/>
      <c r="L33" s="48">
        <v>11</v>
      </c>
      <c r="M33" s="40">
        <f>SUMPRODUCT(--(DFMECA!M3:M397=11),--(DFMECA!P3:P397=1))</f>
        <v>0</v>
      </c>
      <c r="N33" s="42">
        <f>SUMPRODUCT(--(DFMECA!M3:M397=11),--(DFMECA!P3:P397=2))</f>
        <v>0</v>
      </c>
      <c r="O33" s="42">
        <f>SUMPRODUCT(--(DFMECA!M3:M397=11),--(DFMECA!P3:P397=3))</f>
        <v>0</v>
      </c>
      <c r="P33" s="42">
        <f>SUMPRODUCT(--(DFMECA!M3:M397=11),--(DFMECA!P3:P397=4))</f>
        <v>0</v>
      </c>
      <c r="Q33" s="37">
        <f>SUMPRODUCT(--(DFMECA!M3:M397=11),--(DFMECA!P3:P397=5))</f>
        <v>0</v>
      </c>
    </row>
    <row r="34" spans="2:17" ht="18" x14ac:dyDescent="0.2">
      <c r="B34" s="294"/>
      <c r="C34" s="48">
        <v>10</v>
      </c>
      <c r="D34" s="40">
        <f t="shared" si="0"/>
        <v>10</v>
      </c>
      <c r="E34" s="42">
        <f t="shared" si="1"/>
        <v>20</v>
      </c>
      <c r="F34" s="42">
        <f t="shared" si="2"/>
        <v>30</v>
      </c>
      <c r="G34" s="42">
        <f t="shared" si="3"/>
        <v>40</v>
      </c>
      <c r="H34" s="37">
        <f t="shared" si="4"/>
        <v>50</v>
      </c>
      <c r="K34" s="294"/>
      <c r="L34" s="48">
        <v>10</v>
      </c>
      <c r="M34" s="40">
        <f>SUMPRODUCT(--(DFMECA!M3:M397=10),--(DFMECA!P3:P397=1))</f>
        <v>0</v>
      </c>
      <c r="N34" s="42">
        <f>SUMPRODUCT(--(DFMECA!M3:M397=10),--(DFMECA!P3:P397=2))</f>
        <v>0</v>
      </c>
      <c r="O34" s="42">
        <f>SUMPRODUCT(--(DFMECA!M3:M397=10),--(DFMECA!P3:P397=3))</f>
        <v>0</v>
      </c>
      <c r="P34" s="42">
        <f>SUMPRODUCT(--(DFMECA!M3:M397=10),--(DFMECA!P3:P397=4))</f>
        <v>0</v>
      </c>
      <c r="Q34" s="37">
        <f>SUMPRODUCT(--(DFMECA!M3:M397=10),--(DFMECA!P3:P397=5))</f>
        <v>0</v>
      </c>
    </row>
    <row r="35" spans="2:17" ht="18" x14ac:dyDescent="0.2">
      <c r="B35" s="294"/>
      <c r="C35" s="48">
        <v>9</v>
      </c>
      <c r="D35" s="40">
        <f t="shared" si="0"/>
        <v>9</v>
      </c>
      <c r="E35" s="42">
        <f t="shared" si="1"/>
        <v>18</v>
      </c>
      <c r="F35" s="42">
        <f t="shared" si="2"/>
        <v>27</v>
      </c>
      <c r="G35" s="42">
        <f t="shared" si="3"/>
        <v>36</v>
      </c>
      <c r="H35" s="44">
        <f t="shared" si="4"/>
        <v>45</v>
      </c>
      <c r="K35" s="294"/>
      <c r="L35" s="48">
        <v>9</v>
      </c>
      <c r="M35" s="40">
        <f>SUMPRODUCT(--(DFMECA!M3:M397=9),--(DFMECA!P3:P397=1))</f>
        <v>0</v>
      </c>
      <c r="N35" s="42">
        <f>SUMPRODUCT(--(DFMECA!M3:M397=9),--(DFMECA!P3:P397=2))</f>
        <v>0</v>
      </c>
      <c r="O35" s="42">
        <f>SUMPRODUCT(--(DFMECA!M3:M397=9),--(DFMECA!P3:P397=3))</f>
        <v>0</v>
      </c>
      <c r="P35" s="42">
        <f>SUMPRODUCT(--(DFMECA!M3:M397=9),--(DFMECA!P3:P397=4))</f>
        <v>0</v>
      </c>
      <c r="Q35" s="44">
        <f>SUMPRODUCT(--(DFMECA!M3:M397=9),--(DFMECA!P3:P397=5))</f>
        <v>0</v>
      </c>
    </row>
    <row r="36" spans="2:17" ht="18" x14ac:dyDescent="0.2">
      <c r="B36" s="294"/>
      <c r="C36" s="48">
        <v>8</v>
      </c>
      <c r="D36" s="40">
        <f t="shared" si="0"/>
        <v>8</v>
      </c>
      <c r="E36" s="42">
        <f t="shared" si="1"/>
        <v>16</v>
      </c>
      <c r="F36" s="42">
        <f t="shared" si="2"/>
        <v>24</v>
      </c>
      <c r="G36" s="42">
        <f t="shared" si="3"/>
        <v>32</v>
      </c>
      <c r="H36" s="44">
        <f t="shared" si="4"/>
        <v>40</v>
      </c>
      <c r="K36" s="294"/>
      <c r="L36" s="48">
        <v>8</v>
      </c>
      <c r="M36" s="40">
        <f>SUMPRODUCT(--(DFMECA!M3:M397=8),--(DFMECA!P3:P397=1))</f>
        <v>3</v>
      </c>
      <c r="N36" s="42">
        <f>SUMPRODUCT(--(DFMECA!M3:M397=8),--(DFMECA!P3:P397=2))</f>
        <v>12</v>
      </c>
      <c r="O36" s="42">
        <f>SUMPRODUCT(--(DFMECA!M3:M397=8),--(DFMECA!P3:P397=3))</f>
        <v>1</v>
      </c>
      <c r="P36" s="42">
        <f>SUMPRODUCT(--(DFMECA!M3:M397=8),--(DFMECA!P3:P397=4))</f>
        <v>0</v>
      </c>
      <c r="Q36" s="44">
        <f>SUMPRODUCT(--(DFMECA!M3:M397=8),--(DFMECA!P3:P397=5))</f>
        <v>0</v>
      </c>
    </row>
    <row r="37" spans="2:17" ht="18" x14ac:dyDescent="0.2">
      <c r="B37" s="294"/>
      <c r="C37" s="48">
        <v>7</v>
      </c>
      <c r="D37" s="40">
        <f t="shared" si="0"/>
        <v>7</v>
      </c>
      <c r="E37" s="42">
        <f t="shared" si="1"/>
        <v>14</v>
      </c>
      <c r="F37" s="42">
        <f t="shared" si="2"/>
        <v>21</v>
      </c>
      <c r="G37" s="42">
        <f t="shared" si="3"/>
        <v>28</v>
      </c>
      <c r="H37" s="44">
        <f t="shared" si="4"/>
        <v>35</v>
      </c>
      <c r="K37" s="294"/>
      <c r="L37" s="48">
        <v>7</v>
      </c>
      <c r="M37" s="40">
        <f>SUMPRODUCT(--(DFMECA!M3:M397=7),--(DFMECA!P3:P397=1))</f>
        <v>0</v>
      </c>
      <c r="N37" s="42">
        <f>SUMPRODUCT(--(DFMECA!M3:M397=7),--(DFMECA!P3:P397=2))</f>
        <v>0</v>
      </c>
      <c r="O37" s="42">
        <f>SUMPRODUCT(--(DFMECA!M3:M397=7),--(DFMECA!P3:P397=3))</f>
        <v>0</v>
      </c>
      <c r="P37" s="42">
        <f>SUMPRODUCT(--(DFMECA!M3:M397=7),--(DFMECA!P3:P397=4))</f>
        <v>0</v>
      </c>
      <c r="Q37" s="44">
        <f>SUMPRODUCT(--(DFMECA!M3:M397=7),--(DFMECA!P3:P397=5))</f>
        <v>0</v>
      </c>
    </row>
    <row r="38" spans="2:17" ht="18" x14ac:dyDescent="0.2">
      <c r="B38" s="294"/>
      <c r="C38" s="48">
        <v>6</v>
      </c>
      <c r="D38" s="40">
        <f t="shared" si="0"/>
        <v>6</v>
      </c>
      <c r="E38" s="42">
        <f t="shared" si="1"/>
        <v>12</v>
      </c>
      <c r="F38" s="42">
        <f t="shared" si="2"/>
        <v>18</v>
      </c>
      <c r="G38" s="42">
        <f t="shared" si="3"/>
        <v>24</v>
      </c>
      <c r="H38" s="44">
        <f t="shared" si="4"/>
        <v>30</v>
      </c>
      <c r="K38" s="294"/>
      <c r="L38" s="48">
        <v>6</v>
      </c>
      <c r="M38" s="40">
        <f>SUMPRODUCT(--(DFMECA!M3:M397=6),--(DFMECA!P3:P397=1))</f>
        <v>0</v>
      </c>
      <c r="N38" s="42">
        <f>SUMPRODUCT(--(DFMECA!M3:M397=6),--(DFMECA!P3:P397=2))</f>
        <v>9</v>
      </c>
      <c r="O38" s="42">
        <f>SUMPRODUCT(--(DFMECA!M3:M397=6),--(DFMECA!P3:P397=3))</f>
        <v>63</v>
      </c>
      <c r="P38" s="42">
        <f>SUMPRODUCT(--(DFMECA!M3:M397=6),--(DFMECA!P3:P397=4))</f>
        <v>1</v>
      </c>
      <c r="Q38" s="44">
        <f>SUMPRODUCT(--(DFMECA!M3:M397=6),--(DFMECA!P3:P397=5))</f>
        <v>23</v>
      </c>
    </row>
    <row r="39" spans="2:17" ht="18" x14ac:dyDescent="0.2">
      <c r="B39" s="294"/>
      <c r="C39" s="48">
        <v>5</v>
      </c>
      <c r="D39" s="40">
        <f t="shared" si="0"/>
        <v>5</v>
      </c>
      <c r="E39" s="42">
        <f t="shared" si="1"/>
        <v>10</v>
      </c>
      <c r="F39" s="42">
        <f t="shared" si="2"/>
        <v>15</v>
      </c>
      <c r="G39" s="42">
        <f t="shared" si="3"/>
        <v>20</v>
      </c>
      <c r="H39" s="44">
        <f t="shared" si="4"/>
        <v>25</v>
      </c>
      <c r="K39" s="294"/>
      <c r="L39" s="48">
        <v>5</v>
      </c>
      <c r="M39" s="40">
        <f>SUMPRODUCT(--(DFMECA!M3:M397=5),--(DFMECA!P3:P397=1))</f>
        <v>0</v>
      </c>
      <c r="N39" s="42">
        <f>SUMPRODUCT(--(DFMECA!M3:M397=5),--(DFMECA!P3:P397=2))</f>
        <v>0</v>
      </c>
      <c r="O39" s="42">
        <f>SUMPRODUCT(--(DFMECA!M3:M397=5),--(DFMECA!P3:P397=3))</f>
        <v>0</v>
      </c>
      <c r="P39" s="42">
        <f>SUMPRODUCT(--(DFMECA!M3:M397=5),--(DFMECA!P3:P397=4))</f>
        <v>0</v>
      </c>
      <c r="Q39" s="44">
        <f>SUMPRODUCT(--(DFMECA!M3:M397=5),--(DFMECA!P3:P397=5))</f>
        <v>0</v>
      </c>
    </row>
    <row r="40" spans="2:17" ht="18" x14ac:dyDescent="0.2">
      <c r="B40" s="294"/>
      <c r="C40" s="48">
        <v>4</v>
      </c>
      <c r="D40" s="40">
        <f t="shared" si="0"/>
        <v>4</v>
      </c>
      <c r="E40" s="42">
        <f t="shared" si="1"/>
        <v>8</v>
      </c>
      <c r="F40" s="42">
        <f t="shared" si="2"/>
        <v>12</v>
      </c>
      <c r="G40" s="42">
        <f t="shared" si="3"/>
        <v>16</v>
      </c>
      <c r="H40" s="44">
        <f t="shared" si="4"/>
        <v>20</v>
      </c>
      <c r="K40" s="294"/>
      <c r="L40" s="48">
        <v>4</v>
      </c>
      <c r="M40" s="40">
        <f>SUMPRODUCT(--(DFMECA!M3:M397=4),--(DFMECA!P3:P397=1))</f>
        <v>8</v>
      </c>
      <c r="N40" s="42">
        <f>SUMPRODUCT(--(DFMECA!M3:M397=4),--(DFMECA!P3:P397=2))</f>
        <v>0</v>
      </c>
      <c r="O40" s="42">
        <f>SUMPRODUCT(--(DFMECA!M3:M397=4),--(DFMECA!P3:P397=3))</f>
        <v>1</v>
      </c>
      <c r="P40" s="42">
        <f>SUMPRODUCT(--(DFMECA!M3:M397=4),--(DFMECA!P3:P397=4))</f>
        <v>0</v>
      </c>
      <c r="Q40" s="44">
        <f>SUMPRODUCT(--(DFMECA!M3:M397=4),--(DFMECA!P3:P397=5))</f>
        <v>14</v>
      </c>
    </row>
    <row r="41" spans="2:17" ht="18" x14ac:dyDescent="0.2">
      <c r="B41" s="294"/>
      <c r="C41" s="48">
        <v>3</v>
      </c>
      <c r="D41" s="40">
        <f t="shared" si="0"/>
        <v>3</v>
      </c>
      <c r="E41" s="42">
        <f t="shared" si="1"/>
        <v>6</v>
      </c>
      <c r="F41" s="42">
        <f t="shared" si="2"/>
        <v>9</v>
      </c>
      <c r="G41" s="42">
        <f t="shared" si="3"/>
        <v>12</v>
      </c>
      <c r="H41" s="44">
        <f t="shared" si="4"/>
        <v>15</v>
      </c>
      <c r="K41" s="294"/>
      <c r="L41" s="48">
        <v>3</v>
      </c>
      <c r="M41" s="40">
        <f>SUMPRODUCT(--(DFMECA!M3:M397=3),--(DFMECA!P3:P397=1))</f>
        <v>2</v>
      </c>
      <c r="N41" s="42">
        <f>SUMPRODUCT(--(DFMECA!M3:M397=3),--(DFMECA!P3:P397=2))</f>
        <v>4</v>
      </c>
      <c r="O41" s="42">
        <f>SUMPRODUCT(--(DFMECA!M3:M397=3),--(DFMECA!P3:P397=3))</f>
        <v>37</v>
      </c>
      <c r="P41" s="42">
        <f>SUMPRODUCT(--(DFMECA!M3:M397=3),--(DFMECA!P3:P397=4))</f>
        <v>5</v>
      </c>
      <c r="Q41" s="44">
        <f>SUMPRODUCT(--(DFMECA!M3:M397=3),--(DFMECA!P3:P397=5))</f>
        <v>42</v>
      </c>
    </row>
    <row r="42" spans="2:17" ht="18" x14ac:dyDescent="0.2">
      <c r="B42" s="294"/>
      <c r="C42" s="48">
        <v>2</v>
      </c>
      <c r="D42" s="40">
        <f t="shared" si="0"/>
        <v>2</v>
      </c>
      <c r="E42" s="42">
        <f t="shared" si="1"/>
        <v>4</v>
      </c>
      <c r="F42" s="42">
        <f t="shared" si="2"/>
        <v>6</v>
      </c>
      <c r="G42" s="42">
        <f t="shared" si="3"/>
        <v>8</v>
      </c>
      <c r="H42" s="44">
        <f t="shared" si="4"/>
        <v>10</v>
      </c>
      <c r="K42" s="294"/>
      <c r="L42" s="48">
        <v>2</v>
      </c>
      <c r="M42" s="40">
        <f>SUMPRODUCT(--(DFMECA!M3:M397=2),--(DFMECA!P3:P397=1))</f>
        <v>8</v>
      </c>
      <c r="N42" s="42">
        <f>SUMPRODUCT(--(DFMECA!M3:M397=2),--(DFMECA!P3:P397=2))</f>
        <v>0</v>
      </c>
      <c r="O42" s="42">
        <f>SUMPRODUCT(--(DFMECA!M3:M397=2),--(DFMECA!P3:P397=3))</f>
        <v>1</v>
      </c>
      <c r="P42" s="42">
        <f>SUMPRODUCT(--(DFMECA!M3:M397=2),--(DFMECA!P3:P397=4))</f>
        <v>0</v>
      </c>
      <c r="Q42" s="44">
        <f>SUMPRODUCT(--(DFMECA!M3:M397=2),--(DFMECA!P3:P397=5))</f>
        <v>49</v>
      </c>
    </row>
    <row r="43" spans="2:17" ht="18.75" thickBot="1" x14ac:dyDescent="0.25">
      <c r="B43" s="294"/>
      <c r="C43" s="48">
        <v>1</v>
      </c>
      <c r="D43" s="41">
        <f t="shared" si="0"/>
        <v>1</v>
      </c>
      <c r="E43" s="43">
        <f t="shared" si="1"/>
        <v>2</v>
      </c>
      <c r="F43" s="43">
        <f t="shared" si="2"/>
        <v>3</v>
      </c>
      <c r="G43" s="43">
        <f t="shared" si="3"/>
        <v>4</v>
      </c>
      <c r="H43" s="45">
        <f t="shared" si="4"/>
        <v>5</v>
      </c>
      <c r="K43" s="294"/>
      <c r="L43" s="48">
        <v>1</v>
      </c>
      <c r="M43" s="41">
        <f>SUMPRODUCT(--(DFMECA!M3:M397=1),--(DFMECA!P3:P397=1))</f>
        <v>1</v>
      </c>
      <c r="N43" s="43">
        <f>SUMPRODUCT(--(DFMECA!M3:M397=1),--(DFMECA!P3:P397=2))</f>
        <v>0</v>
      </c>
      <c r="O43" s="43">
        <f>SUMPRODUCT(--(DFMECA!M3:M397=1),--(DFMECA!P3:P397=3))</f>
        <v>3</v>
      </c>
      <c r="P43" s="43">
        <f>SUMPRODUCT(--(DFMECA!M3:M397=1),--(DFMECA!P3:P397=4))</f>
        <v>0</v>
      </c>
      <c r="Q43" s="45">
        <f>SUMPRODUCT(--(DFMECA!M3:M397=1),--(DFMECA!P3:P397=5))</f>
        <v>91</v>
      </c>
    </row>
    <row r="44" spans="2:17" ht="18" x14ac:dyDescent="0.2">
      <c r="D44" s="48">
        <v>1</v>
      </c>
      <c r="E44" s="48">
        <v>2</v>
      </c>
      <c r="F44" s="48">
        <v>3</v>
      </c>
      <c r="G44" s="48">
        <v>4</v>
      </c>
      <c r="H44" s="48">
        <v>5</v>
      </c>
      <c r="M44" s="48">
        <v>1</v>
      </c>
      <c r="N44" s="48">
        <v>2</v>
      </c>
      <c r="O44" s="48">
        <v>3</v>
      </c>
      <c r="P44" s="48">
        <v>4</v>
      </c>
      <c r="Q44" s="48">
        <v>5</v>
      </c>
    </row>
    <row r="45" spans="2:17" ht="18" x14ac:dyDescent="0.2">
      <c r="D45" s="285" t="s">
        <v>7</v>
      </c>
      <c r="E45" s="285"/>
      <c r="F45" s="285"/>
      <c r="G45" s="285"/>
      <c r="H45" s="285"/>
      <c r="M45" s="285" t="s">
        <v>7</v>
      </c>
      <c r="N45" s="285"/>
      <c r="O45" s="285"/>
      <c r="P45" s="285"/>
      <c r="Q45" s="285"/>
    </row>
    <row r="46" spans="2:17" ht="13.5" thickBot="1" x14ac:dyDescent="0.25"/>
    <row r="47" spans="2:17" x14ac:dyDescent="0.2">
      <c r="L47" s="286" t="s">
        <v>111</v>
      </c>
      <c r="M47" s="287"/>
      <c r="N47" s="287"/>
      <c r="O47" s="287"/>
      <c r="P47" s="287"/>
      <c r="Q47" s="7">
        <f>SUM(M19:M43)+SUM(N19:N43)+SUM(O19:O43)+SUM(P19:P43)+SUM(Q19:Q43)</f>
        <v>378</v>
      </c>
    </row>
    <row r="48" spans="2:17" ht="13.5" thickBot="1" x14ac:dyDescent="0.25">
      <c r="L48" s="288" t="s">
        <v>148</v>
      </c>
      <c r="M48" s="289"/>
      <c r="N48" s="289"/>
      <c r="O48" s="289"/>
      <c r="P48" s="289"/>
      <c r="Q48" s="8">
        <f>N19+SUM(O19:O27)+SUM(P19:P31)+SUM(Q19:Q34)</f>
        <v>0</v>
      </c>
    </row>
  </sheetData>
  <mergeCells count="16">
    <mergeCell ref="B19:B43"/>
    <mergeCell ref="K19:K43"/>
    <mergeCell ref="D2:H2"/>
    <mergeCell ref="L2:R2"/>
    <mergeCell ref="B4:B8"/>
    <mergeCell ref="K4:K8"/>
    <mergeCell ref="D10:H10"/>
    <mergeCell ref="M10:Q10"/>
    <mergeCell ref="L17:Q17"/>
    <mergeCell ref="D45:H45"/>
    <mergeCell ref="M45:Q45"/>
    <mergeCell ref="L47:P47"/>
    <mergeCell ref="L48:P48"/>
    <mergeCell ref="M12:P12"/>
    <mergeCell ref="M13:P13"/>
    <mergeCell ref="C17:H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B2:K55"/>
  <sheetViews>
    <sheetView showGridLines="0" zoomScale="70" zoomScaleNormal="70" workbookViewId="0">
      <selection activeCell="C5" sqref="C5"/>
    </sheetView>
  </sheetViews>
  <sheetFormatPr defaultRowHeight="12.75" x14ac:dyDescent="0.2"/>
  <cols>
    <col min="1" max="1" width="2.42578125" customWidth="1"/>
    <col min="2" max="2" width="15.7109375" customWidth="1"/>
    <col min="3" max="3" width="75.5703125" customWidth="1"/>
    <col min="4" max="4" width="61.85546875" customWidth="1"/>
    <col min="5" max="5" width="49.140625" customWidth="1"/>
    <col min="6" max="6" width="20" bestFit="1" customWidth="1"/>
    <col min="7" max="7" width="25.140625" bestFit="1" customWidth="1"/>
    <col min="8" max="8" width="33.85546875" customWidth="1"/>
    <col min="9" max="9" width="33.140625" customWidth="1"/>
    <col min="10" max="10" width="33.42578125" customWidth="1"/>
    <col min="11" max="11" width="9.140625" style="3"/>
    <col min="12" max="15" width="9.140625" customWidth="1"/>
  </cols>
  <sheetData>
    <row r="2" spans="2:11" ht="38.25" customHeight="1" x14ac:dyDescent="0.3">
      <c r="B2" s="296" t="s">
        <v>8</v>
      </c>
      <c r="C2" s="296"/>
      <c r="D2" s="296"/>
      <c r="E2" s="296"/>
      <c r="G2" s="297" t="s">
        <v>17</v>
      </c>
      <c r="H2" s="297"/>
      <c r="I2" s="297"/>
      <c r="J2" s="297"/>
      <c r="K2"/>
    </row>
    <row r="3" spans="2:11" ht="18" customHeight="1" x14ac:dyDescent="0.25">
      <c r="B3" s="64" t="s">
        <v>9</v>
      </c>
      <c r="C3" s="65" t="s">
        <v>10</v>
      </c>
      <c r="D3" s="66" t="s">
        <v>11</v>
      </c>
      <c r="E3" s="66" t="s">
        <v>471</v>
      </c>
      <c r="G3" s="59" t="s">
        <v>9</v>
      </c>
      <c r="H3" s="60" t="s">
        <v>11</v>
      </c>
      <c r="I3" s="61" t="s">
        <v>18</v>
      </c>
      <c r="J3" s="62" t="s">
        <v>19</v>
      </c>
      <c r="K3"/>
    </row>
    <row r="4" spans="2:11" ht="152.25" customHeight="1" x14ac:dyDescent="0.2">
      <c r="B4" s="50" t="s">
        <v>12</v>
      </c>
      <c r="C4" s="5" t="s">
        <v>488</v>
      </c>
      <c r="D4" s="51" t="s">
        <v>480</v>
      </c>
      <c r="E4" s="51" t="s">
        <v>491</v>
      </c>
      <c r="G4" s="49">
        <v>5</v>
      </c>
      <c r="H4" s="6" t="s">
        <v>20</v>
      </c>
      <c r="I4" s="6" t="s">
        <v>21</v>
      </c>
      <c r="J4" s="55" t="s">
        <v>22</v>
      </c>
      <c r="K4"/>
    </row>
    <row r="5" spans="2:11" ht="99" customHeight="1" x14ac:dyDescent="0.2">
      <c r="B5" s="50" t="s">
        <v>13</v>
      </c>
      <c r="C5" s="5" t="s">
        <v>490</v>
      </c>
      <c r="D5" s="51" t="s">
        <v>481</v>
      </c>
      <c r="E5" s="51" t="s">
        <v>485</v>
      </c>
      <c r="G5" s="49">
        <v>4</v>
      </c>
      <c r="H5" s="6" t="s">
        <v>23</v>
      </c>
      <c r="I5" s="6" t="s">
        <v>24</v>
      </c>
      <c r="J5" s="55" t="s">
        <v>25</v>
      </c>
      <c r="K5"/>
    </row>
    <row r="6" spans="2:11" ht="153.75" customHeight="1" x14ac:dyDescent="0.2">
      <c r="B6" s="50" t="s">
        <v>14</v>
      </c>
      <c r="C6" s="5" t="s">
        <v>486</v>
      </c>
      <c r="D6" s="51" t="s">
        <v>482</v>
      </c>
      <c r="E6" s="51" t="s">
        <v>487</v>
      </c>
      <c r="G6" s="49">
        <v>3</v>
      </c>
      <c r="H6" s="6" t="s">
        <v>26</v>
      </c>
      <c r="I6" s="6" t="s">
        <v>27</v>
      </c>
      <c r="J6" s="55" t="s">
        <v>28</v>
      </c>
      <c r="K6"/>
    </row>
    <row r="7" spans="2:11" ht="75" customHeight="1" x14ac:dyDescent="0.2">
      <c r="B7" s="50" t="s">
        <v>15</v>
      </c>
      <c r="C7" s="5" t="s">
        <v>286</v>
      </c>
      <c r="D7" s="51" t="s">
        <v>483</v>
      </c>
      <c r="E7" s="51" t="s">
        <v>473</v>
      </c>
      <c r="G7" s="49">
        <v>2</v>
      </c>
      <c r="H7" s="6" t="s">
        <v>29</v>
      </c>
      <c r="I7" s="6" t="s">
        <v>30</v>
      </c>
      <c r="J7" s="55" t="s">
        <v>31</v>
      </c>
      <c r="K7"/>
    </row>
    <row r="8" spans="2:11" ht="52.5" customHeight="1" x14ac:dyDescent="0.2">
      <c r="B8" s="52" t="s">
        <v>16</v>
      </c>
      <c r="C8" s="53" t="s">
        <v>472</v>
      </c>
      <c r="D8" s="54" t="s">
        <v>484</v>
      </c>
      <c r="E8" s="54" t="s">
        <v>474</v>
      </c>
      <c r="G8" s="56">
        <v>1</v>
      </c>
      <c r="H8" s="57" t="s">
        <v>32</v>
      </c>
      <c r="I8" s="57" t="s">
        <v>33</v>
      </c>
      <c r="J8" s="58" t="s">
        <v>34</v>
      </c>
      <c r="K8"/>
    </row>
    <row r="9" spans="2:11" ht="15" x14ac:dyDescent="0.2">
      <c r="B9" s="3"/>
      <c r="E9" s="47"/>
      <c r="K9"/>
    </row>
    <row r="10" spans="2:11" ht="50.25" customHeight="1" x14ac:dyDescent="0.2">
      <c r="B10" s="298" t="s">
        <v>35</v>
      </c>
      <c r="C10" s="298"/>
      <c r="D10" s="298"/>
      <c r="E10" s="299"/>
      <c r="I10" s="300" t="s">
        <v>489</v>
      </c>
      <c r="J10" s="300"/>
      <c r="K10"/>
    </row>
    <row r="11" spans="2:11" ht="15.75" x14ac:dyDescent="0.2">
      <c r="B11" s="63" t="s">
        <v>9</v>
      </c>
      <c r="C11" s="63" t="s">
        <v>0</v>
      </c>
      <c r="D11" s="63" t="s">
        <v>10</v>
      </c>
      <c r="E11" s="63" t="s">
        <v>36</v>
      </c>
      <c r="K11"/>
    </row>
    <row r="12" spans="2:11" ht="63.75" customHeight="1" x14ac:dyDescent="0.2">
      <c r="B12" s="4">
        <v>5</v>
      </c>
      <c r="C12" s="5" t="s">
        <v>37</v>
      </c>
      <c r="D12" s="5" t="s">
        <v>475</v>
      </c>
      <c r="E12" s="6" t="s">
        <v>38</v>
      </c>
      <c r="G12" s="104" t="s">
        <v>61</v>
      </c>
      <c r="H12" s="105" t="s">
        <v>117</v>
      </c>
      <c r="K12"/>
    </row>
    <row r="13" spans="2:11" ht="60" customHeight="1" x14ac:dyDescent="0.2">
      <c r="B13" s="4">
        <v>4</v>
      </c>
      <c r="C13" s="5" t="s">
        <v>39</v>
      </c>
      <c r="D13" s="5" t="s">
        <v>476</v>
      </c>
      <c r="E13" s="6" t="s">
        <v>40</v>
      </c>
      <c r="G13" s="106" t="s">
        <v>118</v>
      </c>
      <c r="H13" s="107"/>
      <c r="J13" s="3"/>
      <c r="K13"/>
    </row>
    <row r="14" spans="2:11" ht="50.25" customHeight="1" x14ac:dyDescent="0.2">
      <c r="B14" s="4">
        <v>3</v>
      </c>
      <c r="C14" s="5" t="s">
        <v>41</v>
      </c>
      <c r="D14" s="5" t="s">
        <v>477</v>
      </c>
      <c r="E14" s="6" t="s">
        <v>42</v>
      </c>
      <c r="G14" s="106" t="s">
        <v>119</v>
      </c>
      <c r="H14" s="108"/>
      <c r="J14" s="3"/>
      <c r="K14"/>
    </row>
    <row r="15" spans="2:11" ht="57.75" customHeight="1" x14ac:dyDescent="0.2">
      <c r="B15" s="4">
        <v>2</v>
      </c>
      <c r="C15" s="5" t="s">
        <v>43</v>
      </c>
      <c r="D15" s="5" t="s">
        <v>478</v>
      </c>
      <c r="E15" s="6" t="s">
        <v>44</v>
      </c>
      <c r="G15" s="106" t="s">
        <v>120</v>
      </c>
      <c r="H15" s="109"/>
      <c r="J15" s="3"/>
      <c r="K15"/>
    </row>
    <row r="16" spans="2:11" ht="80.25" customHeight="1" x14ac:dyDescent="0.2">
      <c r="B16" s="4">
        <v>1</v>
      </c>
      <c r="C16" s="5" t="s">
        <v>45</v>
      </c>
      <c r="D16" s="5" t="s">
        <v>479</v>
      </c>
      <c r="E16" s="6" t="s">
        <v>46</v>
      </c>
      <c r="G16" s="110" t="s">
        <v>121</v>
      </c>
      <c r="H16" s="111"/>
      <c r="J16" s="3"/>
      <c r="K16"/>
    </row>
    <row r="28" spans="3:4" x14ac:dyDescent="0.2">
      <c r="C28" s="67"/>
      <c r="D28" s="67"/>
    </row>
    <row r="29" spans="3:4" x14ac:dyDescent="0.2">
      <c r="C29" s="67"/>
      <c r="D29" s="67"/>
    </row>
    <row r="30" spans="3:4" x14ac:dyDescent="0.2">
      <c r="C30" s="67"/>
      <c r="D30" s="67"/>
    </row>
    <row r="50" spans="3:5" ht="15.75" x14ac:dyDescent="0.25">
      <c r="C50" s="69" t="s">
        <v>105</v>
      </c>
      <c r="D50" s="69"/>
      <c r="E50" s="2"/>
    </row>
    <row r="51" spans="3:5" x14ac:dyDescent="0.2">
      <c r="C51" s="67" t="s">
        <v>106</v>
      </c>
      <c r="D51" s="67"/>
      <c r="E51" s="1"/>
    </row>
    <row r="52" spans="3:5" x14ac:dyDescent="0.2">
      <c r="C52" s="67" t="s">
        <v>107</v>
      </c>
      <c r="D52" s="67"/>
      <c r="E52" s="1"/>
    </row>
    <row r="53" spans="3:5" x14ac:dyDescent="0.2">
      <c r="C53" s="67" t="s">
        <v>108</v>
      </c>
      <c r="D53" s="67"/>
      <c r="E53" s="1"/>
    </row>
    <row r="54" spans="3:5" x14ac:dyDescent="0.2">
      <c r="E54" s="68"/>
    </row>
    <row r="55" spans="3:5" x14ac:dyDescent="0.2">
      <c r="E55" s="68"/>
    </row>
  </sheetData>
  <mergeCells count="4">
    <mergeCell ref="B2:E2"/>
    <mergeCell ref="G2:J2"/>
    <mergeCell ref="B10:E10"/>
    <mergeCell ref="I10:J10"/>
  </mergeCells>
  <phoneticPr fontId="7" type="noConversion"/>
  <printOptions horizontalCentered="1"/>
  <pageMargins left="0.75" right="0.75" top="1" bottom="1" header="0.5" footer="0.5"/>
  <pageSetup orientation="landscape" r:id="rId1"/>
  <headerFooter alignWithMargins="0">
    <oddFooter>&amp;L&amp;F&amp;C&amp;"Arial,Bold"Sturdy Corporation Confidential</oddFooter>
  </headerFooter>
  <ignoredErrors>
    <ignoredError sqref="B4:B8" numberStoredAsText="1"/>
  </ignoredErrors>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BA72-6628-4042-A7D7-DFADF1AF4E53}">
  <dimension ref="B1:G15"/>
  <sheetViews>
    <sheetView showGridLines="0" zoomScale="175" zoomScaleNormal="175" workbookViewId="0">
      <selection activeCell="F13" sqref="F13:G13"/>
    </sheetView>
  </sheetViews>
  <sheetFormatPr defaultRowHeight="15" x14ac:dyDescent="0.2"/>
  <cols>
    <col min="1" max="1" width="9.140625" style="245"/>
    <col min="2" max="3" width="15" style="245" customWidth="1"/>
    <col min="4" max="4" width="9.140625" style="246"/>
    <col min="5" max="5" width="12.5703125" style="246" customWidth="1"/>
    <col min="6" max="7" width="21.140625" style="245" customWidth="1"/>
    <col min="8" max="16384" width="9.140625" style="245"/>
  </cols>
  <sheetData>
    <row r="1" spans="2:7" ht="15.75" thickBot="1" x14ac:dyDescent="0.25"/>
    <row r="2" spans="2:7" ht="16.5" thickBot="1" x14ac:dyDescent="0.3">
      <c r="B2" s="301" t="s">
        <v>1489</v>
      </c>
      <c r="C2" s="302"/>
      <c r="D2" s="303" t="s">
        <v>1490</v>
      </c>
      <c r="E2" s="303"/>
      <c r="F2" s="301" t="s">
        <v>0</v>
      </c>
      <c r="G2" s="302"/>
    </row>
    <row r="4" spans="2:7" x14ac:dyDescent="0.2">
      <c r="B4" s="304" t="s">
        <v>1491</v>
      </c>
      <c r="C4" s="305"/>
      <c r="D4" s="304" t="s">
        <v>1492</v>
      </c>
      <c r="E4" s="305"/>
      <c r="F4" s="306" t="s">
        <v>1493</v>
      </c>
      <c r="G4" s="307"/>
    </row>
    <row r="5" spans="2:7" x14ac:dyDescent="0.2">
      <c r="B5" s="304" t="s">
        <v>1494</v>
      </c>
      <c r="C5" s="305"/>
      <c r="D5" s="304" t="s">
        <v>1495</v>
      </c>
      <c r="E5" s="305"/>
      <c r="F5" s="306" t="s">
        <v>1496</v>
      </c>
      <c r="G5" s="307"/>
    </row>
    <row r="6" spans="2:7" x14ac:dyDescent="0.2">
      <c r="B6" s="304" t="s">
        <v>1497</v>
      </c>
      <c r="C6" s="305"/>
      <c r="D6" s="304" t="s">
        <v>1498</v>
      </c>
      <c r="E6" s="305"/>
      <c r="F6" s="306" t="s">
        <v>1499</v>
      </c>
      <c r="G6" s="307"/>
    </row>
    <row r="7" spans="2:7" x14ac:dyDescent="0.2">
      <c r="B7" s="304" t="s">
        <v>465</v>
      </c>
      <c r="C7" s="305"/>
      <c r="D7" s="304" t="s">
        <v>1500</v>
      </c>
      <c r="E7" s="305"/>
      <c r="F7" s="306" t="s">
        <v>1501</v>
      </c>
      <c r="G7" s="307"/>
    </row>
    <row r="8" spans="2:7" x14ac:dyDescent="0.2">
      <c r="B8" s="304" t="s">
        <v>1502</v>
      </c>
      <c r="C8" s="305"/>
      <c r="D8" s="304" t="s">
        <v>1503</v>
      </c>
      <c r="E8" s="305"/>
      <c r="F8" s="306" t="s">
        <v>1504</v>
      </c>
      <c r="G8" s="307"/>
    </row>
    <row r="9" spans="2:7" x14ac:dyDescent="0.2">
      <c r="B9" s="304" t="s">
        <v>1505</v>
      </c>
      <c r="C9" s="305"/>
      <c r="D9" s="304" t="s">
        <v>1506</v>
      </c>
      <c r="E9" s="305"/>
      <c r="F9" s="306" t="s">
        <v>1507</v>
      </c>
      <c r="G9" s="307"/>
    </row>
    <row r="10" spans="2:7" x14ac:dyDescent="0.2">
      <c r="B10" s="304" t="s">
        <v>1508</v>
      </c>
      <c r="C10" s="305"/>
      <c r="D10" s="304" t="s">
        <v>1509</v>
      </c>
      <c r="E10" s="305"/>
      <c r="F10" s="306" t="s">
        <v>1510</v>
      </c>
      <c r="G10" s="307"/>
    </row>
    <row r="11" spans="2:7" x14ac:dyDescent="0.2">
      <c r="B11" s="304" t="s">
        <v>1511</v>
      </c>
      <c r="C11" s="305"/>
      <c r="D11" s="304" t="s">
        <v>1512</v>
      </c>
      <c r="E11" s="305"/>
      <c r="F11" s="306" t="s">
        <v>1513</v>
      </c>
      <c r="G11" s="307"/>
    </row>
    <row r="12" spans="2:7" x14ac:dyDescent="0.2">
      <c r="B12" s="304" t="s">
        <v>1514</v>
      </c>
      <c r="C12" s="305"/>
      <c r="D12" s="304" t="s">
        <v>1515</v>
      </c>
      <c r="E12" s="305"/>
      <c r="F12" s="306" t="s">
        <v>1516</v>
      </c>
      <c r="G12" s="307"/>
    </row>
    <row r="13" spans="2:7" x14ac:dyDescent="0.2">
      <c r="B13" s="304" t="s">
        <v>1517</v>
      </c>
      <c r="C13" s="305"/>
      <c r="D13" s="304" t="s">
        <v>1518</v>
      </c>
      <c r="E13" s="305"/>
      <c r="F13" s="306" t="s">
        <v>1519</v>
      </c>
      <c r="G13" s="307"/>
    </row>
    <row r="14" spans="2:7" x14ac:dyDescent="0.2">
      <c r="F14" s="247"/>
      <c r="G14" s="247"/>
    </row>
    <row r="15" spans="2:7" x14ac:dyDescent="0.2">
      <c r="B15" s="248" t="s">
        <v>1520</v>
      </c>
    </row>
  </sheetData>
  <mergeCells count="33">
    <mergeCell ref="B13:C13"/>
    <mergeCell ref="D13:E13"/>
    <mergeCell ref="F13:G13"/>
    <mergeCell ref="B11:C11"/>
    <mergeCell ref="D11:E11"/>
    <mergeCell ref="F11:G11"/>
    <mergeCell ref="B12:C12"/>
    <mergeCell ref="D12:E12"/>
    <mergeCell ref="F12:G12"/>
    <mergeCell ref="B9:C9"/>
    <mergeCell ref="D9:E9"/>
    <mergeCell ref="F9:G9"/>
    <mergeCell ref="B10:C10"/>
    <mergeCell ref="D10:E10"/>
    <mergeCell ref="F10:G10"/>
    <mergeCell ref="B7:C7"/>
    <mergeCell ref="D7:E7"/>
    <mergeCell ref="F7:G7"/>
    <mergeCell ref="B8:C8"/>
    <mergeCell ref="D8:E8"/>
    <mergeCell ref="F8:G8"/>
    <mergeCell ref="B5:C5"/>
    <mergeCell ref="D5:E5"/>
    <mergeCell ref="F5:G5"/>
    <mergeCell ref="B6:C6"/>
    <mergeCell ref="D6:E6"/>
    <mergeCell ref="F6:G6"/>
    <mergeCell ref="B2:C2"/>
    <mergeCell ref="D2:E2"/>
    <mergeCell ref="F2:G2"/>
    <mergeCell ref="B4:C4"/>
    <mergeCell ref="D4:E4"/>
    <mergeCell ref="F4:G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
  <sheetViews>
    <sheetView showGridLines="0" zoomScaleNormal="100" workbookViewId="0"/>
  </sheetViews>
  <sheetFormatPr defaultRowHeight="12.7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showGridLines="0" workbookViewId="0"/>
  </sheetViews>
  <sheetFormatPr defaultRowHeight="12.7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
  <sheetViews>
    <sheetView showGridLines="0" zoomScaleNormal="100" workbookViewId="0"/>
  </sheetViews>
  <sheetFormatPr defaultRowHeight="12.75" x14ac:dyDescent="0.2"/>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indexed="10"/>
    <outlinePr summaryBelow="0"/>
    <pageSetUpPr fitToPage="1"/>
  </sheetPr>
  <dimension ref="A1:HG397"/>
  <sheetViews>
    <sheetView showGridLines="0" tabSelected="1" zoomScale="85" zoomScaleNormal="85" workbookViewId="0">
      <pane ySplit="2" topLeftCell="A3" activePane="bottomLeft" state="frozen"/>
      <selection activeCell="A7" sqref="A7"/>
      <selection pane="bottomLeft" activeCell="B285" sqref="B285"/>
    </sheetView>
  </sheetViews>
  <sheetFormatPr defaultColWidth="0" defaultRowHeight="12.75" outlineLevelRow="2" x14ac:dyDescent="0.2"/>
  <cols>
    <col min="1" max="1" width="12.28515625" style="207" customWidth="1"/>
    <col min="2" max="2" width="21.85546875" style="117" customWidth="1"/>
    <col min="3" max="3" width="25.42578125" style="262" bestFit="1" customWidth="1"/>
    <col min="4" max="4" width="24.140625" style="203" customWidth="1"/>
    <col min="5" max="5" width="27.28515625" style="83" bestFit="1" customWidth="1"/>
    <col min="6" max="6" width="25.42578125" style="79" customWidth="1"/>
    <col min="7" max="7" width="20.7109375" style="79" customWidth="1"/>
    <col min="8" max="8" width="20.7109375" style="83" customWidth="1"/>
    <col min="9" max="9" width="3.28515625" style="84" customWidth="1"/>
    <col min="10" max="10" width="22" style="83" customWidth="1"/>
    <col min="11" max="11" width="21.7109375" style="83" customWidth="1"/>
    <col min="12" max="12" width="3.28515625" style="84" customWidth="1"/>
    <col min="13" max="13" width="3.7109375" style="84" customWidth="1"/>
    <col min="14" max="15" width="20.28515625" style="79" customWidth="1"/>
    <col min="16" max="16" width="3.28515625" style="84" customWidth="1"/>
    <col min="17" max="17" width="4.7109375" style="85" customWidth="1"/>
    <col min="18" max="20" width="25.28515625" style="79" customWidth="1"/>
    <col min="21" max="21" width="31.42578125" style="79" customWidth="1"/>
    <col min="22" max="22" width="11.28515625" style="79" customWidth="1"/>
    <col min="23" max="23" width="12.28515625" style="79" customWidth="1"/>
    <col min="24" max="27" width="3.28515625" style="84" customWidth="1"/>
    <col min="28" max="28" width="19.140625" style="79" bestFit="1" customWidth="1"/>
    <col min="29" max="29" width="19.140625" style="121" customWidth="1"/>
    <col min="30" max="30" width="9.140625" style="122" hidden="1" customWidth="1"/>
    <col min="31" max="31" width="9.140625" style="79" customWidth="1"/>
    <col min="32" max="215" width="0" style="79" hidden="1" customWidth="1"/>
    <col min="216" max="16384" width="9.140625" style="79" hidden="1"/>
  </cols>
  <sheetData>
    <row r="1" spans="1:30" s="71" customFormat="1" ht="16.5" thickBot="1" x14ac:dyDescent="0.3">
      <c r="A1" s="384" t="s">
        <v>155</v>
      </c>
      <c r="B1" s="357" t="s">
        <v>81</v>
      </c>
      <c r="C1" s="349" t="s">
        <v>944</v>
      </c>
      <c r="D1" s="328" t="s">
        <v>82</v>
      </c>
      <c r="E1" s="369" t="s">
        <v>47</v>
      </c>
      <c r="F1" s="370" t="s">
        <v>48</v>
      </c>
      <c r="G1" s="371"/>
      <c r="H1" s="372"/>
      <c r="I1" s="332" t="s">
        <v>49</v>
      </c>
      <c r="J1" s="328" t="s">
        <v>75</v>
      </c>
      <c r="K1" s="330" t="s">
        <v>76</v>
      </c>
      <c r="L1" s="332" t="s">
        <v>50</v>
      </c>
      <c r="M1" s="334" t="s">
        <v>77</v>
      </c>
      <c r="N1" s="336" t="s">
        <v>51</v>
      </c>
      <c r="O1" s="337"/>
      <c r="P1" s="338"/>
      <c r="Q1" s="339" t="s">
        <v>78</v>
      </c>
      <c r="R1" s="328" t="s">
        <v>1468</v>
      </c>
      <c r="S1" s="328" t="s">
        <v>945</v>
      </c>
      <c r="T1" s="328" t="s">
        <v>79</v>
      </c>
      <c r="U1" s="341" t="s">
        <v>885</v>
      </c>
      <c r="V1" s="343" t="s">
        <v>80</v>
      </c>
      <c r="W1" s="345" t="s">
        <v>52</v>
      </c>
      <c r="X1" s="346"/>
      <c r="Y1" s="346"/>
      <c r="Z1" s="346"/>
      <c r="AA1" s="347"/>
      <c r="AB1" s="326" t="s">
        <v>104</v>
      </c>
      <c r="AC1" s="120"/>
      <c r="AD1" s="149"/>
    </row>
    <row r="2" spans="1:30" s="71" customFormat="1" ht="89.25" customHeight="1" thickTop="1" thickBot="1" x14ac:dyDescent="0.3">
      <c r="A2" s="385"/>
      <c r="B2" s="358"/>
      <c r="C2" s="350"/>
      <c r="D2" s="329"/>
      <c r="E2" s="331"/>
      <c r="F2" s="72" t="s">
        <v>53</v>
      </c>
      <c r="G2" s="73" t="s">
        <v>287</v>
      </c>
      <c r="H2" s="74" t="s">
        <v>54</v>
      </c>
      <c r="I2" s="333"/>
      <c r="J2" s="329"/>
      <c r="K2" s="331"/>
      <c r="L2" s="333"/>
      <c r="M2" s="335"/>
      <c r="N2" s="75" t="s">
        <v>55</v>
      </c>
      <c r="O2" s="76" t="s">
        <v>56</v>
      </c>
      <c r="P2" s="77" t="s">
        <v>57</v>
      </c>
      <c r="Q2" s="340"/>
      <c r="R2" s="329"/>
      <c r="S2" s="329"/>
      <c r="T2" s="329"/>
      <c r="U2" s="342"/>
      <c r="V2" s="344"/>
      <c r="W2" s="75" t="s">
        <v>83</v>
      </c>
      <c r="X2" s="77" t="s">
        <v>49</v>
      </c>
      <c r="Y2" s="77" t="s">
        <v>50</v>
      </c>
      <c r="Z2" s="77" t="s">
        <v>57</v>
      </c>
      <c r="AA2" s="78" t="s">
        <v>58</v>
      </c>
      <c r="AB2" s="327"/>
      <c r="AC2" s="120"/>
      <c r="AD2" s="149"/>
    </row>
    <row r="3" spans="1:30" ht="21" thickBot="1" x14ac:dyDescent="0.25">
      <c r="A3" s="118"/>
      <c r="B3" s="114" t="s">
        <v>1521</v>
      </c>
      <c r="C3" s="251"/>
      <c r="D3" s="206"/>
      <c r="E3" s="124"/>
      <c r="F3" s="115"/>
      <c r="G3" s="115"/>
      <c r="H3" s="115"/>
      <c r="I3" s="115"/>
      <c r="J3" s="115"/>
      <c r="K3" s="115"/>
      <c r="L3" s="115"/>
      <c r="M3" s="115"/>
      <c r="N3" s="115"/>
      <c r="O3" s="115"/>
      <c r="P3" s="115"/>
      <c r="Q3" s="115"/>
      <c r="R3" s="115"/>
      <c r="S3" s="115"/>
      <c r="T3" s="115"/>
      <c r="U3" s="115"/>
      <c r="V3" s="115"/>
      <c r="W3" s="115"/>
      <c r="X3" s="115"/>
      <c r="Y3" s="115"/>
      <c r="Z3" s="115"/>
      <c r="AA3" s="115"/>
      <c r="AB3" s="116"/>
      <c r="AC3" s="79"/>
      <c r="AD3" s="122">
        <f>VALUE(RIGHT((IF(A3="",0,A3)),5))</f>
        <v>0</v>
      </c>
    </row>
    <row r="4" spans="1:30" ht="21" outlineLevel="1" thickBot="1" x14ac:dyDescent="0.25">
      <c r="A4" s="118"/>
      <c r="B4" s="81" t="s">
        <v>1522</v>
      </c>
      <c r="C4" s="252"/>
      <c r="D4" s="81"/>
      <c r="E4" s="81"/>
      <c r="F4" s="81"/>
      <c r="G4" s="81"/>
      <c r="H4" s="81"/>
      <c r="I4" s="81"/>
      <c r="J4" s="81"/>
      <c r="K4" s="81"/>
      <c r="L4" s="81"/>
      <c r="M4" s="81"/>
      <c r="N4" s="81"/>
      <c r="O4" s="81"/>
      <c r="P4" s="81"/>
      <c r="Q4" s="81"/>
      <c r="R4" s="81"/>
      <c r="S4" s="81"/>
      <c r="T4" s="81"/>
      <c r="U4" s="81"/>
      <c r="V4" s="81"/>
      <c r="W4" s="81"/>
      <c r="X4" s="81"/>
      <c r="Y4" s="81"/>
      <c r="Z4" s="81"/>
      <c r="AA4" s="81"/>
      <c r="AB4" s="82"/>
      <c r="AC4" s="79"/>
      <c r="AD4" s="122">
        <f t="shared" ref="AD4:AD67" si="0">VALUE(RIGHT((IF(A4="",0,A4)),5))</f>
        <v>0</v>
      </c>
    </row>
    <row r="5" spans="1:30" ht="255.75" outlineLevel="2" thickBot="1" x14ac:dyDescent="0.25">
      <c r="A5" s="118" t="s">
        <v>292</v>
      </c>
      <c r="B5" s="308" t="s">
        <v>501</v>
      </c>
      <c r="C5" s="312" t="s">
        <v>976</v>
      </c>
      <c r="D5" s="351" t="s">
        <v>502</v>
      </c>
      <c r="E5" s="136" t="s">
        <v>198</v>
      </c>
      <c r="F5" s="136" t="s">
        <v>1557</v>
      </c>
      <c r="G5" s="136" t="s">
        <v>930</v>
      </c>
      <c r="H5" s="125" t="s">
        <v>188</v>
      </c>
      <c r="I5" s="126">
        <v>4</v>
      </c>
      <c r="J5" s="140" t="s">
        <v>1558</v>
      </c>
      <c r="K5" s="127" t="s">
        <v>159</v>
      </c>
      <c r="L5" s="128">
        <v>2</v>
      </c>
      <c r="M5" s="129">
        <f t="shared" ref="M5:M12" si="1">I5*L5</f>
        <v>8</v>
      </c>
      <c r="N5" s="249" t="s">
        <v>1548</v>
      </c>
      <c r="O5" s="70" t="s">
        <v>199</v>
      </c>
      <c r="P5" s="128">
        <v>1</v>
      </c>
      <c r="Q5" s="130">
        <f>I5*L5*P5</f>
        <v>8</v>
      </c>
      <c r="R5" s="138" t="s">
        <v>1469</v>
      </c>
      <c r="S5" s="138" t="s">
        <v>1549</v>
      </c>
      <c r="T5" s="138" t="s">
        <v>929</v>
      </c>
      <c r="U5" s="139" t="s">
        <v>931</v>
      </c>
      <c r="V5" s="131"/>
      <c r="W5" s="138"/>
      <c r="X5" s="139"/>
      <c r="Y5" s="139"/>
      <c r="Z5" s="131"/>
      <c r="AA5" s="132"/>
      <c r="AB5" s="112"/>
      <c r="AC5" s="79"/>
      <c r="AD5" s="122">
        <f t="shared" si="0"/>
        <v>-1305</v>
      </c>
    </row>
    <row r="6" spans="1:30" ht="230.25" outlineLevel="2" thickBot="1" x14ac:dyDescent="0.25">
      <c r="A6" s="118" t="s">
        <v>293</v>
      </c>
      <c r="B6" s="309"/>
      <c r="C6" s="313"/>
      <c r="D6" s="352"/>
      <c r="E6" s="136" t="s">
        <v>200</v>
      </c>
      <c r="F6" s="136" t="s">
        <v>1559</v>
      </c>
      <c r="G6" s="243" t="s">
        <v>242</v>
      </c>
      <c r="H6" s="125" t="s">
        <v>178</v>
      </c>
      <c r="I6" s="126">
        <v>3</v>
      </c>
      <c r="J6" s="140" t="s">
        <v>1558</v>
      </c>
      <c r="K6" s="127" t="s">
        <v>159</v>
      </c>
      <c r="L6" s="128">
        <v>2</v>
      </c>
      <c r="M6" s="129">
        <f t="shared" si="1"/>
        <v>6</v>
      </c>
      <c r="N6" s="249" t="s">
        <v>1548</v>
      </c>
      <c r="O6" s="70" t="s">
        <v>101</v>
      </c>
      <c r="P6" s="128">
        <v>5</v>
      </c>
      <c r="Q6" s="130">
        <f t="shared" ref="Q6:Q68" si="2">I6*L6*P6</f>
        <v>30</v>
      </c>
      <c r="R6" s="70" t="s">
        <v>101</v>
      </c>
      <c r="S6" s="70" t="s">
        <v>101</v>
      </c>
      <c r="T6" s="138" t="s">
        <v>929</v>
      </c>
      <c r="U6" s="139" t="s">
        <v>946</v>
      </c>
      <c r="V6" s="131"/>
      <c r="W6" s="138"/>
      <c r="X6" s="139"/>
      <c r="Y6" s="139"/>
      <c r="Z6" s="131"/>
      <c r="AA6" s="132"/>
      <c r="AB6" s="112"/>
      <c r="AC6" s="79"/>
      <c r="AD6" s="122">
        <f t="shared" si="0"/>
        <v>-1306</v>
      </c>
    </row>
    <row r="7" spans="1:30" ht="255.75" outlineLevel="2" thickBot="1" x14ac:dyDescent="0.25">
      <c r="A7" s="118" t="s">
        <v>294</v>
      </c>
      <c r="B7" s="134" t="s">
        <v>503</v>
      </c>
      <c r="C7" s="310" t="s">
        <v>977</v>
      </c>
      <c r="D7" s="351" t="s">
        <v>504</v>
      </c>
      <c r="E7" s="136" t="s">
        <v>496</v>
      </c>
      <c r="F7" s="136" t="s">
        <v>1560</v>
      </c>
      <c r="G7" s="243" t="s">
        <v>930</v>
      </c>
      <c r="H7" s="125" t="s">
        <v>188</v>
      </c>
      <c r="I7" s="126">
        <v>4</v>
      </c>
      <c r="J7" s="140" t="s">
        <v>177</v>
      </c>
      <c r="K7" s="127" t="s">
        <v>176</v>
      </c>
      <c r="L7" s="128">
        <v>2</v>
      </c>
      <c r="M7" s="129">
        <f t="shared" si="1"/>
        <v>8</v>
      </c>
      <c r="N7" s="249" t="s">
        <v>1548</v>
      </c>
      <c r="O7" s="70" t="s">
        <v>199</v>
      </c>
      <c r="P7" s="128">
        <v>1</v>
      </c>
      <c r="Q7" s="130">
        <f>I7*L7*P7</f>
        <v>8</v>
      </c>
      <c r="R7" s="138" t="s">
        <v>1469</v>
      </c>
      <c r="S7" s="138" t="s">
        <v>1549</v>
      </c>
      <c r="T7" s="138" t="s">
        <v>929</v>
      </c>
      <c r="U7" s="139" t="s">
        <v>932</v>
      </c>
      <c r="V7" s="131"/>
      <c r="W7" s="138"/>
      <c r="X7" s="139"/>
      <c r="Y7" s="139"/>
      <c r="Z7" s="131"/>
      <c r="AA7" s="132"/>
      <c r="AB7" s="112"/>
      <c r="AC7" s="79"/>
      <c r="AD7" s="122">
        <f t="shared" si="0"/>
        <v>-1307</v>
      </c>
    </row>
    <row r="8" spans="1:30" ht="230.25" outlineLevel="2" thickBot="1" x14ac:dyDescent="0.25">
      <c r="A8" s="118" t="s">
        <v>788</v>
      </c>
      <c r="B8" s="157"/>
      <c r="C8" s="325"/>
      <c r="D8" s="354"/>
      <c r="E8" s="136" t="s">
        <v>741</v>
      </c>
      <c r="F8" s="136" t="s">
        <v>742</v>
      </c>
      <c r="G8" s="239" t="s">
        <v>242</v>
      </c>
      <c r="H8" s="125" t="s">
        <v>178</v>
      </c>
      <c r="I8" s="126">
        <v>3</v>
      </c>
      <c r="J8" s="140" t="s">
        <v>177</v>
      </c>
      <c r="K8" s="127" t="s">
        <v>176</v>
      </c>
      <c r="L8" s="128">
        <v>1</v>
      </c>
      <c r="M8" s="129">
        <f t="shared" si="1"/>
        <v>3</v>
      </c>
      <c r="N8" s="249" t="s">
        <v>1548</v>
      </c>
      <c r="O8" s="70" t="s">
        <v>101</v>
      </c>
      <c r="P8" s="128">
        <v>5</v>
      </c>
      <c r="Q8" s="130">
        <f>I8*L8*P8</f>
        <v>15</v>
      </c>
      <c r="R8" s="70" t="s">
        <v>101</v>
      </c>
      <c r="S8" s="70" t="s">
        <v>101</v>
      </c>
      <c r="T8" s="138" t="s">
        <v>929</v>
      </c>
      <c r="U8" s="139" t="s">
        <v>972</v>
      </c>
      <c r="V8" s="131"/>
      <c r="W8" s="138"/>
      <c r="X8" s="139"/>
      <c r="Y8" s="139"/>
      <c r="Z8" s="131"/>
      <c r="AA8" s="132"/>
      <c r="AB8" s="112"/>
      <c r="AC8" s="79"/>
      <c r="AD8" s="122">
        <f t="shared" si="0"/>
        <v>-5070</v>
      </c>
    </row>
    <row r="9" spans="1:30" ht="230.25" outlineLevel="2" thickBot="1" x14ac:dyDescent="0.25">
      <c r="A9" s="118" t="s">
        <v>295</v>
      </c>
      <c r="B9" s="135" t="s">
        <v>505</v>
      </c>
      <c r="C9" s="325"/>
      <c r="D9" s="352"/>
      <c r="E9" s="136" t="s">
        <v>506</v>
      </c>
      <c r="F9" s="136" t="s">
        <v>507</v>
      </c>
      <c r="G9" s="243" t="s">
        <v>242</v>
      </c>
      <c r="H9" s="125" t="s">
        <v>178</v>
      </c>
      <c r="I9" s="126">
        <v>3</v>
      </c>
      <c r="J9" s="140" t="s">
        <v>177</v>
      </c>
      <c r="K9" s="127" t="s">
        <v>176</v>
      </c>
      <c r="L9" s="128">
        <v>1</v>
      </c>
      <c r="M9" s="129">
        <f t="shared" si="1"/>
        <v>3</v>
      </c>
      <c r="N9" s="249" t="s">
        <v>1548</v>
      </c>
      <c r="O9" s="70" t="s">
        <v>101</v>
      </c>
      <c r="P9" s="128">
        <v>5</v>
      </c>
      <c r="Q9" s="130">
        <f>I9*L9*P9</f>
        <v>15</v>
      </c>
      <c r="R9" s="70" t="s">
        <v>101</v>
      </c>
      <c r="S9" s="70" t="s">
        <v>101</v>
      </c>
      <c r="T9" s="138" t="s">
        <v>929</v>
      </c>
      <c r="U9" s="139" t="s">
        <v>928</v>
      </c>
      <c r="V9" s="131"/>
      <c r="W9" s="138"/>
      <c r="X9" s="139"/>
      <c r="Y9" s="139"/>
      <c r="Z9" s="131"/>
      <c r="AA9" s="132"/>
      <c r="AB9" s="112"/>
      <c r="AC9" s="79"/>
      <c r="AD9" s="122">
        <f t="shared" si="0"/>
        <v>-1308</v>
      </c>
    </row>
    <row r="10" spans="1:30" ht="230.25" outlineLevel="2" thickBot="1" x14ac:dyDescent="0.25">
      <c r="A10" s="118" t="s">
        <v>789</v>
      </c>
      <c r="B10" s="158"/>
      <c r="C10" s="313"/>
      <c r="D10" s="136"/>
      <c r="E10" s="136" t="s">
        <v>743</v>
      </c>
      <c r="F10" s="136" t="s">
        <v>744</v>
      </c>
      <c r="G10" s="243" t="s">
        <v>242</v>
      </c>
      <c r="H10" s="125" t="s">
        <v>178</v>
      </c>
      <c r="I10" s="126">
        <v>3</v>
      </c>
      <c r="J10" s="140" t="s">
        <v>177</v>
      </c>
      <c r="K10" s="127" t="s">
        <v>176</v>
      </c>
      <c r="L10" s="128">
        <v>1</v>
      </c>
      <c r="M10" s="129">
        <f t="shared" si="1"/>
        <v>3</v>
      </c>
      <c r="N10" s="249" t="s">
        <v>1548</v>
      </c>
      <c r="O10" s="70" t="s">
        <v>101</v>
      </c>
      <c r="P10" s="128">
        <v>5</v>
      </c>
      <c r="Q10" s="130">
        <f>I10*L10*P10</f>
        <v>15</v>
      </c>
      <c r="R10" s="70" t="s">
        <v>101</v>
      </c>
      <c r="S10" s="70" t="s">
        <v>101</v>
      </c>
      <c r="T10" s="138" t="s">
        <v>929</v>
      </c>
      <c r="U10" s="139" t="s">
        <v>927</v>
      </c>
      <c r="V10" s="131"/>
      <c r="W10" s="138"/>
      <c r="X10" s="139"/>
      <c r="Y10" s="139"/>
      <c r="Z10" s="131"/>
      <c r="AA10" s="132"/>
      <c r="AB10" s="112"/>
      <c r="AC10" s="79"/>
      <c r="AD10" s="122">
        <f t="shared" si="0"/>
        <v>-5071</v>
      </c>
    </row>
    <row r="11" spans="1:30" ht="230.25" outlineLevel="2" thickBot="1" x14ac:dyDescent="0.25">
      <c r="A11" s="118" t="s">
        <v>296</v>
      </c>
      <c r="B11" s="136" t="s">
        <v>508</v>
      </c>
      <c r="C11" s="310" t="s">
        <v>978</v>
      </c>
      <c r="D11" s="136" t="s">
        <v>201</v>
      </c>
      <c r="E11" s="136" t="s">
        <v>166</v>
      </c>
      <c r="F11" s="136" t="s">
        <v>509</v>
      </c>
      <c r="G11" s="243" t="s">
        <v>242</v>
      </c>
      <c r="H11" s="125" t="s">
        <v>178</v>
      </c>
      <c r="I11" s="126">
        <v>1</v>
      </c>
      <c r="J11" s="140" t="s">
        <v>177</v>
      </c>
      <c r="K11" s="127" t="s">
        <v>160</v>
      </c>
      <c r="L11" s="128">
        <v>1</v>
      </c>
      <c r="M11" s="129">
        <f t="shared" si="1"/>
        <v>1</v>
      </c>
      <c r="N11" s="249" t="s">
        <v>1548</v>
      </c>
      <c r="O11" s="70" t="s">
        <v>101</v>
      </c>
      <c r="P11" s="128">
        <v>5</v>
      </c>
      <c r="Q11" s="130">
        <f t="shared" si="2"/>
        <v>5</v>
      </c>
      <c r="R11" s="70" t="s">
        <v>101</v>
      </c>
      <c r="S11" s="70" t="s">
        <v>101</v>
      </c>
      <c r="T11" s="138"/>
      <c r="U11" s="139" t="s">
        <v>928</v>
      </c>
      <c r="V11" s="131"/>
      <c r="W11" s="138"/>
      <c r="X11" s="139"/>
      <c r="Y11" s="139"/>
      <c r="Z11" s="131"/>
      <c r="AA11" s="132"/>
      <c r="AB11" s="112"/>
      <c r="AC11" s="79"/>
      <c r="AD11" s="122">
        <f t="shared" si="0"/>
        <v>-1309</v>
      </c>
    </row>
    <row r="12" spans="1:30" s="121" customFormat="1" ht="230.25" outlineLevel="2" thickBot="1" x14ac:dyDescent="0.25">
      <c r="A12" s="118" t="s">
        <v>790</v>
      </c>
      <c r="B12" s="136"/>
      <c r="C12" s="313"/>
      <c r="D12" s="136"/>
      <c r="E12" s="136" t="s">
        <v>193</v>
      </c>
      <c r="F12" s="136" t="s">
        <v>511</v>
      </c>
      <c r="G12" s="243" t="s">
        <v>242</v>
      </c>
      <c r="H12" s="125" t="s">
        <v>178</v>
      </c>
      <c r="I12" s="126">
        <v>1</v>
      </c>
      <c r="J12" s="140" t="s">
        <v>177</v>
      </c>
      <c r="K12" s="127" t="s">
        <v>160</v>
      </c>
      <c r="L12" s="128">
        <v>1</v>
      </c>
      <c r="M12" s="174">
        <f t="shared" si="1"/>
        <v>1</v>
      </c>
      <c r="N12" s="249" t="s">
        <v>1548</v>
      </c>
      <c r="O12" s="175" t="s">
        <v>101</v>
      </c>
      <c r="P12" s="128">
        <v>5</v>
      </c>
      <c r="Q12" s="176">
        <f t="shared" ref="Q12" si="3">I12*L12*P12</f>
        <v>5</v>
      </c>
      <c r="R12" s="70" t="s">
        <v>101</v>
      </c>
      <c r="S12" s="70" t="s">
        <v>101</v>
      </c>
      <c r="T12" s="135"/>
      <c r="U12" s="196" t="s">
        <v>947</v>
      </c>
      <c r="V12" s="178"/>
      <c r="W12" s="135"/>
      <c r="X12" s="136"/>
      <c r="Y12" s="136"/>
      <c r="Z12" s="178"/>
      <c r="AA12" s="132"/>
      <c r="AB12" s="180"/>
      <c r="AD12" s="122">
        <f t="shared" si="0"/>
        <v>-5072</v>
      </c>
    </row>
    <row r="13" spans="1:30" ht="230.25" outlineLevel="2" thickBot="1" x14ac:dyDescent="0.25">
      <c r="A13" s="118" t="s">
        <v>297</v>
      </c>
      <c r="B13" s="136" t="s">
        <v>510</v>
      </c>
      <c r="C13" s="310" t="s">
        <v>979</v>
      </c>
      <c r="D13" s="136" t="s">
        <v>161</v>
      </c>
      <c r="E13" s="136" t="s">
        <v>163</v>
      </c>
      <c r="F13" s="136" t="s">
        <v>511</v>
      </c>
      <c r="G13" s="243" t="s">
        <v>242</v>
      </c>
      <c r="H13" s="125" t="s">
        <v>178</v>
      </c>
      <c r="I13" s="126">
        <v>1</v>
      </c>
      <c r="J13" s="140" t="s">
        <v>177</v>
      </c>
      <c r="K13" s="127" t="s">
        <v>160</v>
      </c>
      <c r="L13" s="128">
        <v>1</v>
      </c>
      <c r="M13" s="129">
        <f t="shared" ref="M13:M68" si="4">I13*L13</f>
        <v>1</v>
      </c>
      <c r="N13" s="249" t="s">
        <v>1548</v>
      </c>
      <c r="O13" s="70" t="s">
        <v>101</v>
      </c>
      <c r="P13" s="128">
        <v>5</v>
      </c>
      <c r="Q13" s="130">
        <f t="shared" si="2"/>
        <v>5</v>
      </c>
      <c r="R13" s="70" t="s">
        <v>101</v>
      </c>
      <c r="S13" s="70" t="s">
        <v>101</v>
      </c>
      <c r="T13" s="138"/>
      <c r="U13" s="139"/>
      <c r="V13" s="131"/>
      <c r="W13" s="138"/>
      <c r="X13" s="139"/>
      <c r="Y13" s="139"/>
      <c r="Z13" s="131"/>
      <c r="AA13" s="132"/>
      <c r="AB13" s="112"/>
      <c r="AC13" s="79"/>
      <c r="AD13" s="122">
        <f t="shared" si="0"/>
        <v>-1310</v>
      </c>
    </row>
    <row r="14" spans="1:30" ht="255.75" outlineLevel="2" thickBot="1" x14ac:dyDescent="0.25">
      <c r="A14" s="118" t="s">
        <v>791</v>
      </c>
      <c r="B14" s="136"/>
      <c r="C14" s="313"/>
      <c r="D14" s="136"/>
      <c r="E14" s="136" t="s">
        <v>164</v>
      </c>
      <c r="F14" s="136" t="s">
        <v>1561</v>
      </c>
      <c r="G14" s="243" t="s">
        <v>930</v>
      </c>
      <c r="H14" s="125" t="s">
        <v>188</v>
      </c>
      <c r="I14" s="126">
        <v>4</v>
      </c>
      <c r="J14" s="140" t="s">
        <v>177</v>
      </c>
      <c r="K14" s="127" t="s">
        <v>176</v>
      </c>
      <c r="L14" s="128">
        <v>1</v>
      </c>
      <c r="M14" s="129">
        <f>I14*L14</f>
        <v>4</v>
      </c>
      <c r="N14" s="249" t="s">
        <v>1548</v>
      </c>
      <c r="O14" s="70" t="s">
        <v>199</v>
      </c>
      <c r="P14" s="128">
        <v>1</v>
      </c>
      <c r="Q14" s="130">
        <f>I14*L14*P14</f>
        <v>4</v>
      </c>
      <c r="R14" s="138" t="s">
        <v>1469</v>
      </c>
      <c r="S14" s="138" t="s">
        <v>1549</v>
      </c>
      <c r="T14" s="138" t="s">
        <v>929</v>
      </c>
      <c r="U14" s="139" t="s">
        <v>927</v>
      </c>
      <c r="V14" s="131"/>
      <c r="W14" s="138"/>
      <c r="X14" s="139"/>
      <c r="Y14" s="139"/>
      <c r="Z14" s="131"/>
      <c r="AA14" s="132"/>
      <c r="AB14" s="112"/>
      <c r="AC14" s="79"/>
      <c r="AD14" s="122">
        <f t="shared" si="0"/>
        <v>-5073</v>
      </c>
    </row>
    <row r="15" spans="1:30" ht="230.25" outlineLevel="2" thickBot="1" x14ac:dyDescent="0.25">
      <c r="A15" s="118" t="s">
        <v>298</v>
      </c>
      <c r="B15" s="136" t="s">
        <v>512</v>
      </c>
      <c r="C15" s="310" t="s">
        <v>980</v>
      </c>
      <c r="D15" s="136" t="s">
        <v>513</v>
      </c>
      <c r="E15" s="136" t="s">
        <v>165</v>
      </c>
      <c r="F15" s="136" t="s">
        <v>204</v>
      </c>
      <c r="G15" s="243" t="s">
        <v>242</v>
      </c>
      <c r="H15" s="125" t="s">
        <v>178</v>
      </c>
      <c r="I15" s="126">
        <v>2</v>
      </c>
      <c r="J15" s="140" t="s">
        <v>205</v>
      </c>
      <c r="K15" s="127" t="s">
        <v>160</v>
      </c>
      <c r="L15" s="128">
        <v>2</v>
      </c>
      <c r="M15" s="129">
        <f t="shared" si="4"/>
        <v>4</v>
      </c>
      <c r="N15" s="249" t="s">
        <v>1548</v>
      </c>
      <c r="O15" s="70" t="s">
        <v>101</v>
      </c>
      <c r="P15" s="128">
        <v>5</v>
      </c>
      <c r="Q15" s="130">
        <f t="shared" si="2"/>
        <v>20</v>
      </c>
      <c r="R15" s="70" t="s">
        <v>101</v>
      </c>
      <c r="S15" s="70" t="s">
        <v>101</v>
      </c>
      <c r="T15" s="138"/>
      <c r="U15" s="139"/>
      <c r="V15" s="131"/>
      <c r="W15" s="138"/>
      <c r="X15" s="139"/>
      <c r="Y15" s="139"/>
      <c r="Z15" s="131"/>
      <c r="AA15" s="132"/>
      <c r="AB15" s="112"/>
      <c r="AC15" s="79"/>
      <c r="AD15" s="122">
        <f t="shared" si="0"/>
        <v>-1311</v>
      </c>
    </row>
    <row r="16" spans="1:30" ht="230.25" outlineLevel="2" thickBot="1" x14ac:dyDescent="0.25">
      <c r="A16" s="118" t="s">
        <v>792</v>
      </c>
      <c r="B16" s="136"/>
      <c r="C16" s="313"/>
      <c r="D16" s="136"/>
      <c r="E16" s="136" t="s">
        <v>494</v>
      </c>
      <c r="F16" s="136" t="s">
        <v>1562</v>
      </c>
      <c r="G16" s="243" t="s">
        <v>242</v>
      </c>
      <c r="H16" s="125" t="s">
        <v>178</v>
      </c>
      <c r="I16" s="126">
        <v>3</v>
      </c>
      <c r="J16" s="140" t="s">
        <v>177</v>
      </c>
      <c r="K16" s="127" t="s">
        <v>176</v>
      </c>
      <c r="L16" s="128">
        <v>1</v>
      </c>
      <c r="M16" s="129">
        <f>I16*L16</f>
        <v>3</v>
      </c>
      <c r="N16" s="249" t="s">
        <v>1548</v>
      </c>
      <c r="O16" s="70" t="s">
        <v>101</v>
      </c>
      <c r="P16" s="128">
        <v>5</v>
      </c>
      <c r="Q16" s="130">
        <f>I16*L16*P16</f>
        <v>15</v>
      </c>
      <c r="R16" s="70" t="s">
        <v>101</v>
      </c>
      <c r="S16" s="70" t="s">
        <v>101</v>
      </c>
      <c r="T16" s="138" t="s">
        <v>929</v>
      </c>
      <c r="U16" s="139" t="s">
        <v>927</v>
      </c>
      <c r="V16" s="131"/>
      <c r="W16" s="138"/>
      <c r="X16" s="139"/>
      <c r="Y16" s="139"/>
      <c r="Z16" s="131"/>
      <c r="AA16" s="132"/>
      <c r="AB16" s="112"/>
      <c r="AC16" s="79"/>
      <c r="AD16" s="122">
        <f t="shared" si="0"/>
        <v>-5074</v>
      </c>
    </row>
    <row r="17" spans="1:30" ht="230.25" outlineLevel="2" thickBot="1" x14ac:dyDescent="0.25">
      <c r="A17" s="118" t="s">
        <v>299</v>
      </c>
      <c r="B17" s="348" t="s">
        <v>514</v>
      </c>
      <c r="C17" s="310" t="s">
        <v>1000</v>
      </c>
      <c r="D17" s="351" t="s">
        <v>515</v>
      </c>
      <c r="E17" s="136" t="s">
        <v>516</v>
      </c>
      <c r="F17" s="136" t="s">
        <v>1447</v>
      </c>
      <c r="G17" s="243" t="s">
        <v>242</v>
      </c>
      <c r="H17" s="125" t="s">
        <v>178</v>
      </c>
      <c r="I17" s="126">
        <v>1</v>
      </c>
      <c r="J17" s="140" t="s">
        <v>207</v>
      </c>
      <c r="K17" s="127" t="s">
        <v>160</v>
      </c>
      <c r="L17" s="128">
        <v>1</v>
      </c>
      <c r="M17" s="129">
        <f t="shared" si="4"/>
        <v>1</v>
      </c>
      <c r="N17" s="249" t="s">
        <v>1548</v>
      </c>
      <c r="O17" s="70" t="s">
        <v>101</v>
      </c>
      <c r="P17" s="128">
        <v>5</v>
      </c>
      <c r="Q17" s="130">
        <f t="shared" si="2"/>
        <v>5</v>
      </c>
      <c r="R17" s="70" t="s">
        <v>101</v>
      </c>
      <c r="S17" s="70" t="s">
        <v>101</v>
      </c>
      <c r="T17" s="138"/>
      <c r="U17" s="139"/>
      <c r="V17" s="131"/>
      <c r="W17" s="138"/>
      <c r="X17" s="139"/>
      <c r="Y17" s="139"/>
      <c r="Z17" s="131"/>
      <c r="AA17" s="132"/>
      <c r="AB17" s="112"/>
      <c r="AC17" s="79"/>
      <c r="AD17" s="122">
        <f t="shared" si="0"/>
        <v>-1312</v>
      </c>
    </row>
    <row r="18" spans="1:30" ht="230.25" outlineLevel="2" thickBot="1" x14ac:dyDescent="0.25">
      <c r="A18" s="118" t="s">
        <v>793</v>
      </c>
      <c r="B18" s="359"/>
      <c r="C18" s="325"/>
      <c r="D18" s="354"/>
      <c r="E18" s="136" t="s">
        <v>732</v>
      </c>
      <c r="F18" s="136" t="s">
        <v>1448</v>
      </c>
      <c r="G18" s="243" t="s">
        <v>242</v>
      </c>
      <c r="H18" s="125" t="s">
        <v>178</v>
      </c>
      <c r="I18" s="126">
        <v>1</v>
      </c>
      <c r="J18" s="140" t="s">
        <v>207</v>
      </c>
      <c r="K18" s="127" t="s">
        <v>160</v>
      </c>
      <c r="L18" s="128">
        <v>1</v>
      </c>
      <c r="M18" s="129">
        <f t="shared" si="4"/>
        <v>1</v>
      </c>
      <c r="N18" s="249" t="s">
        <v>1548</v>
      </c>
      <c r="O18" s="70" t="s">
        <v>101</v>
      </c>
      <c r="P18" s="128">
        <v>5</v>
      </c>
      <c r="Q18" s="130">
        <f t="shared" si="2"/>
        <v>5</v>
      </c>
      <c r="R18" s="70" t="s">
        <v>101</v>
      </c>
      <c r="S18" s="70" t="s">
        <v>101</v>
      </c>
      <c r="T18" s="138"/>
      <c r="U18" s="139"/>
      <c r="V18" s="131"/>
      <c r="W18" s="138"/>
      <c r="X18" s="139"/>
      <c r="Y18" s="139"/>
      <c r="Z18" s="131"/>
      <c r="AA18" s="132"/>
      <c r="AB18" s="112"/>
      <c r="AC18" s="79"/>
      <c r="AD18" s="122">
        <f t="shared" si="0"/>
        <v>-5075</v>
      </c>
    </row>
    <row r="19" spans="1:30" ht="230.25" outlineLevel="2" thickBot="1" x14ac:dyDescent="0.25">
      <c r="A19" s="118" t="s">
        <v>794</v>
      </c>
      <c r="B19" s="309"/>
      <c r="C19" s="313"/>
      <c r="D19" s="352"/>
      <c r="E19" s="136" t="s">
        <v>733</v>
      </c>
      <c r="F19" s="136" t="s">
        <v>206</v>
      </c>
      <c r="G19" s="243" t="s">
        <v>242</v>
      </c>
      <c r="H19" s="125" t="s">
        <v>178</v>
      </c>
      <c r="I19" s="126">
        <v>1</v>
      </c>
      <c r="J19" s="140" t="s">
        <v>207</v>
      </c>
      <c r="K19" s="127" t="s">
        <v>160</v>
      </c>
      <c r="L19" s="128">
        <v>1</v>
      </c>
      <c r="M19" s="129">
        <f t="shared" ref="M19" si="5">I19*L19</f>
        <v>1</v>
      </c>
      <c r="N19" s="249" t="s">
        <v>1548</v>
      </c>
      <c r="O19" s="70" t="s">
        <v>101</v>
      </c>
      <c r="P19" s="128">
        <v>5</v>
      </c>
      <c r="Q19" s="130">
        <f t="shared" ref="Q19" si="6">I19*L19*P19</f>
        <v>5</v>
      </c>
      <c r="R19" s="70" t="s">
        <v>101</v>
      </c>
      <c r="S19" s="70" t="s">
        <v>101</v>
      </c>
      <c r="T19" s="138"/>
      <c r="U19" s="139"/>
      <c r="V19" s="131"/>
      <c r="W19" s="138"/>
      <c r="X19" s="139"/>
      <c r="Y19" s="139"/>
      <c r="Z19" s="131"/>
      <c r="AA19" s="132"/>
      <c r="AB19" s="112"/>
      <c r="AC19" s="79"/>
      <c r="AD19" s="122">
        <f t="shared" si="0"/>
        <v>-5076</v>
      </c>
    </row>
    <row r="20" spans="1:30" ht="230.25" outlineLevel="2" thickBot="1" x14ac:dyDescent="0.25">
      <c r="A20" s="118" t="s">
        <v>300</v>
      </c>
      <c r="B20" s="136" t="s">
        <v>517</v>
      </c>
      <c r="C20" s="310" t="s">
        <v>999</v>
      </c>
      <c r="D20" s="136" t="s">
        <v>518</v>
      </c>
      <c r="E20" s="136" t="s">
        <v>157</v>
      </c>
      <c r="F20" s="136" t="s">
        <v>202</v>
      </c>
      <c r="G20" s="243" t="s">
        <v>242</v>
      </c>
      <c r="H20" s="125" t="s">
        <v>178</v>
      </c>
      <c r="I20" s="126">
        <v>1</v>
      </c>
      <c r="J20" s="140" t="s">
        <v>208</v>
      </c>
      <c r="K20" s="127" t="s">
        <v>160</v>
      </c>
      <c r="L20" s="128">
        <v>1</v>
      </c>
      <c r="M20" s="129">
        <f t="shared" si="4"/>
        <v>1</v>
      </c>
      <c r="N20" s="249" t="s">
        <v>1548</v>
      </c>
      <c r="O20" s="70" t="s">
        <v>101</v>
      </c>
      <c r="P20" s="128">
        <v>5</v>
      </c>
      <c r="Q20" s="130">
        <f t="shared" si="2"/>
        <v>5</v>
      </c>
      <c r="R20" s="70" t="s">
        <v>101</v>
      </c>
      <c r="S20" s="70" t="s">
        <v>101</v>
      </c>
      <c r="T20" s="138"/>
      <c r="U20" s="139"/>
      <c r="V20" s="131"/>
      <c r="W20" s="138"/>
      <c r="X20" s="139"/>
      <c r="Y20" s="139"/>
      <c r="Z20" s="131"/>
      <c r="AA20" s="132"/>
      <c r="AB20" s="112"/>
      <c r="AC20" s="79"/>
      <c r="AD20" s="122">
        <f t="shared" si="0"/>
        <v>-1313</v>
      </c>
    </row>
    <row r="21" spans="1:30" ht="230.25" outlineLevel="2" thickBot="1" x14ac:dyDescent="0.25">
      <c r="A21" s="118" t="s">
        <v>795</v>
      </c>
      <c r="B21" s="136"/>
      <c r="C21" s="313"/>
      <c r="D21" s="136"/>
      <c r="E21" s="136" t="s">
        <v>158</v>
      </c>
      <c r="F21" s="136" t="s">
        <v>1457</v>
      </c>
      <c r="G21" s="243" t="s">
        <v>242</v>
      </c>
      <c r="H21" s="125" t="s">
        <v>178</v>
      </c>
      <c r="I21" s="126">
        <v>1</v>
      </c>
      <c r="J21" s="140" t="s">
        <v>208</v>
      </c>
      <c r="K21" s="127" t="s">
        <v>160</v>
      </c>
      <c r="L21" s="128">
        <v>1</v>
      </c>
      <c r="M21" s="129">
        <f t="shared" ref="M21" si="7">I21*L21</f>
        <v>1</v>
      </c>
      <c r="N21" s="249" t="s">
        <v>1548</v>
      </c>
      <c r="O21" s="70" t="s">
        <v>101</v>
      </c>
      <c r="P21" s="128">
        <v>5</v>
      </c>
      <c r="Q21" s="130">
        <f t="shared" ref="Q21" si="8">I21*L21*P21</f>
        <v>5</v>
      </c>
      <c r="R21" s="70" t="s">
        <v>101</v>
      </c>
      <c r="S21" s="70" t="s">
        <v>101</v>
      </c>
      <c r="T21" s="138"/>
      <c r="U21" s="139"/>
      <c r="V21" s="131"/>
      <c r="W21" s="138"/>
      <c r="X21" s="139"/>
      <c r="Y21" s="139"/>
      <c r="Z21" s="131"/>
      <c r="AA21" s="132"/>
      <c r="AB21" s="112"/>
      <c r="AC21" s="79"/>
      <c r="AD21" s="122">
        <f t="shared" si="0"/>
        <v>-5077</v>
      </c>
    </row>
    <row r="22" spans="1:30" ht="230.25" outlineLevel="2" thickBot="1" x14ac:dyDescent="0.25">
      <c r="A22" s="118" t="s">
        <v>301</v>
      </c>
      <c r="B22" s="348" t="s">
        <v>519</v>
      </c>
      <c r="C22" s="310" t="s">
        <v>997</v>
      </c>
      <c r="D22" s="351" t="s">
        <v>746</v>
      </c>
      <c r="E22" s="136" t="s">
        <v>163</v>
      </c>
      <c r="F22" s="136" t="s">
        <v>202</v>
      </c>
      <c r="G22" s="243" t="s">
        <v>242</v>
      </c>
      <c r="H22" s="125" t="s">
        <v>178</v>
      </c>
      <c r="I22" s="126">
        <v>1</v>
      </c>
      <c r="J22" s="140" t="s">
        <v>210</v>
      </c>
      <c r="K22" s="127" t="s">
        <v>160</v>
      </c>
      <c r="L22" s="128">
        <v>1</v>
      </c>
      <c r="M22" s="129">
        <f t="shared" si="4"/>
        <v>1</v>
      </c>
      <c r="N22" s="249" t="s">
        <v>1548</v>
      </c>
      <c r="O22" s="70" t="s">
        <v>101</v>
      </c>
      <c r="P22" s="128">
        <v>5</v>
      </c>
      <c r="Q22" s="130">
        <f t="shared" si="2"/>
        <v>5</v>
      </c>
      <c r="R22" s="70" t="s">
        <v>101</v>
      </c>
      <c r="S22" s="70" t="s">
        <v>101</v>
      </c>
      <c r="T22" s="138"/>
      <c r="U22" s="139"/>
      <c r="V22" s="131"/>
      <c r="W22" s="138"/>
      <c r="X22" s="139"/>
      <c r="Y22" s="139"/>
      <c r="Z22" s="131"/>
      <c r="AA22" s="132"/>
      <c r="AB22" s="112"/>
      <c r="AC22" s="79"/>
      <c r="AD22" s="122">
        <f t="shared" si="0"/>
        <v>-1314</v>
      </c>
    </row>
    <row r="23" spans="1:30" ht="230.25" outlineLevel="2" thickBot="1" x14ac:dyDescent="0.25">
      <c r="A23" s="118" t="s">
        <v>796</v>
      </c>
      <c r="B23" s="309"/>
      <c r="C23" s="313"/>
      <c r="D23" s="352"/>
      <c r="E23" s="136" t="s">
        <v>197</v>
      </c>
      <c r="F23" s="136" t="s">
        <v>202</v>
      </c>
      <c r="G23" s="243" t="s">
        <v>242</v>
      </c>
      <c r="H23" s="125" t="s">
        <v>178</v>
      </c>
      <c r="I23" s="126">
        <v>1</v>
      </c>
      <c r="J23" s="140" t="s">
        <v>210</v>
      </c>
      <c r="K23" s="127" t="s">
        <v>160</v>
      </c>
      <c r="L23" s="128">
        <v>1</v>
      </c>
      <c r="M23" s="129">
        <f t="shared" ref="M23" si="9">I23*L23</f>
        <v>1</v>
      </c>
      <c r="N23" s="249" t="s">
        <v>1548</v>
      </c>
      <c r="O23" s="70" t="s">
        <v>101</v>
      </c>
      <c r="P23" s="128">
        <v>5</v>
      </c>
      <c r="Q23" s="130">
        <f t="shared" ref="Q23" si="10">I23*L23*P23</f>
        <v>5</v>
      </c>
      <c r="R23" s="70" t="s">
        <v>101</v>
      </c>
      <c r="S23" s="70" t="s">
        <v>101</v>
      </c>
      <c r="T23" s="138"/>
      <c r="U23" s="139"/>
      <c r="V23" s="131"/>
      <c r="W23" s="138"/>
      <c r="X23" s="139"/>
      <c r="Y23" s="139"/>
      <c r="Z23" s="131"/>
      <c r="AA23" s="132"/>
      <c r="AB23" s="112"/>
      <c r="AC23" s="79"/>
      <c r="AD23" s="122">
        <f t="shared" si="0"/>
        <v>-5078</v>
      </c>
    </row>
    <row r="24" spans="1:30" ht="230.25" outlineLevel="2" thickBot="1" x14ac:dyDescent="0.25">
      <c r="A24" s="118" t="s">
        <v>302</v>
      </c>
      <c r="B24" s="348" t="s">
        <v>520</v>
      </c>
      <c r="C24" s="310" t="s">
        <v>998</v>
      </c>
      <c r="D24" s="351" t="s">
        <v>211</v>
      </c>
      <c r="E24" s="136" t="s">
        <v>165</v>
      </c>
      <c r="F24" s="136" t="s">
        <v>1449</v>
      </c>
      <c r="G24" s="243" t="s">
        <v>242</v>
      </c>
      <c r="H24" s="125" t="s">
        <v>178</v>
      </c>
      <c r="I24" s="126">
        <v>1</v>
      </c>
      <c r="J24" s="140" t="s">
        <v>210</v>
      </c>
      <c r="K24" s="127" t="s">
        <v>160</v>
      </c>
      <c r="L24" s="128">
        <v>2</v>
      </c>
      <c r="M24" s="129">
        <f t="shared" si="4"/>
        <v>2</v>
      </c>
      <c r="N24" s="249" t="s">
        <v>1548</v>
      </c>
      <c r="O24" s="70" t="s">
        <v>101</v>
      </c>
      <c r="P24" s="128">
        <v>5</v>
      </c>
      <c r="Q24" s="130">
        <f t="shared" si="2"/>
        <v>10</v>
      </c>
      <c r="R24" s="70" t="s">
        <v>101</v>
      </c>
      <c r="S24" s="70" t="s">
        <v>101</v>
      </c>
      <c r="T24" s="138"/>
      <c r="U24" s="139"/>
      <c r="V24" s="131"/>
      <c r="W24" s="138"/>
      <c r="X24" s="139"/>
      <c r="Y24" s="139"/>
      <c r="Z24" s="131"/>
      <c r="AA24" s="132"/>
      <c r="AB24" s="112"/>
      <c r="AC24" s="79"/>
      <c r="AD24" s="122">
        <f t="shared" si="0"/>
        <v>-1315</v>
      </c>
    </row>
    <row r="25" spans="1:30" ht="230.25" outlineLevel="2" thickBot="1" x14ac:dyDescent="0.25">
      <c r="A25" s="118" t="s">
        <v>797</v>
      </c>
      <c r="B25" s="309"/>
      <c r="C25" s="313"/>
      <c r="D25" s="352"/>
      <c r="E25" s="136" t="s">
        <v>494</v>
      </c>
      <c r="F25" s="136" t="s">
        <v>1450</v>
      </c>
      <c r="G25" s="243" t="s">
        <v>242</v>
      </c>
      <c r="H25" s="125" t="s">
        <v>178</v>
      </c>
      <c r="I25" s="126">
        <v>1</v>
      </c>
      <c r="J25" s="140" t="s">
        <v>210</v>
      </c>
      <c r="K25" s="127" t="s">
        <v>160</v>
      </c>
      <c r="L25" s="128">
        <v>1</v>
      </c>
      <c r="M25" s="129">
        <f t="shared" si="4"/>
        <v>1</v>
      </c>
      <c r="N25" s="249" t="s">
        <v>1548</v>
      </c>
      <c r="O25" s="70" t="s">
        <v>101</v>
      </c>
      <c r="P25" s="128">
        <v>5</v>
      </c>
      <c r="Q25" s="130">
        <f t="shared" si="2"/>
        <v>5</v>
      </c>
      <c r="R25" s="70" t="s">
        <v>101</v>
      </c>
      <c r="S25" s="70" t="s">
        <v>101</v>
      </c>
      <c r="T25" s="138"/>
      <c r="U25" s="139"/>
      <c r="V25" s="131"/>
      <c r="W25" s="138"/>
      <c r="X25" s="139"/>
      <c r="Y25" s="139"/>
      <c r="Z25" s="131"/>
      <c r="AA25" s="132"/>
      <c r="AB25" s="112"/>
      <c r="AC25" s="79"/>
      <c r="AD25" s="122">
        <f t="shared" si="0"/>
        <v>-5079</v>
      </c>
    </row>
    <row r="26" spans="1:30" ht="230.25" outlineLevel="2" thickBot="1" x14ac:dyDescent="0.25">
      <c r="A26" s="118" t="s">
        <v>303</v>
      </c>
      <c r="B26" s="136" t="s">
        <v>521</v>
      </c>
      <c r="C26" s="310" t="s">
        <v>981</v>
      </c>
      <c r="D26" s="136" t="s">
        <v>748</v>
      </c>
      <c r="E26" s="136" t="s">
        <v>166</v>
      </c>
      <c r="F26" s="136" t="s">
        <v>202</v>
      </c>
      <c r="G26" s="243" t="s">
        <v>242</v>
      </c>
      <c r="H26" s="125" t="s">
        <v>178</v>
      </c>
      <c r="I26" s="126">
        <v>1</v>
      </c>
      <c r="J26" s="140" t="s">
        <v>210</v>
      </c>
      <c r="K26" s="127" t="s">
        <v>160</v>
      </c>
      <c r="L26" s="128">
        <v>1</v>
      </c>
      <c r="M26" s="129">
        <f t="shared" si="4"/>
        <v>1</v>
      </c>
      <c r="N26" s="249" t="s">
        <v>1548</v>
      </c>
      <c r="O26" s="70" t="s">
        <v>101</v>
      </c>
      <c r="P26" s="128">
        <v>5</v>
      </c>
      <c r="Q26" s="130">
        <f>I26*L26*P26</f>
        <v>5</v>
      </c>
      <c r="R26" s="70" t="s">
        <v>101</v>
      </c>
      <c r="S26" s="70" t="s">
        <v>101</v>
      </c>
      <c r="T26" s="138"/>
      <c r="U26" s="139"/>
      <c r="V26" s="131"/>
      <c r="W26" s="138"/>
      <c r="X26" s="139"/>
      <c r="Y26" s="139"/>
      <c r="Z26" s="131"/>
      <c r="AA26" s="132"/>
      <c r="AB26" s="112"/>
      <c r="AC26" s="79"/>
      <c r="AD26" s="122">
        <f t="shared" si="0"/>
        <v>-1316</v>
      </c>
    </row>
    <row r="27" spans="1:30" ht="230.25" outlineLevel="2" thickBot="1" x14ac:dyDescent="0.25">
      <c r="A27" s="162" t="s">
        <v>798</v>
      </c>
      <c r="B27" s="163"/>
      <c r="C27" s="313"/>
      <c r="D27" s="202"/>
      <c r="E27" s="139" t="s">
        <v>497</v>
      </c>
      <c r="F27" s="139" t="s">
        <v>1451</v>
      </c>
      <c r="G27" s="243" t="s">
        <v>242</v>
      </c>
      <c r="H27" s="133" t="s">
        <v>178</v>
      </c>
      <c r="I27" s="164">
        <v>1</v>
      </c>
      <c r="J27" s="165" t="s">
        <v>210</v>
      </c>
      <c r="K27" s="166" t="s">
        <v>160</v>
      </c>
      <c r="L27" s="167">
        <v>1</v>
      </c>
      <c r="M27" s="168">
        <f t="shared" ref="M27" si="11">I27*L27</f>
        <v>1</v>
      </c>
      <c r="N27" s="249" t="s">
        <v>1548</v>
      </c>
      <c r="O27" s="70" t="s">
        <v>101</v>
      </c>
      <c r="P27" s="167">
        <v>5</v>
      </c>
      <c r="Q27" s="169">
        <f>I27*L27*P27</f>
        <v>5</v>
      </c>
      <c r="R27" s="70" t="s">
        <v>101</v>
      </c>
      <c r="S27" s="70" t="s">
        <v>101</v>
      </c>
      <c r="T27" s="138"/>
      <c r="U27" s="139"/>
      <c r="V27" s="131"/>
      <c r="W27" s="138"/>
      <c r="X27" s="139"/>
      <c r="Y27" s="139"/>
      <c r="Z27" s="131"/>
      <c r="AA27" s="170"/>
      <c r="AB27" s="112"/>
      <c r="AC27" s="79"/>
      <c r="AD27" s="122">
        <f t="shared" si="0"/>
        <v>-5080</v>
      </c>
    </row>
    <row r="28" spans="1:30" ht="230.25" outlineLevel="2" thickBot="1" x14ac:dyDescent="0.25">
      <c r="A28" s="118" t="s">
        <v>304</v>
      </c>
      <c r="B28" s="134" t="s">
        <v>522</v>
      </c>
      <c r="C28" s="310" t="s">
        <v>1001</v>
      </c>
      <c r="D28" s="351" t="s">
        <v>523</v>
      </c>
      <c r="E28" s="136" t="s">
        <v>214</v>
      </c>
      <c r="F28" s="136" t="s">
        <v>215</v>
      </c>
      <c r="G28" s="243" t="s">
        <v>242</v>
      </c>
      <c r="H28" s="125" t="s">
        <v>178</v>
      </c>
      <c r="I28" s="126">
        <v>1</v>
      </c>
      <c r="J28" s="140" t="s">
        <v>210</v>
      </c>
      <c r="K28" s="127" t="s">
        <v>160</v>
      </c>
      <c r="L28" s="128">
        <v>1</v>
      </c>
      <c r="M28" s="129">
        <f t="shared" si="4"/>
        <v>1</v>
      </c>
      <c r="N28" s="249" t="s">
        <v>1548</v>
      </c>
      <c r="O28" s="70" t="s">
        <v>101</v>
      </c>
      <c r="P28" s="128">
        <v>5</v>
      </c>
      <c r="Q28" s="130">
        <f t="shared" si="2"/>
        <v>5</v>
      </c>
      <c r="R28" s="70" t="s">
        <v>101</v>
      </c>
      <c r="S28" s="70" t="s">
        <v>101</v>
      </c>
      <c r="T28" s="138"/>
      <c r="U28" s="139"/>
      <c r="V28" s="131"/>
      <c r="W28" s="138"/>
      <c r="X28" s="139"/>
      <c r="Y28" s="139"/>
      <c r="Z28" s="131"/>
      <c r="AA28" s="132"/>
      <c r="AB28" s="112"/>
      <c r="AC28" s="79"/>
      <c r="AD28" s="122">
        <f t="shared" si="0"/>
        <v>-1317</v>
      </c>
    </row>
    <row r="29" spans="1:30" ht="230.25" outlineLevel="2" thickBot="1" x14ac:dyDescent="0.25">
      <c r="A29" s="118" t="s">
        <v>305</v>
      </c>
      <c r="B29" s="135" t="s">
        <v>505</v>
      </c>
      <c r="C29" s="313"/>
      <c r="D29" s="352"/>
      <c r="E29" s="136" t="s">
        <v>216</v>
      </c>
      <c r="F29" s="136" t="s">
        <v>203</v>
      </c>
      <c r="G29" s="243" t="s">
        <v>242</v>
      </c>
      <c r="H29" s="125" t="s">
        <v>178</v>
      </c>
      <c r="I29" s="126">
        <v>1</v>
      </c>
      <c r="J29" s="140" t="s">
        <v>177</v>
      </c>
      <c r="K29" s="127" t="s">
        <v>160</v>
      </c>
      <c r="L29" s="128">
        <v>1</v>
      </c>
      <c r="M29" s="129">
        <f t="shared" si="4"/>
        <v>1</v>
      </c>
      <c r="N29" s="249" t="s">
        <v>1548</v>
      </c>
      <c r="O29" s="70" t="s">
        <v>101</v>
      </c>
      <c r="P29" s="128">
        <v>5</v>
      </c>
      <c r="Q29" s="130">
        <f t="shared" si="2"/>
        <v>5</v>
      </c>
      <c r="R29" s="70" t="s">
        <v>101</v>
      </c>
      <c r="S29" s="70" t="s">
        <v>101</v>
      </c>
      <c r="T29" s="138"/>
      <c r="U29" s="139"/>
      <c r="V29" s="131"/>
      <c r="W29" s="138"/>
      <c r="X29" s="139"/>
      <c r="Y29" s="139"/>
      <c r="Z29" s="131"/>
      <c r="AA29" s="132"/>
      <c r="AB29" s="112"/>
      <c r="AC29" s="79"/>
      <c r="AD29" s="122">
        <f t="shared" si="0"/>
        <v>-1318</v>
      </c>
    </row>
    <row r="30" spans="1:30" s="121" customFormat="1" ht="332.25" outlineLevel="2" thickBot="1" x14ac:dyDescent="0.25">
      <c r="A30" s="118" t="s">
        <v>306</v>
      </c>
      <c r="B30" s="348" t="s">
        <v>524</v>
      </c>
      <c r="C30" s="310" t="s">
        <v>982</v>
      </c>
      <c r="D30" s="351" t="s">
        <v>749</v>
      </c>
      <c r="E30" s="136" t="s">
        <v>498</v>
      </c>
      <c r="F30" s="136" t="s">
        <v>948</v>
      </c>
      <c r="G30" s="243" t="s">
        <v>930</v>
      </c>
      <c r="H30" s="125" t="s">
        <v>178</v>
      </c>
      <c r="I30" s="126">
        <v>3</v>
      </c>
      <c r="J30" s="140" t="s">
        <v>177</v>
      </c>
      <c r="K30" s="127" t="s">
        <v>160</v>
      </c>
      <c r="L30" s="128">
        <v>1</v>
      </c>
      <c r="M30" s="174">
        <f t="shared" si="4"/>
        <v>3</v>
      </c>
      <c r="N30" s="249" t="s">
        <v>1548</v>
      </c>
      <c r="O30" s="70" t="s">
        <v>199</v>
      </c>
      <c r="P30" s="128">
        <v>1</v>
      </c>
      <c r="Q30" s="176">
        <f t="shared" si="2"/>
        <v>3</v>
      </c>
      <c r="R30" s="138" t="s">
        <v>1469</v>
      </c>
      <c r="S30" s="138" t="s">
        <v>1549</v>
      </c>
      <c r="T30" s="138" t="s">
        <v>929</v>
      </c>
      <c r="U30" s="172" t="s">
        <v>949</v>
      </c>
      <c r="V30" s="178"/>
      <c r="W30" s="135"/>
      <c r="X30" s="136"/>
      <c r="Y30" s="136"/>
      <c r="Z30" s="178"/>
      <c r="AA30" s="179"/>
      <c r="AB30" s="180"/>
      <c r="AD30" s="122">
        <f t="shared" si="0"/>
        <v>-1319</v>
      </c>
    </row>
    <row r="31" spans="1:30" ht="230.25" outlineLevel="2" thickBot="1" x14ac:dyDescent="0.25">
      <c r="A31" s="118" t="s">
        <v>799</v>
      </c>
      <c r="B31" s="359"/>
      <c r="C31" s="325"/>
      <c r="D31" s="354"/>
      <c r="E31" s="136" t="s">
        <v>750</v>
      </c>
      <c r="F31" s="136" t="s">
        <v>202</v>
      </c>
      <c r="G31" s="243" t="s">
        <v>242</v>
      </c>
      <c r="H31" s="125" t="s">
        <v>178</v>
      </c>
      <c r="I31" s="126">
        <v>1</v>
      </c>
      <c r="J31" s="140" t="s">
        <v>210</v>
      </c>
      <c r="K31" s="127" t="s">
        <v>160</v>
      </c>
      <c r="L31" s="128">
        <v>1</v>
      </c>
      <c r="M31" s="129">
        <f t="shared" ref="M31:M32" si="12">I31*L31</f>
        <v>1</v>
      </c>
      <c r="N31" s="249" t="s">
        <v>1548</v>
      </c>
      <c r="O31" s="70" t="s">
        <v>101</v>
      </c>
      <c r="P31" s="128">
        <v>5</v>
      </c>
      <c r="Q31" s="130">
        <f>I31*L31*P31</f>
        <v>5</v>
      </c>
      <c r="R31" s="70" t="s">
        <v>101</v>
      </c>
      <c r="S31" s="70" t="s">
        <v>101</v>
      </c>
      <c r="T31" s="138"/>
      <c r="U31" s="139"/>
      <c r="V31" s="131"/>
      <c r="W31" s="138"/>
      <c r="X31" s="139"/>
      <c r="Y31" s="139"/>
      <c r="Z31" s="131"/>
      <c r="AA31" s="132"/>
      <c r="AB31" s="112"/>
      <c r="AC31" s="79"/>
      <c r="AD31" s="122">
        <f t="shared" si="0"/>
        <v>-5081</v>
      </c>
    </row>
    <row r="32" spans="1:30" s="121" customFormat="1" ht="332.25" outlineLevel="2" thickBot="1" x14ac:dyDescent="0.25">
      <c r="A32" s="118" t="s">
        <v>800</v>
      </c>
      <c r="B32" s="359"/>
      <c r="C32" s="325"/>
      <c r="D32" s="354"/>
      <c r="E32" s="136" t="s">
        <v>733</v>
      </c>
      <c r="F32" s="136" t="s">
        <v>948</v>
      </c>
      <c r="G32" s="243" t="s">
        <v>930</v>
      </c>
      <c r="H32" s="125" t="s">
        <v>178</v>
      </c>
      <c r="I32" s="126">
        <v>3</v>
      </c>
      <c r="J32" s="140" t="s">
        <v>177</v>
      </c>
      <c r="K32" s="127" t="s">
        <v>160</v>
      </c>
      <c r="L32" s="128">
        <v>1</v>
      </c>
      <c r="M32" s="174">
        <f t="shared" si="12"/>
        <v>3</v>
      </c>
      <c r="N32" s="249" t="s">
        <v>1548</v>
      </c>
      <c r="O32" s="70" t="s">
        <v>199</v>
      </c>
      <c r="P32" s="128">
        <v>1</v>
      </c>
      <c r="Q32" s="176">
        <f t="shared" ref="Q32" si="13">I32*L32*P32</f>
        <v>3</v>
      </c>
      <c r="R32" s="138" t="s">
        <v>1469</v>
      </c>
      <c r="S32" s="138" t="s">
        <v>1549</v>
      </c>
      <c r="T32" s="138" t="s">
        <v>929</v>
      </c>
      <c r="U32" s="172" t="s">
        <v>949</v>
      </c>
      <c r="V32" s="178"/>
      <c r="W32" s="135"/>
      <c r="X32" s="136"/>
      <c r="Y32" s="136"/>
      <c r="Z32" s="178"/>
      <c r="AA32" s="179"/>
      <c r="AB32" s="180"/>
      <c r="AD32" s="122">
        <f t="shared" si="0"/>
        <v>-5082</v>
      </c>
    </row>
    <row r="33" spans="1:30" ht="230.25" outlineLevel="2" thickBot="1" x14ac:dyDescent="0.25">
      <c r="A33" s="118" t="s">
        <v>801</v>
      </c>
      <c r="B33" s="309"/>
      <c r="C33" s="313"/>
      <c r="D33" s="352"/>
      <c r="E33" s="136" t="s">
        <v>734</v>
      </c>
      <c r="F33" s="136" t="s">
        <v>202</v>
      </c>
      <c r="G33" s="243" t="s">
        <v>242</v>
      </c>
      <c r="H33" s="125" t="s">
        <v>178</v>
      </c>
      <c r="I33" s="126">
        <v>1</v>
      </c>
      <c r="J33" s="140" t="s">
        <v>210</v>
      </c>
      <c r="K33" s="127" t="s">
        <v>160</v>
      </c>
      <c r="L33" s="128">
        <v>1</v>
      </c>
      <c r="M33" s="129">
        <f t="shared" ref="M33" si="14">I33*L33</f>
        <v>1</v>
      </c>
      <c r="N33" s="249" t="s">
        <v>1548</v>
      </c>
      <c r="O33" s="70" t="s">
        <v>101</v>
      </c>
      <c r="P33" s="128">
        <v>5</v>
      </c>
      <c r="Q33" s="130">
        <f>I33*L33*P33</f>
        <v>5</v>
      </c>
      <c r="R33" s="70" t="s">
        <v>101</v>
      </c>
      <c r="S33" s="70" t="s">
        <v>101</v>
      </c>
      <c r="T33" s="138"/>
      <c r="U33" s="139"/>
      <c r="V33" s="131"/>
      <c r="W33" s="138"/>
      <c r="X33" s="139"/>
      <c r="Y33" s="139"/>
      <c r="Z33" s="131"/>
      <c r="AA33" s="132"/>
      <c r="AB33" s="112"/>
      <c r="AC33" s="79"/>
      <c r="AD33" s="122">
        <f t="shared" si="0"/>
        <v>-5083</v>
      </c>
    </row>
    <row r="34" spans="1:30" ht="230.25" outlineLevel="2" thickBot="1" x14ac:dyDescent="0.25">
      <c r="A34" s="162" t="s">
        <v>307</v>
      </c>
      <c r="B34" s="171" t="s">
        <v>526</v>
      </c>
      <c r="C34" s="360" t="s">
        <v>983</v>
      </c>
      <c r="D34" s="200" t="s">
        <v>1452</v>
      </c>
      <c r="E34" s="139" t="s">
        <v>887</v>
      </c>
      <c r="F34" s="139" t="s">
        <v>1453</v>
      </c>
      <c r="G34" s="243" t="s">
        <v>242</v>
      </c>
      <c r="H34" s="133" t="s">
        <v>178</v>
      </c>
      <c r="I34" s="164">
        <v>1</v>
      </c>
      <c r="J34" s="165" t="s">
        <v>177</v>
      </c>
      <c r="K34" s="166" t="s">
        <v>160</v>
      </c>
      <c r="L34" s="167">
        <v>1</v>
      </c>
      <c r="M34" s="168">
        <f t="shared" si="4"/>
        <v>1</v>
      </c>
      <c r="N34" s="249" t="s">
        <v>1548</v>
      </c>
      <c r="O34" s="70" t="s">
        <v>101</v>
      </c>
      <c r="P34" s="167">
        <v>5</v>
      </c>
      <c r="Q34" s="169">
        <f t="shared" si="2"/>
        <v>5</v>
      </c>
      <c r="R34" s="70" t="s">
        <v>101</v>
      </c>
      <c r="S34" s="70" t="s">
        <v>101</v>
      </c>
      <c r="T34" s="138"/>
      <c r="U34" s="195" t="s">
        <v>892</v>
      </c>
      <c r="V34" s="131"/>
      <c r="W34" s="138"/>
      <c r="X34" s="139"/>
      <c r="Y34" s="139"/>
      <c r="Z34" s="131"/>
      <c r="AA34" s="170"/>
      <c r="AB34" s="112"/>
      <c r="AC34" s="79"/>
      <c r="AD34" s="122">
        <f t="shared" si="0"/>
        <v>-1320</v>
      </c>
    </row>
    <row r="35" spans="1:30" ht="230.25" outlineLevel="2" thickBot="1" x14ac:dyDescent="0.25">
      <c r="A35" s="162" t="s">
        <v>937</v>
      </c>
      <c r="B35" s="181"/>
      <c r="C35" s="361"/>
      <c r="D35" s="201"/>
      <c r="E35" s="139" t="s">
        <v>888</v>
      </c>
      <c r="F35" s="136" t="s">
        <v>202</v>
      </c>
      <c r="G35" s="243" t="s">
        <v>242</v>
      </c>
      <c r="H35" s="125" t="s">
        <v>178</v>
      </c>
      <c r="I35" s="126">
        <v>1</v>
      </c>
      <c r="J35" s="140" t="s">
        <v>177</v>
      </c>
      <c r="K35" s="127" t="s">
        <v>160</v>
      </c>
      <c r="L35" s="128">
        <v>1</v>
      </c>
      <c r="M35" s="129">
        <f t="shared" ref="M35:M36" si="15">I35*L35</f>
        <v>1</v>
      </c>
      <c r="N35" s="249" t="s">
        <v>1548</v>
      </c>
      <c r="O35" s="70" t="s">
        <v>101</v>
      </c>
      <c r="P35" s="128">
        <v>5</v>
      </c>
      <c r="Q35" s="130">
        <f t="shared" ref="Q35:Q36" si="16">I35*L35*P35</f>
        <v>5</v>
      </c>
      <c r="R35" s="70" t="s">
        <v>101</v>
      </c>
      <c r="S35" s="70" t="s">
        <v>101</v>
      </c>
      <c r="T35" s="138"/>
      <c r="U35" s="136"/>
      <c r="V35" s="131"/>
      <c r="W35" s="138"/>
      <c r="X35" s="139"/>
      <c r="Y35" s="139"/>
      <c r="Z35" s="131"/>
      <c r="AA35" s="170"/>
      <c r="AB35" s="112"/>
      <c r="AC35" s="79"/>
      <c r="AD35" s="122">
        <f t="shared" si="0"/>
        <v>-9784</v>
      </c>
    </row>
    <row r="36" spans="1:30" ht="230.25" outlineLevel="2" thickBot="1" x14ac:dyDescent="0.25">
      <c r="A36" s="162" t="s">
        <v>938</v>
      </c>
      <c r="B36" s="181"/>
      <c r="C36" s="361"/>
      <c r="D36" s="201"/>
      <c r="E36" s="139" t="s">
        <v>889</v>
      </c>
      <c r="F36" s="139" t="s">
        <v>202</v>
      </c>
      <c r="G36" s="243" t="s">
        <v>242</v>
      </c>
      <c r="H36" s="125" t="s">
        <v>178</v>
      </c>
      <c r="I36" s="126">
        <v>1</v>
      </c>
      <c r="J36" s="140" t="s">
        <v>177</v>
      </c>
      <c r="K36" s="127" t="s">
        <v>160</v>
      </c>
      <c r="L36" s="128">
        <v>1</v>
      </c>
      <c r="M36" s="174">
        <f t="shared" si="15"/>
        <v>1</v>
      </c>
      <c r="N36" s="249" t="s">
        <v>1548</v>
      </c>
      <c r="O36" s="175" t="s">
        <v>101</v>
      </c>
      <c r="P36" s="128">
        <v>5</v>
      </c>
      <c r="Q36" s="176">
        <f t="shared" si="16"/>
        <v>5</v>
      </c>
      <c r="R36" s="70" t="s">
        <v>101</v>
      </c>
      <c r="S36" s="70" t="s">
        <v>101</v>
      </c>
      <c r="T36" s="138"/>
      <c r="U36" s="136"/>
      <c r="V36" s="131"/>
      <c r="W36" s="138"/>
      <c r="X36" s="139"/>
      <c r="Y36" s="139"/>
      <c r="Z36" s="131"/>
      <c r="AA36" s="170"/>
      <c r="AB36" s="112"/>
      <c r="AC36" s="79"/>
      <c r="AD36" s="122">
        <f t="shared" si="0"/>
        <v>-9785</v>
      </c>
    </row>
    <row r="37" spans="1:30" s="121" customFormat="1" ht="230.25" outlineLevel="2" thickBot="1" x14ac:dyDescent="0.25">
      <c r="A37" s="118" t="s">
        <v>802</v>
      </c>
      <c r="B37" s="157"/>
      <c r="C37" s="361"/>
      <c r="D37" s="201"/>
      <c r="E37" s="136" t="s">
        <v>890</v>
      </c>
      <c r="F37" s="136" t="s">
        <v>891</v>
      </c>
      <c r="G37" s="243" t="s">
        <v>242</v>
      </c>
      <c r="H37" s="125" t="s">
        <v>178</v>
      </c>
      <c r="I37" s="126">
        <v>1</v>
      </c>
      <c r="J37" s="140" t="s">
        <v>177</v>
      </c>
      <c r="K37" s="127" t="s">
        <v>160</v>
      </c>
      <c r="L37" s="128">
        <v>1</v>
      </c>
      <c r="M37" s="174">
        <f t="shared" ref="M37" si="17">I37*L37</f>
        <v>1</v>
      </c>
      <c r="N37" s="249" t="s">
        <v>1548</v>
      </c>
      <c r="O37" s="175" t="s">
        <v>101</v>
      </c>
      <c r="P37" s="128">
        <v>5</v>
      </c>
      <c r="Q37" s="176">
        <f t="shared" ref="Q37" si="18">I37*L37*P37</f>
        <v>5</v>
      </c>
      <c r="R37" s="70" t="s">
        <v>101</v>
      </c>
      <c r="S37" s="70" t="s">
        <v>101</v>
      </c>
      <c r="T37" s="135"/>
      <c r="U37" s="136"/>
      <c r="V37" s="178"/>
      <c r="W37" s="135"/>
      <c r="X37" s="136"/>
      <c r="Y37" s="136"/>
      <c r="Z37" s="178"/>
      <c r="AA37" s="179"/>
      <c r="AB37" s="180"/>
      <c r="AD37" s="122">
        <f t="shared" si="0"/>
        <v>-5084</v>
      </c>
    </row>
    <row r="38" spans="1:30" ht="230.25" outlineLevel="2" thickBot="1" x14ac:dyDescent="0.25">
      <c r="A38" s="118" t="s">
        <v>308</v>
      </c>
      <c r="B38" s="135" t="s">
        <v>505</v>
      </c>
      <c r="C38" s="361"/>
      <c r="D38" s="136"/>
      <c r="E38" s="136" t="s">
        <v>156</v>
      </c>
      <c r="F38" s="136" t="s">
        <v>202</v>
      </c>
      <c r="G38" s="243" t="s">
        <v>242</v>
      </c>
      <c r="H38" s="125" t="s">
        <v>178</v>
      </c>
      <c r="I38" s="126">
        <v>1</v>
      </c>
      <c r="J38" s="140" t="s">
        <v>177</v>
      </c>
      <c r="K38" s="127" t="s">
        <v>160</v>
      </c>
      <c r="L38" s="128">
        <v>1</v>
      </c>
      <c r="M38" s="129">
        <f t="shared" si="4"/>
        <v>1</v>
      </c>
      <c r="N38" s="249" t="s">
        <v>1548</v>
      </c>
      <c r="O38" s="70" t="s">
        <v>101</v>
      </c>
      <c r="P38" s="128">
        <v>5</v>
      </c>
      <c r="Q38" s="130">
        <f t="shared" si="2"/>
        <v>5</v>
      </c>
      <c r="R38" s="70" t="s">
        <v>101</v>
      </c>
      <c r="S38" s="70" t="s">
        <v>101</v>
      </c>
      <c r="T38" s="138"/>
      <c r="U38" s="139"/>
      <c r="V38" s="131"/>
      <c r="W38" s="138"/>
      <c r="X38" s="139"/>
      <c r="Y38" s="139"/>
      <c r="Z38" s="131"/>
      <c r="AA38" s="132"/>
      <c r="AB38" s="112"/>
      <c r="AC38" s="79"/>
      <c r="AD38" s="122">
        <f t="shared" si="0"/>
        <v>-1321</v>
      </c>
    </row>
    <row r="39" spans="1:30" ht="230.25" outlineLevel="2" thickBot="1" x14ac:dyDescent="0.25">
      <c r="A39" s="118" t="s">
        <v>803</v>
      </c>
      <c r="B39" s="158"/>
      <c r="C39" s="362"/>
      <c r="D39" s="136"/>
      <c r="E39" s="136" t="s">
        <v>492</v>
      </c>
      <c r="F39" s="136" t="s">
        <v>873</v>
      </c>
      <c r="G39" s="243" t="s">
        <v>242</v>
      </c>
      <c r="H39" s="125" t="s">
        <v>178</v>
      </c>
      <c r="I39" s="126">
        <v>1</v>
      </c>
      <c r="J39" s="140" t="s">
        <v>177</v>
      </c>
      <c r="K39" s="127" t="s">
        <v>160</v>
      </c>
      <c r="L39" s="128">
        <v>1</v>
      </c>
      <c r="M39" s="129">
        <f t="shared" ref="M39" si="19">I39*L39</f>
        <v>1</v>
      </c>
      <c r="N39" s="249" t="s">
        <v>1548</v>
      </c>
      <c r="O39" s="70" t="s">
        <v>101</v>
      </c>
      <c r="P39" s="128">
        <v>5</v>
      </c>
      <c r="Q39" s="130">
        <f t="shared" ref="Q39" si="20">I39*L39*P39</f>
        <v>5</v>
      </c>
      <c r="R39" s="70" t="s">
        <v>101</v>
      </c>
      <c r="S39" s="70" t="s">
        <v>101</v>
      </c>
      <c r="T39" s="138"/>
      <c r="U39" s="139"/>
      <c r="V39" s="131"/>
      <c r="W39" s="138"/>
      <c r="X39" s="139"/>
      <c r="Y39" s="139"/>
      <c r="Z39" s="131"/>
      <c r="AA39" s="132"/>
      <c r="AB39" s="112"/>
      <c r="AC39" s="79"/>
      <c r="AD39" s="122">
        <f t="shared" si="0"/>
        <v>-5085</v>
      </c>
    </row>
    <row r="40" spans="1:30" ht="230.25" outlineLevel="2" thickBot="1" x14ac:dyDescent="0.25">
      <c r="A40" s="118" t="s">
        <v>309</v>
      </c>
      <c r="B40" s="136" t="s">
        <v>527</v>
      </c>
      <c r="C40" s="250" t="s">
        <v>996</v>
      </c>
      <c r="D40" s="136" t="s">
        <v>528</v>
      </c>
      <c r="E40" s="136" t="s">
        <v>659</v>
      </c>
      <c r="F40" s="136" t="s">
        <v>202</v>
      </c>
      <c r="G40" s="243" t="s">
        <v>242</v>
      </c>
      <c r="H40" s="125" t="s">
        <v>178</v>
      </c>
      <c r="I40" s="126">
        <v>3</v>
      </c>
      <c r="J40" s="140" t="s">
        <v>177</v>
      </c>
      <c r="K40" s="127" t="s">
        <v>160</v>
      </c>
      <c r="L40" s="128">
        <v>2</v>
      </c>
      <c r="M40" s="129">
        <f t="shared" si="4"/>
        <v>6</v>
      </c>
      <c r="N40" s="249" t="s">
        <v>1548</v>
      </c>
      <c r="O40" s="70" t="s">
        <v>101</v>
      </c>
      <c r="P40" s="128">
        <v>5</v>
      </c>
      <c r="Q40" s="130">
        <f t="shared" si="2"/>
        <v>30</v>
      </c>
      <c r="R40" s="70" t="s">
        <v>101</v>
      </c>
      <c r="S40" s="70" t="s">
        <v>101</v>
      </c>
      <c r="T40" s="138"/>
      <c r="U40" s="139"/>
      <c r="V40" s="131"/>
      <c r="W40" s="138"/>
      <c r="X40" s="139"/>
      <c r="Y40" s="139"/>
      <c r="Z40" s="131"/>
      <c r="AA40" s="132"/>
      <c r="AB40" s="112"/>
      <c r="AC40" s="79"/>
      <c r="AD40" s="122">
        <f t="shared" si="0"/>
        <v>-1322</v>
      </c>
    </row>
    <row r="41" spans="1:30" ht="230.25" outlineLevel="2" thickBot="1" x14ac:dyDescent="0.25">
      <c r="A41" s="118" t="s">
        <v>310</v>
      </c>
      <c r="B41" s="136" t="s">
        <v>529</v>
      </c>
      <c r="C41" s="310" t="s">
        <v>995</v>
      </c>
      <c r="D41" s="136" t="s">
        <v>213</v>
      </c>
      <c r="E41" s="136" t="s">
        <v>166</v>
      </c>
      <c r="F41" s="136" t="s">
        <v>218</v>
      </c>
      <c r="G41" s="243" t="s">
        <v>242</v>
      </c>
      <c r="H41" s="125" t="s">
        <v>178</v>
      </c>
      <c r="I41" s="126">
        <v>3</v>
      </c>
      <c r="J41" s="140" t="s">
        <v>177</v>
      </c>
      <c r="K41" s="127" t="s">
        <v>160</v>
      </c>
      <c r="L41" s="128">
        <v>1</v>
      </c>
      <c r="M41" s="129">
        <f t="shared" si="4"/>
        <v>3</v>
      </c>
      <c r="N41" s="249" t="s">
        <v>1548</v>
      </c>
      <c r="O41" s="70" t="s">
        <v>101</v>
      </c>
      <c r="P41" s="128">
        <v>5</v>
      </c>
      <c r="Q41" s="130">
        <f t="shared" si="2"/>
        <v>15</v>
      </c>
      <c r="R41" s="70" t="s">
        <v>101</v>
      </c>
      <c r="S41" s="70" t="s">
        <v>101</v>
      </c>
      <c r="T41" s="138"/>
      <c r="U41" s="139"/>
      <c r="V41" s="131"/>
      <c r="W41" s="138"/>
      <c r="X41" s="139"/>
      <c r="Y41" s="139"/>
      <c r="Z41" s="131"/>
      <c r="AA41" s="132"/>
      <c r="AB41" s="112"/>
      <c r="AC41" s="79"/>
      <c r="AD41" s="122">
        <f t="shared" si="0"/>
        <v>-1323</v>
      </c>
    </row>
    <row r="42" spans="1:30" s="121" customFormat="1" ht="230.25" outlineLevel="2" thickBot="1" x14ac:dyDescent="0.25">
      <c r="A42" s="118" t="s">
        <v>804</v>
      </c>
      <c r="B42" s="136"/>
      <c r="C42" s="313"/>
      <c r="D42" s="136"/>
      <c r="E42" s="136" t="s">
        <v>497</v>
      </c>
      <c r="F42" s="136" t="s">
        <v>950</v>
      </c>
      <c r="G42" s="243" t="s">
        <v>242</v>
      </c>
      <c r="H42" s="125" t="s">
        <v>178</v>
      </c>
      <c r="I42" s="126">
        <v>2</v>
      </c>
      <c r="J42" s="140" t="s">
        <v>177</v>
      </c>
      <c r="K42" s="127" t="s">
        <v>160</v>
      </c>
      <c r="L42" s="128">
        <v>1</v>
      </c>
      <c r="M42" s="174">
        <f t="shared" ref="M42:M43" si="21">I42*L42</f>
        <v>2</v>
      </c>
      <c r="N42" s="249" t="s">
        <v>1548</v>
      </c>
      <c r="O42" s="175" t="s">
        <v>101</v>
      </c>
      <c r="P42" s="128">
        <v>5</v>
      </c>
      <c r="Q42" s="176">
        <f t="shared" ref="Q42:Q43" si="22">I42*L42*P42</f>
        <v>10</v>
      </c>
      <c r="R42" s="70" t="s">
        <v>101</v>
      </c>
      <c r="S42" s="70" t="s">
        <v>101</v>
      </c>
      <c r="T42" s="135"/>
      <c r="U42" s="195" t="s">
        <v>951</v>
      </c>
      <c r="V42" s="178"/>
      <c r="W42" s="135"/>
      <c r="X42" s="136"/>
      <c r="Y42" s="136"/>
      <c r="Z42" s="178"/>
      <c r="AA42" s="179"/>
      <c r="AB42" s="180"/>
      <c r="AD42" s="122">
        <f t="shared" si="0"/>
        <v>-5086</v>
      </c>
    </row>
    <row r="43" spans="1:30" s="121" customFormat="1" ht="230.25" outlineLevel="2" thickBot="1" x14ac:dyDescent="0.25">
      <c r="A43" s="118" t="s">
        <v>1307</v>
      </c>
      <c r="B43" s="227" t="s">
        <v>1199</v>
      </c>
      <c r="C43" s="253" t="s">
        <v>1200</v>
      </c>
      <c r="D43" s="136" t="s">
        <v>1208</v>
      </c>
      <c r="E43" s="136" t="s">
        <v>154</v>
      </c>
      <c r="F43" s="136" t="s">
        <v>202</v>
      </c>
      <c r="G43" s="243" t="s">
        <v>242</v>
      </c>
      <c r="H43" s="125" t="s">
        <v>178</v>
      </c>
      <c r="I43" s="126">
        <v>3</v>
      </c>
      <c r="J43" s="140" t="s">
        <v>177</v>
      </c>
      <c r="K43" s="127" t="s">
        <v>160</v>
      </c>
      <c r="L43" s="128">
        <v>2</v>
      </c>
      <c r="M43" s="174">
        <f t="shared" si="21"/>
        <v>6</v>
      </c>
      <c r="N43" s="249" t="s">
        <v>1548</v>
      </c>
      <c r="O43" s="70" t="s">
        <v>101</v>
      </c>
      <c r="P43" s="128">
        <v>5</v>
      </c>
      <c r="Q43" s="176">
        <f t="shared" si="22"/>
        <v>30</v>
      </c>
      <c r="R43" s="70" t="s">
        <v>101</v>
      </c>
      <c r="S43" s="70" t="s">
        <v>101</v>
      </c>
      <c r="T43" s="135"/>
      <c r="U43" s="136"/>
      <c r="V43" s="178"/>
      <c r="W43" s="135"/>
      <c r="X43" s="136"/>
      <c r="Y43" s="136"/>
      <c r="Z43" s="178"/>
      <c r="AA43" s="179"/>
      <c r="AB43" s="180"/>
      <c r="AD43" s="122">
        <f t="shared" si="0"/>
        <v>13649</v>
      </c>
    </row>
    <row r="44" spans="1:30" ht="230.25" outlineLevel="2" thickBot="1" x14ac:dyDescent="0.25">
      <c r="A44" s="118" t="s">
        <v>311</v>
      </c>
      <c r="B44" s="136" t="s">
        <v>530</v>
      </c>
      <c r="C44" s="310" t="s">
        <v>984</v>
      </c>
      <c r="D44" s="136" t="s">
        <v>531</v>
      </c>
      <c r="E44" s="136" t="s">
        <v>163</v>
      </c>
      <c r="F44" s="136" t="s">
        <v>1454</v>
      </c>
      <c r="G44" s="243" t="s">
        <v>242</v>
      </c>
      <c r="H44" s="125" t="s">
        <v>178</v>
      </c>
      <c r="I44" s="126">
        <v>1</v>
      </c>
      <c r="J44" s="140" t="s">
        <v>177</v>
      </c>
      <c r="K44" s="127" t="s">
        <v>160</v>
      </c>
      <c r="L44" s="128">
        <v>1</v>
      </c>
      <c r="M44" s="129">
        <f t="shared" si="4"/>
        <v>1</v>
      </c>
      <c r="N44" s="249" t="s">
        <v>1548</v>
      </c>
      <c r="O44" s="70" t="s">
        <v>101</v>
      </c>
      <c r="P44" s="128">
        <v>5</v>
      </c>
      <c r="Q44" s="130">
        <f t="shared" si="2"/>
        <v>5</v>
      </c>
      <c r="R44" s="70" t="s">
        <v>101</v>
      </c>
      <c r="S44" s="70" t="s">
        <v>101</v>
      </c>
      <c r="T44" s="138"/>
      <c r="U44" s="139"/>
      <c r="V44" s="131"/>
      <c r="W44" s="138"/>
      <c r="X44" s="139"/>
      <c r="Y44" s="139"/>
      <c r="Z44" s="131"/>
      <c r="AA44" s="132"/>
      <c r="AB44" s="112"/>
      <c r="AC44" s="79"/>
      <c r="AD44" s="122">
        <f t="shared" si="0"/>
        <v>-1324</v>
      </c>
    </row>
    <row r="45" spans="1:30" ht="255.75" outlineLevel="2" thickBot="1" x14ac:dyDescent="0.25">
      <c r="A45" s="118" t="s">
        <v>805</v>
      </c>
      <c r="B45" s="136"/>
      <c r="C45" s="313"/>
      <c r="D45" s="136"/>
      <c r="E45" s="136" t="s">
        <v>197</v>
      </c>
      <c r="F45" s="136" t="s">
        <v>1455</v>
      </c>
      <c r="G45" s="243" t="s">
        <v>930</v>
      </c>
      <c r="H45" s="125" t="s">
        <v>188</v>
      </c>
      <c r="I45" s="126">
        <v>4</v>
      </c>
      <c r="J45" s="140" t="s">
        <v>177</v>
      </c>
      <c r="K45" s="127" t="s">
        <v>160</v>
      </c>
      <c r="L45" s="128">
        <v>1</v>
      </c>
      <c r="M45" s="129">
        <f t="shared" ref="M45" si="23">I45*L45</f>
        <v>4</v>
      </c>
      <c r="N45" s="249" t="s">
        <v>1548</v>
      </c>
      <c r="O45" s="70" t="s">
        <v>199</v>
      </c>
      <c r="P45" s="128">
        <v>1</v>
      </c>
      <c r="Q45" s="130">
        <f t="shared" ref="Q45" si="24">I45*L45*P45</f>
        <v>4</v>
      </c>
      <c r="R45" s="138" t="s">
        <v>1469</v>
      </c>
      <c r="S45" s="138" t="s">
        <v>1549</v>
      </c>
      <c r="T45" s="138"/>
      <c r="U45" s="139"/>
      <c r="V45" s="131"/>
      <c r="W45" s="138"/>
      <c r="X45" s="139"/>
      <c r="Y45" s="139"/>
      <c r="Z45" s="131"/>
      <c r="AA45" s="132"/>
      <c r="AB45" s="112"/>
      <c r="AC45" s="79"/>
      <c r="AD45" s="122">
        <f t="shared" si="0"/>
        <v>-5087</v>
      </c>
    </row>
    <row r="46" spans="1:30" ht="230.25" outlineLevel="2" thickBot="1" x14ac:dyDescent="0.25">
      <c r="A46" s="118" t="s">
        <v>312</v>
      </c>
      <c r="B46" s="348" t="s">
        <v>532</v>
      </c>
      <c r="C46" s="310" t="s">
        <v>985</v>
      </c>
      <c r="D46" s="351" t="s">
        <v>533</v>
      </c>
      <c r="E46" s="136" t="s">
        <v>498</v>
      </c>
      <c r="F46" s="136" t="s">
        <v>1523</v>
      </c>
      <c r="G46" s="243" t="s">
        <v>242</v>
      </c>
      <c r="H46" s="125" t="s">
        <v>178</v>
      </c>
      <c r="I46" s="126">
        <v>2</v>
      </c>
      <c r="J46" s="140" t="s">
        <v>177</v>
      </c>
      <c r="K46" s="127" t="s">
        <v>160</v>
      </c>
      <c r="L46" s="128">
        <v>1</v>
      </c>
      <c r="M46" s="129">
        <f t="shared" si="4"/>
        <v>2</v>
      </c>
      <c r="N46" s="249" t="s">
        <v>1548</v>
      </c>
      <c r="O46" s="70" t="s">
        <v>101</v>
      </c>
      <c r="P46" s="128">
        <v>5</v>
      </c>
      <c r="Q46" s="130">
        <f t="shared" si="2"/>
        <v>10</v>
      </c>
      <c r="R46" s="70" t="s">
        <v>101</v>
      </c>
      <c r="S46" s="70" t="s">
        <v>101</v>
      </c>
      <c r="T46" s="138"/>
      <c r="U46" s="139"/>
      <c r="V46" s="131"/>
      <c r="W46" s="138"/>
      <c r="X46" s="139"/>
      <c r="Y46" s="139"/>
      <c r="Z46" s="131"/>
      <c r="AA46" s="132"/>
      <c r="AB46" s="112"/>
      <c r="AC46" s="79"/>
      <c r="AD46" s="122">
        <f t="shared" si="0"/>
        <v>-1325</v>
      </c>
    </row>
    <row r="47" spans="1:30" ht="230.25" outlineLevel="2" thickBot="1" x14ac:dyDescent="0.25">
      <c r="A47" s="118" t="s">
        <v>806</v>
      </c>
      <c r="B47" s="359"/>
      <c r="C47" s="325"/>
      <c r="D47" s="354"/>
      <c r="E47" s="136" t="s">
        <v>732</v>
      </c>
      <c r="F47" s="136" t="s">
        <v>1524</v>
      </c>
      <c r="G47" s="243" t="s">
        <v>242</v>
      </c>
      <c r="H47" s="125" t="s">
        <v>178</v>
      </c>
      <c r="I47" s="126">
        <v>2</v>
      </c>
      <c r="J47" s="140" t="s">
        <v>177</v>
      </c>
      <c r="K47" s="127" t="s">
        <v>160</v>
      </c>
      <c r="L47" s="128">
        <v>1</v>
      </c>
      <c r="M47" s="129">
        <f t="shared" ref="M47" si="25">I47*L47</f>
        <v>2</v>
      </c>
      <c r="N47" s="249" t="s">
        <v>1548</v>
      </c>
      <c r="O47" s="70" t="s">
        <v>101</v>
      </c>
      <c r="P47" s="128">
        <v>5</v>
      </c>
      <c r="Q47" s="130">
        <f t="shared" ref="Q47" si="26">I47*L47*P47</f>
        <v>10</v>
      </c>
      <c r="R47" s="70" t="s">
        <v>101</v>
      </c>
      <c r="S47" s="70" t="s">
        <v>101</v>
      </c>
      <c r="T47" s="138"/>
      <c r="U47" s="139"/>
      <c r="V47" s="131"/>
      <c r="W47" s="138"/>
      <c r="X47" s="139"/>
      <c r="Y47" s="139"/>
      <c r="Z47" s="131"/>
      <c r="AA47" s="132"/>
      <c r="AB47" s="112"/>
      <c r="AC47" s="79"/>
      <c r="AD47" s="122">
        <f t="shared" si="0"/>
        <v>-5088</v>
      </c>
    </row>
    <row r="48" spans="1:30" ht="230.25" outlineLevel="2" thickBot="1" x14ac:dyDescent="0.25">
      <c r="A48" s="118" t="s">
        <v>807</v>
      </c>
      <c r="B48" s="359"/>
      <c r="C48" s="325"/>
      <c r="D48" s="354"/>
      <c r="E48" s="136" t="s">
        <v>734</v>
      </c>
      <c r="F48" s="136" t="s">
        <v>1524</v>
      </c>
      <c r="G48" s="243" t="s">
        <v>242</v>
      </c>
      <c r="H48" s="125" t="s">
        <v>178</v>
      </c>
      <c r="I48" s="126">
        <v>2</v>
      </c>
      <c r="J48" s="140" t="s">
        <v>177</v>
      </c>
      <c r="K48" s="127" t="s">
        <v>160</v>
      </c>
      <c r="L48" s="128">
        <v>1</v>
      </c>
      <c r="M48" s="129">
        <f t="shared" ref="M48:M49" si="27">I48*L48</f>
        <v>2</v>
      </c>
      <c r="N48" s="249" t="s">
        <v>1548</v>
      </c>
      <c r="O48" s="70" t="s">
        <v>101</v>
      </c>
      <c r="P48" s="128">
        <v>5</v>
      </c>
      <c r="Q48" s="130">
        <f t="shared" ref="Q48:Q49" si="28">I48*L48*P48</f>
        <v>10</v>
      </c>
      <c r="R48" s="70" t="s">
        <v>101</v>
      </c>
      <c r="S48" s="70" t="s">
        <v>101</v>
      </c>
      <c r="T48" s="138"/>
      <c r="U48" s="139"/>
      <c r="V48" s="131"/>
      <c r="W48" s="138"/>
      <c r="X48" s="139"/>
      <c r="Y48" s="139"/>
      <c r="Z48" s="131"/>
      <c r="AA48" s="132"/>
      <c r="AB48" s="112"/>
      <c r="AC48" s="79"/>
      <c r="AD48" s="122">
        <f t="shared" si="0"/>
        <v>-5089</v>
      </c>
    </row>
    <row r="49" spans="1:30" ht="230.25" outlineLevel="2" thickBot="1" x14ac:dyDescent="0.25">
      <c r="A49" s="118" t="s">
        <v>808</v>
      </c>
      <c r="B49" s="309"/>
      <c r="C49" s="313"/>
      <c r="D49" s="352"/>
      <c r="E49" s="136" t="s">
        <v>733</v>
      </c>
      <c r="F49" s="136" t="s">
        <v>1525</v>
      </c>
      <c r="G49" s="243" t="s">
        <v>242</v>
      </c>
      <c r="H49" s="125" t="s">
        <v>178</v>
      </c>
      <c r="I49" s="126">
        <v>2</v>
      </c>
      <c r="J49" s="140" t="s">
        <v>177</v>
      </c>
      <c r="K49" s="127" t="s">
        <v>160</v>
      </c>
      <c r="L49" s="128">
        <v>1</v>
      </c>
      <c r="M49" s="129">
        <f t="shared" si="27"/>
        <v>2</v>
      </c>
      <c r="N49" s="249" t="s">
        <v>1548</v>
      </c>
      <c r="O49" s="70" t="s">
        <v>101</v>
      </c>
      <c r="P49" s="128">
        <v>5</v>
      </c>
      <c r="Q49" s="130">
        <f t="shared" si="28"/>
        <v>10</v>
      </c>
      <c r="R49" s="70" t="s">
        <v>101</v>
      </c>
      <c r="S49" s="70" t="s">
        <v>101</v>
      </c>
      <c r="T49" s="138"/>
      <c r="U49" s="139"/>
      <c r="V49" s="131"/>
      <c r="W49" s="138"/>
      <c r="X49" s="139"/>
      <c r="Y49" s="139"/>
      <c r="Z49" s="131"/>
      <c r="AA49" s="132"/>
      <c r="AB49" s="112"/>
      <c r="AC49" s="79"/>
      <c r="AD49" s="122">
        <f t="shared" si="0"/>
        <v>-5090</v>
      </c>
    </row>
    <row r="50" spans="1:30" ht="230.25" outlineLevel="2" thickBot="1" x14ac:dyDescent="0.25">
      <c r="A50" s="118" t="s">
        <v>313</v>
      </c>
      <c r="B50" s="136" t="s">
        <v>534</v>
      </c>
      <c r="C50" s="310" t="s">
        <v>986</v>
      </c>
      <c r="D50" s="136" t="s">
        <v>209</v>
      </c>
      <c r="E50" s="136" t="s">
        <v>163</v>
      </c>
      <c r="F50" s="136" t="s">
        <v>1526</v>
      </c>
      <c r="G50" s="243" t="s">
        <v>242</v>
      </c>
      <c r="H50" s="125" t="s">
        <v>178</v>
      </c>
      <c r="I50" s="126">
        <v>2</v>
      </c>
      <c r="J50" s="140" t="s">
        <v>177</v>
      </c>
      <c r="K50" s="127" t="s">
        <v>160</v>
      </c>
      <c r="L50" s="128">
        <v>1</v>
      </c>
      <c r="M50" s="129">
        <f t="shared" si="4"/>
        <v>2</v>
      </c>
      <c r="N50" s="249" t="s">
        <v>1548</v>
      </c>
      <c r="O50" s="70" t="s">
        <v>101</v>
      </c>
      <c r="P50" s="128">
        <v>5</v>
      </c>
      <c r="Q50" s="130">
        <f t="shared" si="2"/>
        <v>10</v>
      </c>
      <c r="R50" s="70" t="s">
        <v>101</v>
      </c>
      <c r="S50" s="70" t="s">
        <v>101</v>
      </c>
      <c r="T50" s="138"/>
      <c r="U50" s="139"/>
      <c r="V50" s="131"/>
      <c r="W50" s="138"/>
      <c r="X50" s="139"/>
      <c r="Y50" s="139"/>
      <c r="Z50" s="131"/>
      <c r="AA50" s="132"/>
      <c r="AB50" s="112"/>
      <c r="AC50" s="79"/>
      <c r="AD50" s="122">
        <f t="shared" si="0"/>
        <v>-1326</v>
      </c>
    </row>
    <row r="51" spans="1:30" ht="230.25" outlineLevel="2" thickBot="1" x14ac:dyDescent="0.25">
      <c r="A51" s="118" t="s">
        <v>809</v>
      </c>
      <c r="B51" s="136"/>
      <c r="C51" s="313"/>
      <c r="D51" s="136"/>
      <c r="E51" s="136" t="s">
        <v>197</v>
      </c>
      <c r="F51" s="136" t="s">
        <v>1526</v>
      </c>
      <c r="G51" s="243" t="s">
        <v>242</v>
      </c>
      <c r="H51" s="125" t="s">
        <v>178</v>
      </c>
      <c r="I51" s="126">
        <v>2</v>
      </c>
      <c r="J51" s="140" t="s">
        <v>177</v>
      </c>
      <c r="K51" s="127" t="s">
        <v>160</v>
      </c>
      <c r="L51" s="128">
        <v>1</v>
      </c>
      <c r="M51" s="129">
        <f t="shared" ref="M51" si="29">I51*L51</f>
        <v>2</v>
      </c>
      <c r="N51" s="249" t="s">
        <v>1548</v>
      </c>
      <c r="O51" s="70" t="s">
        <v>101</v>
      </c>
      <c r="P51" s="128">
        <v>5</v>
      </c>
      <c r="Q51" s="130">
        <f t="shared" ref="Q51" si="30">I51*L51*P51</f>
        <v>10</v>
      </c>
      <c r="R51" s="70" t="s">
        <v>101</v>
      </c>
      <c r="S51" s="70" t="s">
        <v>101</v>
      </c>
      <c r="T51" s="138"/>
      <c r="U51" s="139"/>
      <c r="V51" s="131"/>
      <c r="W51" s="138"/>
      <c r="X51" s="139"/>
      <c r="Y51" s="139"/>
      <c r="Z51" s="131"/>
      <c r="AA51" s="132"/>
      <c r="AB51" s="112"/>
      <c r="AC51" s="79"/>
      <c r="AD51" s="122">
        <f t="shared" si="0"/>
        <v>-5091</v>
      </c>
    </row>
    <row r="52" spans="1:30" ht="230.25" outlineLevel="2" thickBot="1" x14ac:dyDescent="0.25">
      <c r="A52" s="118" t="s">
        <v>314</v>
      </c>
      <c r="B52" s="348" t="s">
        <v>535</v>
      </c>
      <c r="C52" s="310" t="s">
        <v>987</v>
      </c>
      <c r="D52" s="351" t="s">
        <v>531</v>
      </c>
      <c r="E52" s="136" t="s">
        <v>163</v>
      </c>
      <c r="F52" s="136" t="s">
        <v>220</v>
      </c>
      <c r="G52" s="243" t="s">
        <v>242</v>
      </c>
      <c r="H52" s="125" t="s">
        <v>178</v>
      </c>
      <c r="I52" s="126">
        <v>1</v>
      </c>
      <c r="J52" s="140" t="s">
        <v>177</v>
      </c>
      <c r="K52" s="127" t="s">
        <v>160</v>
      </c>
      <c r="L52" s="128">
        <v>2</v>
      </c>
      <c r="M52" s="129">
        <f t="shared" si="4"/>
        <v>2</v>
      </c>
      <c r="N52" s="249" t="s">
        <v>1548</v>
      </c>
      <c r="O52" s="70" t="s">
        <v>101</v>
      </c>
      <c r="P52" s="128">
        <v>5</v>
      </c>
      <c r="Q52" s="130">
        <f t="shared" si="2"/>
        <v>10</v>
      </c>
      <c r="R52" s="70" t="s">
        <v>101</v>
      </c>
      <c r="S52" s="70" t="s">
        <v>101</v>
      </c>
      <c r="T52" s="138"/>
      <c r="U52" s="139"/>
      <c r="V52" s="131"/>
      <c r="W52" s="138"/>
      <c r="X52" s="139"/>
      <c r="Y52" s="139"/>
      <c r="Z52" s="131"/>
      <c r="AA52" s="132"/>
      <c r="AB52" s="112"/>
      <c r="AC52" s="79"/>
      <c r="AD52" s="122">
        <f t="shared" si="0"/>
        <v>-1327</v>
      </c>
    </row>
    <row r="53" spans="1:30" s="121" customFormat="1" ht="230.25" outlineLevel="2" thickBot="1" x14ac:dyDescent="0.25">
      <c r="A53" s="118" t="s">
        <v>810</v>
      </c>
      <c r="B53" s="309"/>
      <c r="C53" s="313"/>
      <c r="D53" s="352"/>
      <c r="E53" s="136" t="s">
        <v>197</v>
      </c>
      <c r="F53" s="136" t="s">
        <v>1526</v>
      </c>
      <c r="G53" s="243" t="s">
        <v>242</v>
      </c>
      <c r="H53" s="125" t="s">
        <v>178</v>
      </c>
      <c r="I53" s="126">
        <v>2</v>
      </c>
      <c r="J53" s="140" t="s">
        <v>177</v>
      </c>
      <c r="K53" s="127" t="s">
        <v>160</v>
      </c>
      <c r="L53" s="128">
        <v>1</v>
      </c>
      <c r="M53" s="174">
        <f t="shared" si="4"/>
        <v>2</v>
      </c>
      <c r="N53" s="249" t="s">
        <v>1548</v>
      </c>
      <c r="O53" s="175" t="s">
        <v>101</v>
      </c>
      <c r="P53" s="128">
        <v>5</v>
      </c>
      <c r="Q53" s="176">
        <f t="shared" si="2"/>
        <v>10</v>
      </c>
      <c r="R53" s="70" t="s">
        <v>101</v>
      </c>
      <c r="S53" s="70" t="s">
        <v>101</v>
      </c>
      <c r="T53" s="135"/>
      <c r="U53" s="195" t="s">
        <v>893</v>
      </c>
      <c r="V53" s="178"/>
      <c r="W53" s="135"/>
      <c r="X53" s="136"/>
      <c r="Y53" s="136"/>
      <c r="Z53" s="178"/>
      <c r="AA53" s="179"/>
      <c r="AB53" s="180"/>
      <c r="AD53" s="122">
        <f t="shared" si="0"/>
        <v>-5092</v>
      </c>
    </row>
    <row r="54" spans="1:30" s="121" customFormat="1" ht="230.25" outlineLevel="2" thickBot="1" x14ac:dyDescent="0.25">
      <c r="A54" s="118" t="s">
        <v>315</v>
      </c>
      <c r="B54" s="348" t="s">
        <v>536</v>
      </c>
      <c r="C54" s="310" t="s">
        <v>988</v>
      </c>
      <c r="D54" s="351" t="s">
        <v>525</v>
      </c>
      <c r="E54" s="136" t="s">
        <v>498</v>
      </c>
      <c r="F54" s="136" t="s">
        <v>1459</v>
      </c>
      <c r="G54" s="243" t="s">
        <v>242</v>
      </c>
      <c r="H54" s="125" t="s">
        <v>178</v>
      </c>
      <c r="I54" s="126">
        <v>2</v>
      </c>
      <c r="J54" s="140" t="s">
        <v>177</v>
      </c>
      <c r="K54" s="127" t="s">
        <v>160</v>
      </c>
      <c r="L54" s="128">
        <v>1</v>
      </c>
      <c r="M54" s="174">
        <f t="shared" si="4"/>
        <v>2</v>
      </c>
      <c r="N54" s="249" t="s">
        <v>1548</v>
      </c>
      <c r="O54" s="175" t="s">
        <v>101</v>
      </c>
      <c r="P54" s="128">
        <v>5</v>
      </c>
      <c r="Q54" s="176">
        <f t="shared" si="2"/>
        <v>10</v>
      </c>
      <c r="R54" s="70" t="s">
        <v>101</v>
      </c>
      <c r="S54" s="70" t="s">
        <v>101</v>
      </c>
      <c r="T54" s="135"/>
      <c r="U54" s="195" t="s">
        <v>916</v>
      </c>
      <c r="V54" s="178"/>
      <c r="W54" s="135"/>
      <c r="X54" s="136"/>
      <c r="Y54" s="136"/>
      <c r="Z54" s="178"/>
      <c r="AA54" s="179"/>
      <c r="AB54" s="180"/>
      <c r="AD54" s="122">
        <f t="shared" si="0"/>
        <v>-1328</v>
      </c>
    </row>
    <row r="55" spans="1:30" ht="230.25" outlineLevel="2" thickBot="1" x14ac:dyDescent="0.25">
      <c r="A55" s="118" t="s">
        <v>811</v>
      </c>
      <c r="B55" s="359"/>
      <c r="C55" s="325"/>
      <c r="D55" s="354"/>
      <c r="E55" s="136" t="s">
        <v>732</v>
      </c>
      <c r="F55" s="136" t="s">
        <v>1458</v>
      </c>
      <c r="G55" s="243" t="s">
        <v>242</v>
      </c>
      <c r="H55" s="125" t="s">
        <v>178</v>
      </c>
      <c r="I55" s="126">
        <v>2</v>
      </c>
      <c r="J55" s="140" t="s">
        <v>177</v>
      </c>
      <c r="K55" s="127" t="s">
        <v>160</v>
      </c>
      <c r="L55" s="128">
        <v>1</v>
      </c>
      <c r="M55" s="129">
        <f t="shared" ref="M55:M57" si="31">I55*L55</f>
        <v>2</v>
      </c>
      <c r="N55" s="249" t="s">
        <v>1548</v>
      </c>
      <c r="O55" s="70" t="s">
        <v>101</v>
      </c>
      <c r="P55" s="128">
        <v>5</v>
      </c>
      <c r="Q55" s="130">
        <f t="shared" ref="Q55:Q57" si="32">I55*L55*P55</f>
        <v>10</v>
      </c>
      <c r="R55" s="70" t="s">
        <v>101</v>
      </c>
      <c r="S55" s="70" t="s">
        <v>101</v>
      </c>
      <c r="T55" s="138"/>
      <c r="U55" s="139"/>
      <c r="V55" s="131"/>
      <c r="W55" s="138"/>
      <c r="X55" s="139"/>
      <c r="Y55" s="139"/>
      <c r="Z55" s="131"/>
      <c r="AA55" s="132"/>
      <c r="AB55" s="112"/>
      <c r="AC55" s="79"/>
      <c r="AD55" s="122">
        <f t="shared" si="0"/>
        <v>-5093</v>
      </c>
    </row>
    <row r="56" spans="1:30" s="121" customFormat="1" ht="230.25" outlineLevel="2" thickBot="1" x14ac:dyDescent="0.25">
      <c r="A56" s="118" t="s">
        <v>812</v>
      </c>
      <c r="B56" s="359"/>
      <c r="C56" s="325"/>
      <c r="D56" s="354"/>
      <c r="E56" s="136" t="s">
        <v>734</v>
      </c>
      <c r="F56" s="136" t="s">
        <v>1458</v>
      </c>
      <c r="G56" s="243" t="s">
        <v>242</v>
      </c>
      <c r="H56" s="125" t="s">
        <v>178</v>
      </c>
      <c r="I56" s="126">
        <v>2</v>
      </c>
      <c r="J56" s="140" t="s">
        <v>177</v>
      </c>
      <c r="K56" s="127" t="s">
        <v>160</v>
      </c>
      <c r="L56" s="128">
        <v>1</v>
      </c>
      <c r="M56" s="174">
        <f t="shared" si="31"/>
        <v>2</v>
      </c>
      <c r="N56" s="249" t="s">
        <v>1548</v>
      </c>
      <c r="O56" s="175" t="s">
        <v>101</v>
      </c>
      <c r="P56" s="128">
        <v>5</v>
      </c>
      <c r="Q56" s="176">
        <f t="shared" si="32"/>
        <v>10</v>
      </c>
      <c r="R56" s="70" t="s">
        <v>101</v>
      </c>
      <c r="S56" s="70" t="s">
        <v>101</v>
      </c>
      <c r="T56" s="135"/>
      <c r="U56" s="195" t="s">
        <v>917</v>
      </c>
      <c r="V56" s="178"/>
      <c r="W56" s="135"/>
      <c r="X56" s="136"/>
      <c r="Y56" s="136"/>
      <c r="Z56" s="178"/>
      <c r="AA56" s="179"/>
      <c r="AB56" s="180"/>
      <c r="AD56" s="122">
        <f t="shared" si="0"/>
        <v>-5094</v>
      </c>
    </row>
    <row r="57" spans="1:30" ht="230.25" outlineLevel="2" thickBot="1" x14ac:dyDescent="0.25">
      <c r="A57" s="118" t="s">
        <v>813</v>
      </c>
      <c r="B57" s="309"/>
      <c r="C57" s="313"/>
      <c r="D57" s="352"/>
      <c r="E57" s="136" t="s">
        <v>752</v>
      </c>
      <c r="F57" s="136" t="s">
        <v>1458</v>
      </c>
      <c r="G57" s="243" t="s">
        <v>242</v>
      </c>
      <c r="H57" s="125" t="s">
        <v>178</v>
      </c>
      <c r="I57" s="126">
        <v>2</v>
      </c>
      <c r="J57" s="140" t="s">
        <v>177</v>
      </c>
      <c r="K57" s="127" t="s">
        <v>160</v>
      </c>
      <c r="L57" s="128">
        <v>1</v>
      </c>
      <c r="M57" s="129">
        <f t="shared" si="31"/>
        <v>2</v>
      </c>
      <c r="N57" s="249" t="s">
        <v>1548</v>
      </c>
      <c r="O57" s="70" t="s">
        <v>101</v>
      </c>
      <c r="P57" s="128">
        <v>5</v>
      </c>
      <c r="Q57" s="130">
        <f t="shared" si="32"/>
        <v>10</v>
      </c>
      <c r="R57" s="70" t="s">
        <v>101</v>
      </c>
      <c r="S57" s="70" t="s">
        <v>101</v>
      </c>
      <c r="T57" s="138"/>
      <c r="U57" s="139"/>
      <c r="V57" s="131"/>
      <c r="W57" s="138"/>
      <c r="X57" s="139"/>
      <c r="Y57" s="139"/>
      <c r="Z57" s="131"/>
      <c r="AA57" s="132"/>
      <c r="AB57" s="112"/>
      <c r="AC57" s="79"/>
      <c r="AD57" s="122">
        <f t="shared" si="0"/>
        <v>-5095</v>
      </c>
    </row>
    <row r="58" spans="1:30" ht="230.25" outlineLevel="2" thickBot="1" x14ac:dyDescent="0.25">
      <c r="A58" s="118" t="s">
        <v>316</v>
      </c>
      <c r="B58" s="136" t="s">
        <v>537</v>
      </c>
      <c r="C58" s="310" t="s">
        <v>989</v>
      </c>
      <c r="D58" s="136" t="s">
        <v>538</v>
      </c>
      <c r="E58" s="136" t="s">
        <v>156</v>
      </c>
      <c r="F58" s="136" t="s">
        <v>1458</v>
      </c>
      <c r="G58" s="243" t="s">
        <v>242</v>
      </c>
      <c r="H58" s="125" t="s">
        <v>178</v>
      </c>
      <c r="I58" s="126">
        <v>2</v>
      </c>
      <c r="J58" s="140" t="s">
        <v>177</v>
      </c>
      <c r="K58" s="127" t="s">
        <v>160</v>
      </c>
      <c r="L58" s="128">
        <v>1</v>
      </c>
      <c r="M58" s="129">
        <f t="shared" si="4"/>
        <v>2</v>
      </c>
      <c r="N58" s="249" t="s">
        <v>1548</v>
      </c>
      <c r="O58" s="70" t="s">
        <v>101</v>
      </c>
      <c r="P58" s="128">
        <v>5</v>
      </c>
      <c r="Q58" s="130">
        <f t="shared" si="2"/>
        <v>10</v>
      </c>
      <c r="R58" s="70" t="s">
        <v>101</v>
      </c>
      <c r="S58" s="70" t="s">
        <v>101</v>
      </c>
      <c r="T58" s="138"/>
      <c r="U58" s="139"/>
      <c r="V58" s="131"/>
      <c r="W58" s="138"/>
      <c r="X58" s="139"/>
      <c r="Y58" s="139"/>
      <c r="Z58" s="131"/>
      <c r="AA58" s="132"/>
      <c r="AB58" s="112"/>
      <c r="AC58" s="79"/>
      <c r="AD58" s="122">
        <f t="shared" si="0"/>
        <v>-1329</v>
      </c>
    </row>
    <row r="59" spans="1:30" ht="230.25" outlineLevel="2" thickBot="1" x14ac:dyDescent="0.25">
      <c r="A59" s="118" t="s">
        <v>814</v>
      </c>
      <c r="B59" s="136"/>
      <c r="C59" s="313"/>
      <c r="D59" s="136"/>
      <c r="E59" s="136" t="s">
        <v>492</v>
      </c>
      <c r="F59" s="136" t="s">
        <v>1460</v>
      </c>
      <c r="G59" s="243" t="s">
        <v>242</v>
      </c>
      <c r="H59" s="125" t="s">
        <v>178</v>
      </c>
      <c r="I59" s="126">
        <v>2</v>
      </c>
      <c r="J59" s="140" t="s">
        <v>177</v>
      </c>
      <c r="K59" s="127" t="s">
        <v>160</v>
      </c>
      <c r="L59" s="128">
        <v>1</v>
      </c>
      <c r="M59" s="129">
        <f t="shared" ref="M59" si="33">I59*L59</f>
        <v>2</v>
      </c>
      <c r="N59" s="249" t="s">
        <v>1548</v>
      </c>
      <c r="O59" s="70" t="s">
        <v>101</v>
      </c>
      <c r="P59" s="128">
        <v>5</v>
      </c>
      <c r="Q59" s="130">
        <f t="shared" ref="Q59" si="34">I59*L59*P59</f>
        <v>10</v>
      </c>
      <c r="R59" s="70" t="s">
        <v>101</v>
      </c>
      <c r="S59" s="70" t="s">
        <v>101</v>
      </c>
      <c r="T59" s="138"/>
      <c r="U59" s="139"/>
      <c r="V59" s="131"/>
      <c r="W59" s="138"/>
      <c r="X59" s="139"/>
      <c r="Y59" s="139"/>
      <c r="Z59" s="131"/>
      <c r="AA59" s="132"/>
      <c r="AB59" s="112"/>
      <c r="AC59" s="79"/>
      <c r="AD59" s="122">
        <f t="shared" si="0"/>
        <v>-5096</v>
      </c>
    </row>
    <row r="60" spans="1:30" ht="230.25" outlineLevel="2" thickBot="1" x14ac:dyDescent="0.25">
      <c r="A60" s="118" t="s">
        <v>317</v>
      </c>
      <c r="B60" s="136" t="s">
        <v>539</v>
      </c>
      <c r="C60" s="310" t="s">
        <v>990</v>
      </c>
      <c r="D60" s="136" t="s">
        <v>531</v>
      </c>
      <c r="E60" s="136" t="s">
        <v>163</v>
      </c>
      <c r="F60" s="136" t="s">
        <v>220</v>
      </c>
      <c r="G60" s="243" t="s">
        <v>242</v>
      </c>
      <c r="H60" s="125" t="s">
        <v>178</v>
      </c>
      <c r="I60" s="126">
        <v>1</v>
      </c>
      <c r="J60" s="140" t="s">
        <v>177</v>
      </c>
      <c r="K60" s="127" t="s">
        <v>160</v>
      </c>
      <c r="L60" s="128">
        <v>2</v>
      </c>
      <c r="M60" s="129">
        <f t="shared" si="4"/>
        <v>2</v>
      </c>
      <c r="N60" s="249" t="s">
        <v>1548</v>
      </c>
      <c r="O60" s="70" t="s">
        <v>101</v>
      </c>
      <c r="P60" s="128">
        <v>5</v>
      </c>
      <c r="Q60" s="130">
        <f t="shared" si="2"/>
        <v>10</v>
      </c>
      <c r="R60" s="70" t="s">
        <v>101</v>
      </c>
      <c r="S60" s="70" t="s">
        <v>101</v>
      </c>
      <c r="T60" s="138"/>
      <c r="U60" s="139"/>
      <c r="V60" s="131"/>
      <c r="W60" s="138"/>
      <c r="X60" s="139"/>
      <c r="Y60" s="139"/>
      <c r="Z60" s="131"/>
      <c r="AA60" s="132"/>
      <c r="AB60" s="112"/>
      <c r="AC60" s="79"/>
      <c r="AD60" s="122">
        <f t="shared" si="0"/>
        <v>-1330</v>
      </c>
    </row>
    <row r="61" spans="1:30" ht="255.75" outlineLevel="2" thickBot="1" x14ac:dyDescent="0.25">
      <c r="A61" s="118" t="s">
        <v>815</v>
      </c>
      <c r="B61" s="159"/>
      <c r="C61" s="313"/>
      <c r="D61" s="201"/>
      <c r="E61" s="136" t="s">
        <v>197</v>
      </c>
      <c r="F61" s="136" t="s">
        <v>753</v>
      </c>
      <c r="G61" s="243" t="s">
        <v>930</v>
      </c>
      <c r="H61" s="125" t="s">
        <v>178</v>
      </c>
      <c r="I61" s="126">
        <v>4</v>
      </c>
      <c r="J61" s="140" t="s">
        <v>177</v>
      </c>
      <c r="K61" s="127" t="s">
        <v>176</v>
      </c>
      <c r="L61" s="128">
        <v>1</v>
      </c>
      <c r="M61" s="129">
        <f>I61*L61</f>
        <v>4</v>
      </c>
      <c r="N61" s="249" t="s">
        <v>1548</v>
      </c>
      <c r="O61" s="70" t="s">
        <v>199</v>
      </c>
      <c r="P61" s="128">
        <v>1</v>
      </c>
      <c r="Q61" s="130">
        <f>I61*L61*P61</f>
        <v>4</v>
      </c>
      <c r="R61" s="138" t="s">
        <v>1469</v>
      </c>
      <c r="S61" s="138" t="s">
        <v>1549</v>
      </c>
      <c r="T61" s="138" t="s">
        <v>929</v>
      </c>
      <c r="U61" s="139"/>
      <c r="V61" s="131"/>
      <c r="W61" s="138"/>
      <c r="X61" s="139"/>
      <c r="Y61" s="139"/>
      <c r="Z61" s="131"/>
      <c r="AA61" s="132"/>
      <c r="AB61" s="112"/>
      <c r="AC61" s="79"/>
      <c r="AD61" s="122">
        <f t="shared" si="0"/>
        <v>-5097</v>
      </c>
    </row>
    <row r="62" spans="1:30" ht="230.25" outlineLevel="2" thickBot="1" x14ac:dyDescent="0.25">
      <c r="A62" s="118" t="s">
        <v>318</v>
      </c>
      <c r="B62" s="348" t="s">
        <v>540</v>
      </c>
      <c r="C62" s="310" t="s">
        <v>991</v>
      </c>
      <c r="D62" s="351" t="s">
        <v>221</v>
      </c>
      <c r="E62" s="136" t="s">
        <v>163</v>
      </c>
      <c r="F62" s="136" t="s">
        <v>952</v>
      </c>
      <c r="G62" s="243" t="s">
        <v>242</v>
      </c>
      <c r="H62" s="125" t="s">
        <v>178</v>
      </c>
      <c r="I62" s="126">
        <v>1</v>
      </c>
      <c r="J62" s="140" t="s">
        <v>177</v>
      </c>
      <c r="K62" s="127" t="s">
        <v>160</v>
      </c>
      <c r="L62" s="128">
        <v>1</v>
      </c>
      <c r="M62" s="129">
        <f t="shared" si="4"/>
        <v>1</v>
      </c>
      <c r="N62" s="249" t="s">
        <v>1548</v>
      </c>
      <c r="O62" s="70" t="s">
        <v>101</v>
      </c>
      <c r="P62" s="128">
        <v>5</v>
      </c>
      <c r="Q62" s="130">
        <f t="shared" si="2"/>
        <v>5</v>
      </c>
      <c r="R62" s="70" t="s">
        <v>101</v>
      </c>
      <c r="S62" s="70" t="s">
        <v>101</v>
      </c>
      <c r="T62" s="138"/>
      <c r="U62" s="196" t="s">
        <v>953</v>
      </c>
      <c r="V62" s="131"/>
      <c r="W62" s="138"/>
      <c r="X62" s="139"/>
      <c r="Y62" s="139"/>
      <c r="Z62" s="131"/>
      <c r="AA62" s="132"/>
      <c r="AB62" s="112"/>
      <c r="AC62" s="79"/>
      <c r="AD62" s="122">
        <f t="shared" si="0"/>
        <v>-1331</v>
      </c>
    </row>
    <row r="63" spans="1:30" ht="230.25" outlineLevel="2" thickBot="1" x14ac:dyDescent="0.25">
      <c r="A63" s="118" t="s">
        <v>816</v>
      </c>
      <c r="B63" s="359"/>
      <c r="C63" s="325"/>
      <c r="D63" s="354"/>
      <c r="E63" s="136" t="s">
        <v>164</v>
      </c>
      <c r="F63" s="136" t="s">
        <v>1458</v>
      </c>
      <c r="G63" s="243" t="s">
        <v>242</v>
      </c>
      <c r="H63" s="125" t="s">
        <v>178</v>
      </c>
      <c r="I63" s="126">
        <v>2</v>
      </c>
      <c r="J63" s="140" t="s">
        <v>177</v>
      </c>
      <c r="K63" s="127" t="s">
        <v>160</v>
      </c>
      <c r="L63" s="128">
        <v>1</v>
      </c>
      <c r="M63" s="129">
        <f t="shared" ref="M63" si="35">I63*L63</f>
        <v>2</v>
      </c>
      <c r="N63" s="249" t="s">
        <v>1548</v>
      </c>
      <c r="O63" s="70" t="s">
        <v>101</v>
      </c>
      <c r="P63" s="128">
        <v>5</v>
      </c>
      <c r="Q63" s="130">
        <f t="shared" ref="Q63" si="36">I63*L63*P63</f>
        <v>10</v>
      </c>
      <c r="R63" s="70" t="s">
        <v>101</v>
      </c>
      <c r="S63" s="70" t="s">
        <v>101</v>
      </c>
      <c r="T63" s="138"/>
      <c r="U63" s="135"/>
      <c r="V63" s="131"/>
      <c r="W63" s="138"/>
      <c r="X63" s="139"/>
      <c r="Y63" s="139"/>
      <c r="Z63" s="131"/>
      <c r="AA63" s="132"/>
      <c r="AB63" s="112"/>
      <c r="AC63" s="79"/>
      <c r="AD63" s="122">
        <f t="shared" si="0"/>
        <v>-5098</v>
      </c>
    </row>
    <row r="64" spans="1:30" ht="230.25" outlineLevel="2" thickBot="1" x14ac:dyDescent="0.25">
      <c r="A64" s="118" t="s">
        <v>319</v>
      </c>
      <c r="B64" s="359"/>
      <c r="C64" s="325"/>
      <c r="D64" s="354"/>
      <c r="E64" s="136" t="s">
        <v>156</v>
      </c>
      <c r="F64" s="136" t="s">
        <v>954</v>
      </c>
      <c r="G64" s="243" t="s">
        <v>242</v>
      </c>
      <c r="H64" s="125" t="s">
        <v>178</v>
      </c>
      <c r="I64" s="126">
        <v>1</v>
      </c>
      <c r="J64" s="140" t="s">
        <v>177</v>
      </c>
      <c r="K64" s="127" t="s">
        <v>160</v>
      </c>
      <c r="L64" s="128">
        <v>1</v>
      </c>
      <c r="M64" s="129">
        <f t="shared" si="4"/>
        <v>1</v>
      </c>
      <c r="N64" s="249" t="s">
        <v>1548</v>
      </c>
      <c r="O64" s="70" t="s">
        <v>101</v>
      </c>
      <c r="P64" s="128">
        <v>5</v>
      </c>
      <c r="Q64" s="130">
        <f t="shared" si="2"/>
        <v>5</v>
      </c>
      <c r="R64" s="70" t="s">
        <v>101</v>
      </c>
      <c r="S64" s="70" t="s">
        <v>101</v>
      </c>
      <c r="T64" s="138"/>
      <c r="U64" s="196" t="s">
        <v>955</v>
      </c>
      <c r="V64" s="131"/>
      <c r="W64" s="138"/>
      <c r="X64" s="139"/>
      <c r="Y64" s="139"/>
      <c r="Z64" s="131"/>
      <c r="AA64" s="132"/>
      <c r="AB64" s="112"/>
      <c r="AC64" s="79"/>
      <c r="AD64" s="122">
        <f t="shared" si="0"/>
        <v>-1332</v>
      </c>
    </row>
    <row r="65" spans="1:30" ht="230.25" outlineLevel="2" thickBot="1" x14ac:dyDescent="0.25">
      <c r="A65" s="118" t="s">
        <v>817</v>
      </c>
      <c r="B65" s="309"/>
      <c r="C65" s="313"/>
      <c r="D65" s="352"/>
      <c r="E65" s="136" t="s">
        <v>492</v>
      </c>
      <c r="F65" s="136" t="s">
        <v>954</v>
      </c>
      <c r="G65" s="243" t="s">
        <v>242</v>
      </c>
      <c r="H65" s="125" t="s">
        <v>178</v>
      </c>
      <c r="I65" s="126">
        <v>1</v>
      </c>
      <c r="J65" s="140" t="s">
        <v>177</v>
      </c>
      <c r="K65" s="127" t="s">
        <v>160</v>
      </c>
      <c r="L65" s="128">
        <v>1</v>
      </c>
      <c r="M65" s="129">
        <f t="shared" ref="M65" si="37">I65*L65</f>
        <v>1</v>
      </c>
      <c r="N65" s="249" t="s">
        <v>1548</v>
      </c>
      <c r="O65" s="70" t="s">
        <v>101</v>
      </c>
      <c r="P65" s="128">
        <v>5</v>
      </c>
      <c r="Q65" s="130">
        <f t="shared" ref="Q65" si="38">I65*L65*P65</f>
        <v>5</v>
      </c>
      <c r="R65" s="70" t="s">
        <v>101</v>
      </c>
      <c r="S65" s="70" t="s">
        <v>101</v>
      </c>
      <c r="T65" s="138"/>
      <c r="U65" s="196" t="s">
        <v>956</v>
      </c>
      <c r="V65" s="131"/>
      <c r="W65" s="138"/>
      <c r="X65" s="139"/>
      <c r="Y65" s="139"/>
      <c r="Z65" s="131"/>
      <c r="AA65" s="132"/>
      <c r="AB65" s="112"/>
      <c r="AC65" s="79"/>
      <c r="AD65" s="122">
        <f t="shared" si="0"/>
        <v>-5099</v>
      </c>
    </row>
    <row r="66" spans="1:30" ht="230.25" outlineLevel="2" thickBot="1" x14ac:dyDescent="0.25">
      <c r="A66" s="118" t="s">
        <v>320</v>
      </c>
      <c r="B66" s="136" t="s">
        <v>881</v>
      </c>
      <c r="C66" s="310" t="s">
        <v>994</v>
      </c>
      <c r="D66" s="136" t="s">
        <v>187</v>
      </c>
      <c r="E66" s="136" t="s">
        <v>222</v>
      </c>
      <c r="F66" s="136" t="s">
        <v>1458</v>
      </c>
      <c r="G66" s="243" t="s">
        <v>242</v>
      </c>
      <c r="H66" s="125" t="s">
        <v>178</v>
      </c>
      <c r="I66" s="126">
        <v>2</v>
      </c>
      <c r="J66" s="140" t="s">
        <v>177</v>
      </c>
      <c r="K66" s="127" t="s">
        <v>160</v>
      </c>
      <c r="L66" s="128">
        <v>1</v>
      </c>
      <c r="M66" s="129">
        <f t="shared" si="4"/>
        <v>2</v>
      </c>
      <c r="N66" s="249" t="s">
        <v>1548</v>
      </c>
      <c r="O66" s="70" t="s">
        <v>101</v>
      </c>
      <c r="P66" s="128">
        <v>5</v>
      </c>
      <c r="Q66" s="130">
        <f t="shared" si="2"/>
        <v>10</v>
      </c>
      <c r="R66" s="70" t="s">
        <v>101</v>
      </c>
      <c r="S66" s="70" t="s">
        <v>101</v>
      </c>
      <c r="T66" s="138"/>
      <c r="U66" s="139"/>
      <c r="V66" s="131"/>
      <c r="W66" s="138"/>
      <c r="X66" s="139"/>
      <c r="Y66" s="139"/>
      <c r="Z66" s="131"/>
      <c r="AA66" s="132"/>
      <c r="AB66" s="112"/>
      <c r="AC66" s="79"/>
      <c r="AD66" s="122">
        <f t="shared" si="0"/>
        <v>-1333</v>
      </c>
    </row>
    <row r="67" spans="1:30" ht="230.25" outlineLevel="2" thickBot="1" x14ac:dyDescent="0.25">
      <c r="A67" s="118" t="s">
        <v>818</v>
      </c>
      <c r="B67" s="136"/>
      <c r="C67" s="313"/>
      <c r="D67" s="136"/>
      <c r="E67" s="136" t="s">
        <v>754</v>
      </c>
      <c r="F67" s="136" t="s">
        <v>1458</v>
      </c>
      <c r="G67" s="243" t="s">
        <v>242</v>
      </c>
      <c r="H67" s="125" t="s">
        <v>178</v>
      </c>
      <c r="I67" s="126">
        <v>2</v>
      </c>
      <c r="J67" s="140" t="s">
        <v>177</v>
      </c>
      <c r="K67" s="127" t="s">
        <v>160</v>
      </c>
      <c r="L67" s="128">
        <v>1</v>
      </c>
      <c r="M67" s="129">
        <f t="shared" ref="M67" si="39">I67*L67</f>
        <v>2</v>
      </c>
      <c r="N67" s="249" t="s">
        <v>1548</v>
      </c>
      <c r="O67" s="70" t="s">
        <v>101</v>
      </c>
      <c r="P67" s="128">
        <v>5</v>
      </c>
      <c r="Q67" s="130">
        <f t="shared" ref="Q67" si="40">I67*L67*P67</f>
        <v>10</v>
      </c>
      <c r="R67" s="70" t="s">
        <v>101</v>
      </c>
      <c r="S67" s="70" t="s">
        <v>101</v>
      </c>
      <c r="T67" s="138"/>
      <c r="U67" s="139"/>
      <c r="V67" s="131"/>
      <c r="W67" s="138"/>
      <c r="X67" s="139"/>
      <c r="Y67" s="139"/>
      <c r="Z67" s="131"/>
      <c r="AA67" s="132"/>
      <c r="AB67" s="112"/>
      <c r="AC67" s="79"/>
      <c r="AD67" s="122">
        <f t="shared" si="0"/>
        <v>-5100</v>
      </c>
    </row>
    <row r="68" spans="1:30" ht="230.25" outlineLevel="2" thickBot="1" x14ac:dyDescent="0.25">
      <c r="A68" s="118" t="s">
        <v>321</v>
      </c>
      <c r="B68" s="136" t="s">
        <v>541</v>
      </c>
      <c r="C68" s="310" t="s">
        <v>992</v>
      </c>
      <c r="D68" s="136" t="s">
        <v>542</v>
      </c>
      <c r="E68" s="136" t="s">
        <v>165</v>
      </c>
      <c r="F68" s="136" t="s">
        <v>1458</v>
      </c>
      <c r="G68" s="243" t="s">
        <v>242</v>
      </c>
      <c r="H68" s="125" t="s">
        <v>178</v>
      </c>
      <c r="I68" s="126">
        <v>2</v>
      </c>
      <c r="J68" s="140" t="s">
        <v>177</v>
      </c>
      <c r="K68" s="127" t="s">
        <v>160</v>
      </c>
      <c r="L68" s="128">
        <v>2</v>
      </c>
      <c r="M68" s="129">
        <f t="shared" si="4"/>
        <v>4</v>
      </c>
      <c r="N68" s="249" t="s">
        <v>1548</v>
      </c>
      <c r="O68" s="70" t="s">
        <v>101</v>
      </c>
      <c r="P68" s="128">
        <v>5</v>
      </c>
      <c r="Q68" s="130">
        <f t="shared" si="2"/>
        <v>20</v>
      </c>
      <c r="R68" s="70" t="s">
        <v>101</v>
      </c>
      <c r="S68" s="70" t="s">
        <v>101</v>
      </c>
      <c r="T68" s="138"/>
      <c r="U68" s="139"/>
      <c r="V68" s="131"/>
      <c r="W68" s="138"/>
      <c r="X68" s="139"/>
      <c r="Y68" s="139"/>
      <c r="Z68" s="131"/>
      <c r="AA68" s="132"/>
      <c r="AB68" s="112"/>
      <c r="AC68" s="79"/>
      <c r="AD68" s="122">
        <f t="shared" ref="AD68:AD131" si="41">VALUE(RIGHT((IF(A68="",0,A68)),5))</f>
        <v>-1334</v>
      </c>
    </row>
    <row r="69" spans="1:30" ht="230.25" outlineLevel="2" thickBot="1" x14ac:dyDescent="0.25">
      <c r="A69" s="118" t="s">
        <v>819</v>
      </c>
      <c r="B69" s="136"/>
      <c r="C69" s="313"/>
      <c r="D69" s="136"/>
      <c r="E69" s="136" t="s">
        <v>494</v>
      </c>
      <c r="F69" s="136" t="s">
        <v>493</v>
      </c>
      <c r="G69" s="243" t="s">
        <v>242</v>
      </c>
      <c r="H69" s="125" t="s">
        <v>178</v>
      </c>
      <c r="I69" s="126">
        <v>2</v>
      </c>
      <c r="J69" s="140" t="s">
        <v>177</v>
      </c>
      <c r="K69" s="127" t="s">
        <v>160</v>
      </c>
      <c r="L69" s="128">
        <v>1</v>
      </c>
      <c r="M69" s="129">
        <f t="shared" ref="M69:M72" si="42">I69*L69</f>
        <v>2</v>
      </c>
      <c r="N69" s="249" t="s">
        <v>1548</v>
      </c>
      <c r="O69" s="70" t="s">
        <v>101</v>
      </c>
      <c r="P69" s="128">
        <v>5</v>
      </c>
      <c r="Q69" s="130">
        <f t="shared" ref="Q69:Q72" si="43">I69*L69*P69</f>
        <v>10</v>
      </c>
      <c r="R69" s="70" t="s">
        <v>101</v>
      </c>
      <c r="S69" s="70" t="s">
        <v>101</v>
      </c>
      <c r="T69" s="138"/>
      <c r="U69" s="139"/>
      <c r="V69" s="131"/>
      <c r="W69" s="138"/>
      <c r="X69" s="139"/>
      <c r="Y69" s="139"/>
      <c r="Z69" s="131"/>
      <c r="AA69" s="132"/>
      <c r="AB69" s="112"/>
      <c r="AC69" s="79"/>
      <c r="AD69" s="122">
        <f t="shared" si="41"/>
        <v>-5101</v>
      </c>
    </row>
    <row r="70" spans="1:30" ht="230.25" outlineLevel="2" thickBot="1" x14ac:dyDescent="0.25">
      <c r="A70" s="118" t="s">
        <v>1308</v>
      </c>
      <c r="B70" s="227" t="s">
        <v>1201</v>
      </c>
      <c r="C70" s="253" t="s">
        <v>1202</v>
      </c>
      <c r="D70" s="136" t="s">
        <v>1208</v>
      </c>
      <c r="E70" s="136" t="s">
        <v>154</v>
      </c>
      <c r="F70" s="136" t="s">
        <v>1527</v>
      </c>
      <c r="G70" s="243" t="s">
        <v>242</v>
      </c>
      <c r="H70" s="125" t="s">
        <v>178</v>
      </c>
      <c r="I70" s="126">
        <v>2</v>
      </c>
      <c r="J70" s="140" t="s">
        <v>177</v>
      </c>
      <c r="K70" s="127" t="s">
        <v>160</v>
      </c>
      <c r="L70" s="128">
        <v>2</v>
      </c>
      <c r="M70" s="129">
        <f t="shared" si="42"/>
        <v>4</v>
      </c>
      <c r="N70" s="249" t="s">
        <v>1548</v>
      </c>
      <c r="O70" s="70" t="s">
        <v>101</v>
      </c>
      <c r="P70" s="128">
        <v>5</v>
      </c>
      <c r="Q70" s="130">
        <f t="shared" si="43"/>
        <v>20</v>
      </c>
      <c r="R70" s="70" t="s">
        <v>101</v>
      </c>
      <c r="S70" s="70" t="s">
        <v>101</v>
      </c>
      <c r="T70" s="138"/>
      <c r="U70" s="139"/>
      <c r="V70" s="131"/>
      <c r="W70" s="138"/>
      <c r="X70" s="139"/>
      <c r="Y70" s="139"/>
      <c r="Z70" s="131"/>
      <c r="AA70" s="132"/>
      <c r="AB70" s="112"/>
      <c r="AC70" s="79"/>
      <c r="AD70" s="122">
        <f t="shared" si="41"/>
        <v>13650</v>
      </c>
    </row>
    <row r="71" spans="1:30" ht="42" customHeight="1" outlineLevel="2" thickBot="1" x14ac:dyDescent="0.25">
      <c r="A71" s="118" t="s">
        <v>1309</v>
      </c>
      <c r="B71" s="348" t="s">
        <v>1209</v>
      </c>
      <c r="C71" s="321" t="s">
        <v>1203</v>
      </c>
      <c r="D71" s="363" t="s">
        <v>1210</v>
      </c>
      <c r="E71" s="136" t="s">
        <v>1211</v>
      </c>
      <c r="F71" s="136" t="s">
        <v>1212</v>
      </c>
      <c r="G71" s="243" t="s">
        <v>242</v>
      </c>
      <c r="H71" s="125" t="s">
        <v>178</v>
      </c>
      <c r="I71" s="126">
        <v>1</v>
      </c>
      <c r="J71" s="140" t="s">
        <v>177</v>
      </c>
      <c r="K71" s="127" t="s">
        <v>160</v>
      </c>
      <c r="L71" s="128">
        <v>2</v>
      </c>
      <c r="M71" s="129">
        <f t="shared" si="42"/>
        <v>2</v>
      </c>
      <c r="N71" s="249" t="s">
        <v>1548</v>
      </c>
      <c r="O71" s="70" t="s">
        <v>101</v>
      </c>
      <c r="P71" s="128">
        <v>5</v>
      </c>
      <c r="Q71" s="130">
        <f t="shared" si="43"/>
        <v>10</v>
      </c>
      <c r="R71" s="70" t="s">
        <v>101</v>
      </c>
      <c r="S71" s="70" t="s">
        <v>101</v>
      </c>
      <c r="T71" s="138"/>
      <c r="U71" s="139"/>
      <c r="V71" s="131"/>
      <c r="W71" s="138"/>
      <c r="X71" s="139"/>
      <c r="Y71" s="139"/>
      <c r="Z71" s="131"/>
      <c r="AA71" s="132"/>
      <c r="AB71" s="112"/>
      <c r="AC71" s="79"/>
      <c r="AD71" s="122">
        <f t="shared" si="41"/>
        <v>13651</v>
      </c>
    </row>
    <row r="72" spans="1:30" ht="150" customHeight="1" outlineLevel="2" thickBot="1" x14ac:dyDescent="0.25">
      <c r="A72" s="118" t="s">
        <v>1310</v>
      </c>
      <c r="B72" s="309"/>
      <c r="C72" s="321"/>
      <c r="D72" s="363"/>
      <c r="E72" s="136" t="s">
        <v>1207</v>
      </c>
      <c r="F72" s="136" t="s">
        <v>1528</v>
      </c>
      <c r="G72" s="243" t="s">
        <v>242</v>
      </c>
      <c r="H72" s="125" t="s">
        <v>178</v>
      </c>
      <c r="I72" s="126">
        <v>2</v>
      </c>
      <c r="J72" s="140" t="s">
        <v>177</v>
      </c>
      <c r="K72" s="127" t="s">
        <v>160</v>
      </c>
      <c r="L72" s="128">
        <v>1</v>
      </c>
      <c r="M72" s="129">
        <f t="shared" si="42"/>
        <v>2</v>
      </c>
      <c r="N72" s="249" t="s">
        <v>1548</v>
      </c>
      <c r="O72" s="70" t="s">
        <v>101</v>
      </c>
      <c r="P72" s="128">
        <v>5</v>
      </c>
      <c r="Q72" s="130">
        <f t="shared" si="43"/>
        <v>10</v>
      </c>
      <c r="R72" s="70" t="s">
        <v>101</v>
      </c>
      <c r="S72" s="70" t="s">
        <v>101</v>
      </c>
      <c r="T72" s="138"/>
      <c r="U72" s="139"/>
      <c r="V72" s="131"/>
      <c r="W72" s="138"/>
      <c r="X72" s="139"/>
      <c r="Y72" s="139"/>
      <c r="Z72" s="131"/>
      <c r="AA72" s="132"/>
      <c r="AB72" s="112"/>
      <c r="AC72" s="79"/>
      <c r="AD72" s="122">
        <f t="shared" si="41"/>
        <v>13652</v>
      </c>
    </row>
    <row r="73" spans="1:30" ht="230.25" outlineLevel="2" thickBot="1" x14ac:dyDescent="0.25">
      <c r="A73" s="118" t="s">
        <v>322</v>
      </c>
      <c r="B73" s="136" t="s">
        <v>543</v>
      </c>
      <c r="C73" s="310" t="s">
        <v>993</v>
      </c>
      <c r="D73" s="136" t="s">
        <v>169</v>
      </c>
      <c r="E73" s="136" t="s">
        <v>222</v>
      </c>
      <c r="F73" s="136" t="s">
        <v>219</v>
      </c>
      <c r="G73" s="243" t="s">
        <v>242</v>
      </c>
      <c r="H73" s="125" t="s">
        <v>178</v>
      </c>
      <c r="I73" s="126">
        <v>2</v>
      </c>
      <c r="J73" s="140" t="s">
        <v>210</v>
      </c>
      <c r="K73" s="127" t="s">
        <v>160</v>
      </c>
      <c r="L73" s="128">
        <v>1</v>
      </c>
      <c r="M73" s="129">
        <f t="shared" ref="M73" si="44">I73*L73</f>
        <v>2</v>
      </c>
      <c r="N73" s="249" t="s">
        <v>1548</v>
      </c>
      <c r="O73" s="70" t="s">
        <v>101</v>
      </c>
      <c r="P73" s="128">
        <v>5</v>
      </c>
      <c r="Q73" s="130">
        <f>I73*L73*P73</f>
        <v>10</v>
      </c>
      <c r="R73" s="70" t="s">
        <v>101</v>
      </c>
      <c r="S73" s="70" t="s">
        <v>101</v>
      </c>
      <c r="T73" s="138"/>
      <c r="U73" s="139"/>
      <c r="V73" s="131"/>
      <c r="W73" s="138"/>
      <c r="X73" s="139"/>
      <c r="Y73" s="139"/>
      <c r="Z73" s="131"/>
      <c r="AA73" s="132"/>
      <c r="AB73" s="112"/>
      <c r="AC73" s="79"/>
      <c r="AD73" s="122">
        <f t="shared" si="41"/>
        <v>-1335</v>
      </c>
    </row>
    <row r="74" spans="1:30" ht="230.25" outlineLevel="2" thickBot="1" x14ac:dyDescent="0.25">
      <c r="A74" s="118" t="s">
        <v>820</v>
      </c>
      <c r="B74" s="136"/>
      <c r="C74" s="311"/>
      <c r="D74" s="136"/>
      <c r="E74" s="136" t="s">
        <v>754</v>
      </c>
      <c r="F74" s="136" t="s">
        <v>219</v>
      </c>
      <c r="G74" s="243" t="s">
        <v>242</v>
      </c>
      <c r="H74" s="125" t="s">
        <v>178</v>
      </c>
      <c r="I74" s="126">
        <v>2</v>
      </c>
      <c r="J74" s="140" t="s">
        <v>210</v>
      </c>
      <c r="K74" s="127" t="s">
        <v>160</v>
      </c>
      <c r="L74" s="128">
        <v>1</v>
      </c>
      <c r="M74" s="129">
        <f t="shared" ref="M74" si="45">I74*L74</f>
        <v>2</v>
      </c>
      <c r="N74" s="249" t="s">
        <v>1548</v>
      </c>
      <c r="O74" s="70" t="s">
        <v>101</v>
      </c>
      <c r="P74" s="128">
        <v>5</v>
      </c>
      <c r="Q74" s="130">
        <f>I74*L74*P74</f>
        <v>10</v>
      </c>
      <c r="R74" s="70" t="s">
        <v>101</v>
      </c>
      <c r="S74" s="70" t="s">
        <v>101</v>
      </c>
      <c r="T74" s="138"/>
      <c r="U74" s="139"/>
      <c r="V74" s="131"/>
      <c r="W74" s="138"/>
      <c r="X74" s="139"/>
      <c r="Y74" s="139"/>
      <c r="Z74" s="131"/>
      <c r="AA74" s="132"/>
      <c r="AB74" s="112"/>
      <c r="AC74" s="79"/>
      <c r="AD74" s="122">
        <f t="shared" si="41"/>
        <v>-5102</v>
      </c>
    </row>
    <row r="75" spans="1:30" ht="21" outlineLevel="1" thickBot="1" x14ac:dyDescent="0.25">
      <c r="A75" s="118"/>
      <c r="B75" s="161" t="s">
        <v>1563</v>
      </c>
      <c r="C75" s="254"/>
      <c r="D75" s="81"/>
      <c r="E75" s="81"/>
      <c r="F75" s="123"/>
      <c r="G75" s="81"/>
      <c r="H75" s="81"/>
      <c r="I75" s="81"/>
      <c r="J75" s="81"/>
      <c r="K75" s="81"/>
      <c r="L75" s="81"/>
      <c r="M75" s="81"/>
      <c r="N75" s="81"/>
      <c r="O75" s="81"/>
      <c r="P75" s="81"/>
      <c r="Q75" s="81"/>
      <c r="R75" s="81"/>
      <c r="S75" s="81"/>
      <c r="T75" s="81"/>
      <c r="U75" s="81"/>
      <c r="V75" s="81"/>
      <c r="W75" s="81"/>
      <c r="X75" s="81"/>
      <c r="Y75" s="81"/>
      <c r="Z75" s="81"/>
      <c r="AA75" s="81"/>
      <c r="AB75" s="82"/>
      <c r="AC75" s="79"/>
      <c r="AD75" s="122">
        <f t="shared" si="41"/>
        <v>0</v>
      </c>
    </row>
    <row r="76" spans="1:30" ht="370.5" outlineLevel="2" thickBot="1" x14ac:dyDescent="0.25">
      <c r="A76" s="160" t="s">
        <v>323</v>
      </c>
      <c r="B76" s="363" t="s">
        <v>544</v>
      </c>
      <c r="C76" s="325" t="s">
        <v>1002</v>
      </c>
      <c r="D76" s="353" t="s">
        <v>223</v>
      </c>
      <c r="E76" s="136" t="s">
        <v>224</v>
      </c>
      <c r="F76" s="136" t="s">
        <v>225</v>
      </c>
      <c r="G76" s="243" t="s">
        <v>242</v>
      </c>
      <c r="H76" s="125" t="s">
        <v>178</v>
      </c>
      <c r="I76" s="126">
        <v>3</v>
      </c>
      <c r="J76" s="140" t="s">
        <v>545</v>
      </c>
      <c r="K76" s="127" t="s">
        <v>227</v>
      </c>
      <c r="L76" s="128">
        <v>2</v>
      </c>
      <c r="M76" s="129">
        <f t="shared" ref="M76:M82" si="46">I76*L76</f>
        <v>6</v>
      </c>
      <c r="N76" s="249" t="s">
        <v>1548</v>
      </c>
      <c r="O76" s="241" t="s">
        <v>199</v>
      </c>
      <c r="P76" s="128">
        <v>3</v>
      </c>
      <c r="Q76" s="130">
        <f t="shared" ref="Q76:Q82" si="47">I76*L76*P76</f>
        <v>18</v>
      </c>
      <c r="R76" s="70" t="s">
        <v>1479</v>
      </c>
      <c r="S76" s="70" t="s">
        <v>101</v>
      </c>
      <c r="T76" s="138" t="s">
        <v>228</v>
      </c>
      <c r="U76" s="139"/>
      <c r="V76" s="131"/>
      <c r="W76" s="138"/>
      <c r="X76" s="139"/>
      <c r="Y76" s="139"/>
      <c r="Z76" s="131"/>
      <c r="AA76" s="132">
        <f>X76*Y76*Z76</f>
        <v>0</v>
      </c>
      <c r="AB76" s="112" t="s">
        <v>106</v>
      </c>
      <c r="AC76" s="79"/>
      <c r="AD76" s="122">
        <f t="shared" si="41"/>
        <v>-1337</v>
      </c>
    </row>
    <row r="77" spans="1:30" ht="268.5" outlineLevel="2" thickBot="1" x14ac:dyDescent="0.25">
      <c r="A77" s="160" t="s">
        <v>324</v>
      </c>
      <c r="B77" s="363"/>
      <c r="C77" s="313"/>
      <c r="D77" s="352"/>
      <c r="E77" s="136" t="s">
        <v>229</v>
      </c>
      <c r="F77" s="136" t="s">
        <v>1464</v>
      </c>
      <c r="G77" s="243" t="s">
        <v>1467</v>
      </c>
      <c r="H77" s="125" t="s">
        <v>188</v>
      </c>
      <c r="I77" s="126">
        <v>4</v>
      </c>
      <c r="J77" s="140" t="s">
        <v>545</v>
      </c>
      <c r="K77" s="127" t="s">
        <v>176</v>
      </c>
      <c r="L77" s="128">
        <v>2</v>
      </c>
      <c r="M77" s="129">
        <f t="shared" si="46"/>
        <v>8</v>
      </c>
      <c r="N77" s="249" t="s">
        <v>1548</v>
      </c>
      <c r="O77" s="70" t="s">
        <v>230</v>
      </c>
      <c r="P77" s="128">
        <v>2</v>
      </c>
      <c r="Q77" s="130">
        <f t="shared" si="47"/>
        <v>16</v>
      </c>
      <c r="R77" s="138" t="s">
        <v>1477</v>
      </c>
      <c r="S77" s="138" t="s">
        <v>1564</v>
      </c>
      <c r="T77" s="138" t="s">
        <v>231</v>
      </c>
      <c r="U77" s="139"/>
      <c r="V77" s="131"/>
      <c r="W77" s="138"/>
      <c r="X77" s="139"/>
      <c r="Y77" s="139"/>
      <c r="Z77" s="131"/>
      <c r="AA77" s="132">
        <f>X77*Y77*Z77</f>
        <v>0</v>
      </c>
      <c r="AB77" s="112" t="s">
        <v>106</v>
      </c>
      <c r="AC77" s="79"/>
      <c r="AD77" s="122">
        <f t="shared" si="41"/>
        <v>-1338</v>
      </c>
    </row>
    <row r="78" spans="1:30" ht="370.5" outlineLevel="2" thickBot="1" x14ac:dyDescent="0.25">
      <c r="A78" s="118" t="s">
        <v>325</v>
      </c>
      <c r="B78" s="148" t="s">
        <v>1533</v>
      </c>
      <c r="C78" s="318" t="s">
        <v>1003</v>
      </c>
      <c r="D78" s="146" t="s">
        <v>1565</v>
      </c>
      <c r="E78" s="136" t="s">
        <v>1550</v>
      </c>
      <c r="F78" s="136" t="s">
        <v>1534</v>
      </c>
      <c r="G78" s="136" t="s">
        <v>232</v>
      </c>
      <c r="H78" s="125" t="s">
        <v>178</v>
      </c>
      <c r="I78" s="126">
        <v>3</v>
      </c>
      <c r="J78" s="140" t="s">
        <v>233</v>
      </c>
      <c r="K78" s="127" t="s">
        <v>234</v>
      </c>
      <c r="L78" s="128">
        <v>2</v>
      </c>
      <c r="M78" s="129">
        <f t="shared" si="46"/>
        <v>6</v>
      </c>
      <c r="N78" s="249" t="s">
        <v>1548</v>
      </c>
      <c r="O78" s="241" t="s">
        <v>199</v>
      </c>
      <c r="P78" s="128">
        <v>3</v>
      </c>
      <c r="Q78" s="130">
        <f t="shared" si="47"/>
        <v>18</v>
      </c>
      <c r="R78" s="70" t="s">
        <v>1479</v>
      </c>
      <c r="S78" s="70" t="s">
        <v>101</v>
      </c>
      <c r="T78" s="138" t="s">
        <v>235</v>
      </c>
      <c r="U78" s="139"/>
      <c r="V78" s="131"/>
      <c r="W78" s="138"/>
      <c r="X78" s="139"/>
      <c r="Y78" s="139"/>
      <c r="Z78" s="131"/>
      <c r="AA78" s="132">
        <f>X78*Y78*Z78</f>
        <v>0</v>
      </c>
      <c r="AB78" s="112" t="s">
        <v>106</v>
      </c>
      <c r="AC78" s="79"/>
      <c r="AD78" s="122">
        <f t="shared" si="41"/>
        <v>-1339</v>
      </c>
    </row>
    <row r="79" spans="1:30" ht="230.25" outlineLevel="2" thickBot="1" x14ac:dyDescent="0.25">
      <c r="A79" s="118" t="s">
        <v>326</v>
      </c>
      <c r="B79" s="147" t="s">
        <v>505</v>
      </c>
      <c r="C79" s="318"/>
      <c r="D79" s="201" t="s">
        <v>1565</v>
      </c>
      <c r="E79" s="136" t="s">
        <v>1551</v>
      </c>
      <c r="F79" s="136" t="s">
        <v>1535</v>
      </c>
      <c r="G79" s="227" t="s">
        <v>236</v>
      </c>
      <c r="H79" s="125" t="s">
        <v>178</v>
      </c>
      <c r="I79" s="126">
        <v>4</v>
      </c>
      <c r="J79" s="140" t="s">
        <v>233</v>
      </c>
      <c r="K79" s="127" t="s">
        <v>234</v>
      </c>
      <c r="L79" s="128">
        <v>2</v>
      </c>
      <c r="M79" s="129">
        <f t="shared" si="46"/>
        <v>8</v>
      </c>
      <c r="N79" s="249" t="s">
        <v>1548</v>
      </c>
      <c r="O79" s="70" t="s">
        <v>230</v>
      </c>
      <c r="P79" s="128">
        <v>1</v>
      </c>
      <c r="Q79" s="130">
        <f t="shared" si="47"/>
        <v>8</v>
      </c>
      <c r="R79" s="138" t="s">
        <v>1566</v>
      </c>
      <c r="S79" s="138" t="s">
        <v>1552</v>
      </c>
      <c r="T79" s="138" t="s">
        <v>235</v>
      </c>
      <c r="U79" s="139"/>
      <c r="V79" s="131"/>
      <c r="W79" s="138"/>
      <c r="X79" s="139"/>
      <c r="Y79" s="139"/>
      <c r="Z79" s="131"/>
      <c r="AA79" s="132">
        <f>X79*Y79*Z79</f>
        <v>0</v>
      </c>
      <c r="AB79" s="112" t="s">
        <v>106</v>
      </c>
      <c r="AC79" s="79"/>
      <c r="AD79" s="122">
        <f t="shared" si="41"/>
        <v>-1340</v>
      </c>
    </row>
    <row r="80" spans="1:30" ht="370.5" outlineLevel="2" thickBot="1" x14ac:dyDescent="0.25">
      <c r="A80" s="118" t="s">
        <v>327</v>
      </c>
      <c r="B80" s="136" t="s">
        <v>546</v>
      </c>
      <c r="C80" s="310" t="s">
        <v>1004</v>
      </c>
      <c r="D80" s="146" t="s">
        <v>547</v>
      </c>
      <c r="E80" s="136" t="s">
        <v>495</v>
      </c>
      <c r="F80" s="136" t="s">
        <v>1536</v>
      </c>
      <c r="G80" s="136" t="s">
        <v>232</v>
      </c>
      <c r="H80" s="125" t="s">
        <v>178</v>
      </c>
      <c r="I80" s="126">
        <v>3</v>
      </c>
      <c r="J80" s="140" t="s">
        <v>177</v>
      </c>
      <c r="K80" s="127" t="s">
        <v>234</v>
      </c>
      <c r="L80" s="128">
        <v>1</v>
      </c>
      <c r="M80" s="129">
        <f t="shared" si="46"/>
        <v>3</v>
      </c>
      <c r="N80" s="249" t="s">
        <v>1548</v>
      </c>
      <c r="O80" s="241" t="s">
        <v>199</v>
      </c>
      <c r="P80" s="128">
        <v>3</v>
      </c>
      <c r="Q80" s="130">
        <f t="shared" si="47"/>
        <v>9</v>
      </c>
      <c r="R80" s="70" t="s">
        <v>1479</v>
      </c>
      <c r="S80" s="70" t="s">
        <v>101</v>
      </c>
      <c r="T80" s="138" t="s">
        <v>235</v>
      </c>
      <c r="U80" s="139"/>
      <c r="V80" s="131"/>
      <c r="W80" s="138"/>
      <c r="X80" s="139"/>
      <c r="Y80" s="139"/>
      <c r="Z80" s="131"/>
      <c r="AA80" s="132">
        <f>X80*Y80*Z80</f>
        <v>0</v>
      </c>
      <c r="AB80" s="112"/>
      <c r="AC80" s="79"/>
      <c r="AD80" s="122">
        <f t="shared" si="41"/>
        <v>-1341</v>
      </c>
    </row>
    <row r="81" spans="1:30" ht="230.25" outlineLevel="2" thickBot="1" x14ac:dyDescent="0.25">
      <c r="A81" s="118" t="s">
        <v>821</v>
      </c>
      <c r="B81" s="136"/>
      <c r="C81" s="313"/>
      <c r="D81" s="146"/>
      <c r="E81" s="136" t="s">
        <v>886</v>
      </c>
      <c r="F81" s="136" t="s">
        <v>237</v>
      </c>
      <c r="G81" s="243" t="s">
        <v>242</v>
      </c>
      <c r="H81" s="125" t="s">
        <v>178</v>
      </c>
      <c r="I81" s="126">
        <v>2</v>
      </c>
      <c r="J81" s="140" t="s">
        <v>177</v>
      </c>
      <c r="K81" s="127" t="s">
        <v>176</v>
      </c>
      <c r="L81" s="128">
        <v>1</v>
      </c>
      <c r="M81" s="129">
        <f t="shared" ref="M81" si="48">I81*L81</f>
        <v>2</v>
      </c>
      <c r="N81" s="249" t="s">
        <v>1548</v>
      </c>
      <c r="O81" s="70" t="s">
        <v>101</v>
      </c>
      <c r="P81" s="128">
        <v>5</v>
      </c>
      <c r="Q81" s="130">
        <f t="shared" ref="Q81" si="49">I81*L81*P81</f>
        <v>10</v>
      </c>
      <c r="R81" s="70" t="s">
        <v>101</v>
      </c>
      <c r="S81" s="70" t="s">
        <v>101</v>
      </c>
      <c r="T81" s="138" t="s">
        <v>235</v>
      </c>
      <c r="U81" s="195" t="s">
        <v>957</v>
      </c>
      <c r="V81" s="131"/>
      <c r="W81" s="138"/>
      <c r="X81" s="139"/>
      <c r="Y81" s="139"/>
      <c r="Z81" s="131"/>
      <c r="AA81" s="132"/>
      <c r="AB81" s="112"/>
      <c r="AC81" s="79"/>
      <c r="AD81" s="122">
        <f t="shared" si="41"/>
        <v>-5013</v>
      </c>
    </row>
    <row r="82" spans="1:30" ht="230.25" outlineLevel="2" thickBot="1" x14ac:dyDescent="0.25">
      <c r="A82" s="118" t="s">
        <v>328</v>
      </c>
      <c r="B82" s="136" t="s">
        <v>548</v>
      </c>
      <c r="C82" s="310" t="s">
        <v>1005</v>
      </c>
      <c r="D82" s="146" t="s">
        <v>547</v>
      </c>
      <c r="E82" s="136" t="s">
        <v>163</v>
      </c>
      <c r="F82" s="136" t="s">
        <v>237</v>
      </c>
      <c r="G82" s="243" t="s">
        <v>242</v>
      </c>
      <c r="H82" s="125" t="s">
        <v>178</v>
      </c>
      <c r="I82" s="126">
        <v>1</v>
      </c>
      <c r="J82" s="140" t="s">
        <v>238</v>
      </c>
      <c r="K82" s="127" t="s">
        <v>176</v>
      </c>
      <c r="L82" s="128">
        <v>2</v>
      </c>
      <c r="M82" s="129">
        <f t="shared" si="46"/>
        <v>2</v>
      </c>
      <c r="N82" s="249" t="s">
        <v>1548</v>
      </c>
      <c r="O82" s="70" t="s">
        <v>101</v>
      </c>
      <c r="P82" s="128">
        <v>5</v>
      </c>
      <c r="Q82" s="130">
        <f t="shared" si="47"/>
        <v>10</v>
      </c>
      <c r="R82" s="70" t="s">
        <v>101</v>
      </c>
      <c r="S82" s="70" t="s">
        <v>101</v>
      </c>
      <c r="T82" s="138" t="s">
        <v>239</v>
      </c>
      <c r="U82" s="139"/>
      <c r="V82" s="131"/>
      <c r="W82" s="138"/>
      <c r="X82" s="139"/>
      <c r="Y82" s="139"/>
      <c r="Z82" s="131"/>
      <c r="AA82" s="132"/>
      <c r="AB82" s="112"/>
      <c r="AC82" s="79"/>
      <c r="AD82" s="122">
        <f t="shared" si="41"/>
        <v>-1342</v>
      </c>
    </row>
    <row r="83" spans="1:30" ht="370.5" outlineLevel="2" thickBot="1" x14ac:dyDescent="0.25">
      <c r="A83" s="118" t="s">
        <v>822</v>
      </c>
      <c r="B83" s="159"/>
      <c r="C83" s="313"/>
      <c r="D83" s="200"/>
      <c r="E83" s="136" t="s">
        <v>197</v>
      </c>
      <c r="F83" s="136" t="s">
        <v>1536</v>
      </c>
      <c r="G83" s="136" t="s">
        <v>232</v>
      </c>
      <c r="H83" s="125" t="s">
        <v>178</v>
      </c>
      <c r="I83" s="126">
        <v>3</v>
      </c>
      <c r="J83" s="140" t="s">
        <v>177</v>
      </c>
      <c r="K83" s="127" t="s">
        <v>234</v>
      </c>
      <c r="L83" s="128">
        <v>2</v>
      </c>
      <c r="M83" s="129">
        <f t="shared" ref="M83:M85" si="50">I83*L83</f>
        <v>6</v>
      </c>
      <c r="N83" s="249" t="s">
        <v>1548</v>
      </c>
      <c r="O83" s="241" t="s">
        <v>199</v>
      </c>
      <c r="P83" s="128">
        <v>3</v>
      </c>
      <c r="Q83" s="130">
        <f t="shared" ref="Q83:Q85" si="51">I83*L83*P83</f>
        <v>18</v>
      </c>
      <c r="R83" s="70" t="s">
        <v>1479</v>
      </c>
      <c r="S83" s="70" t="s">
        <v>101</v>
      </c>
      <c r="T83" s="138" t="s">
        <v>235</v>
      </c>
      <c r="U83" s="139"/>
      <c r="V83" s="131"/>
      <c r="W83" s="138"/>
      <c r="X83" s="139"/>
      <c r="Y83" s="139"/>
      <c r="Z83" s="131"/>
      <c r="AA83" s="132"/>
      <c r="AB83" s="112"/>
      <c r="AC83" s="79"/>
      <c r="AD83" s="122">
        <f t="shared" si="41"/>
        <v>-5104</v>
      </c>
    </row>
    <row r="84" spans="1:30" ht="230.25" outlineLevel="2" thickBot="1" x14ac:dyDescent="0.25">
      <c r="A84" s="160" t="s">
        <v>1311</v>
      </c>
      <c r="B84" s="351" t="s">
        <v>1113</v>
      </c>
      <c r="C84" s="321" t="s">
        <v>1112</v>
      </c>
      <c r="D84" s="351" t="s">
        <v>1110</v>
      </c>
      <c r="E84" s="136" t="s">
        <v>163</v>
      </c>
      <c r="F84" s="136" t="s">
        <v>264</v>
      </c>
      <c r="G84" s="136" t="s">
        <v>242</v>
      </c>
      <c r="H84" s="125" t="s">
        <v>178</v>
      </c>
      <c r="I84" s="126">
        <v>1</v>
      </c>
      <c r="J84" s="140" t="s">
        <v>205</v>
      </c>
      <c r="K84" s="127" t="s">
        <v>160</v>
      </c>
      <c r="L84" s="128">
        <v>1</v>
      </c>
      <c r="M84" s="129">
        <f t="shared" si="50"/>
        <v>1</v>
      </c>
      <c r="N84" s="249" t="s">
        <v>1548</v>
      </c>
      <c r="O84" s="70" t="s">
        <v>101</v>
      </c>
      <c r="P84" s="128">
        <v>5</v>
      </c>
      <c r="Q84" s="130">
        <f t="shared" si="51"/>
        <v>5</v>
      </c>
      <c r="R84" s="70" t="s">
        <v>101</v>
      </c>
      <c r="S84" s="70" t="s">
        <v>101</v>
      </c>
      <c r="T84" s="138"/>
      <c r="U84" s="139"/>
      <c r="V84" s="131"/>
      <c r="W84" s="138"/>
      <c r="X84" s="139"/>
      <c r="Y84" s="139"/>
      <c r="Z84" s="131"/>
      <c r="AA84" s="132"/>
      <c r="AB84" s="112"/>
      <c r="AC84" s="79"/>
      <c r="AD84" s="122">
        <f t="shared" si="41"/>
        <v>13653</v>
      </c>
    </row>
    <row r="85" spans="1:30" ht="230.25" outlineLevel="2" thickBot="1" x14ac:dyDescent="0.25">
      <c r="A85" s="160" t="s">
        <v>1312</v>
      </c>
      <c r="B85" s="352"/>
      <c r="C85" s="321"/>
      <c r="D85" s="352"/>
      <c r="E85" s="136" t="s">
        <v>197</v>
      </c>
      <c r="F85" s="136" t="s">
        <v>1456</v>
      </c>
      <c r="G85" s="136" t="s">
        <v>242</v>
      </c>
      <c r="H85" s="125" t="s">
        <v>178</v>
      </c>
      <c r="I85" s="126">
        <v>1</v>
      </c>
      <c r="J85" s="140" t="s">
        <v>205</v>
      </c>
      <c r="K85" s="127" t="s">
        <v>160</v>
      </c>
      <c r="L85" s="128">
        <v>1</v>
      </c>
      <c r="M85" s="129">
        <f t="shared" si="50"/>
        <v>1</v>
      </c>
      <c r="N85" s="249" t="s">
        <v>1548</v>
      </c>
      <c r="O85" s="175" t="s">
        <v>101</v>
      </c>
      <c r="P85" s="128">
        <v>5</v>
      </c>
      <c r="Q85" s="130">
        <f t="shared" si="51"/>
        <v>5</v>
      </c>
      <c r="R85" s="70" t="s">
        <v>101</v>
      </c>
      <c r="S85" s="70" t="s">
        <v>101</v>
      </c>
      <c r="T85" s="138"/>
      <c r="U85" s="139"/>
      <c r="V85" s="131"/>
      <c r="W85" s="138"/>
      <c r="X85" s="139"/>
      <c r="Y85" s="139"/>
      <c r="Z85" s="131"/>
      <c r="AA85" s="132"/>
      <c r="AB85" s="112"/>
      <c r="AC85" s="79"/>
      <c r="AD85" s="122">
        <f t="shared" si="41"/>
        <v>13654</v>
      </c>
    </row>
    <row r="86" spans="1:30" ht="230.25" outlineLevel="2" thickBot="1" x14ac:dyDescent="0.25">
      <c r="A86" s="160" t="s">
        <v>1313</v>
      </c>
      <c r="B86" s="363" t="s">
        <v>1115</v>
      </c>
      <c r="C86" s="321" t="s">
        <v>1114</v>
      </c>
      <c r="D86" s="351" t="s">
        <v>1116</v>
      </c>
      <c r="E86" s="136" t="s">
        <v>1117</v>
      </c>
      <c r="F86" s="136" t="s">
        <v>1529</v>
      </c>
      <c r="G86" s="136" t="s">
        <v>242</v>
      </c>
      <c r="H86" s="125" t="s">
        <v>178</v>
      </c>
      <c r="I86" s="126">
        <v>1</v>
      </c>
      <c r="J86" s="140" t="s">
        <v>205</v>
      </c>
      <c r="K86" s="127" t="s">
        <v>160</v>
      </c>
      <c r="L86" s="128">
        <v>1</v>
      </c>
      <c r="M86" s="129">
        <f t="shared" ref="M86:M91" si="52">I86*L86</f>
        <v>1</v>
      </c>
      <c r="N86" s="249" t="s">
        <v>1548</v>
      </c>
      <c r="O86" s="175" t="s">
        <v>101</v>
      </c>
      <c r="P86" s="128">
        <v>5</v>
      </c>
      <c r="Q86" s="130">
        <f t="shared" ref="Q86:Q91" si="53">I86*L86*P86</f>
        <v>5</v>
      </c>
      <c r="R86" s="70" t="s">
        <v>101</v>
      </c>
      <c r="S86" s="70" t="s">
        <v>101</v>
      </c>
      <c r="T86" s="138"/>
      <c r="U86" s="139"/>
      <c r="V86" s="131"/>
      <c r="W86" s="138"/>
      <c r="X86" s="139"/>
      <c r="Y86" s="139"/>
      <c r="Z86" s="131"/>
      <c r="AA86" s="132"/>
      <c r="AB86" s="112"/>
      <c r="AC86" s="79"/>
      <c r="AD86" s="122">
        <f t="shared" si="41"/>
        <v>13655</v>
      </c>
    </row>
    <row r="87" spans="1:30" ht="230.25" outlineLevel="2" thickBot="1" x14ac:dyDescent="0.25">
      <c r="A87" s="160" t="s">
        <v>1314</v>
      </c>
      <c r="B87" s="363"/>
      <c r="C87" s="321"/>
      <c r="D87" s="352"/>
      <c r="E87" s="136" t="s">
        <v>1118</v>
      </c>
      <c r="F87" s="136" t="s">
        <v>1231</v>
      </c>
      <c r="G87" s="136" t="s">
        <v>242</v>
      </c>
      <c r="H87" s="125" t="s">
        <v>178</v>
      </c>
      <c r="I87" s="126">
        <v>1</v>
      </c>
      <c r="J87" s="140" t="s">
        <v>205</v>
      </c>
      <c r="K87" s="127" t="s">
        <v>160</v>
      </c>
      <c r="L87" s="128">
        <v>1</v>
      </c>
      <c r="M87" s="129">
        <f t="shared" si="52"/>
        <v>1</v>
      </c>
      <c r="N87" s="249" t="s">
        <v>1548</v>
      </c>
      <c r="O87" s="175" t="s">
        <v>101</v>
      </c>
      <c r="P87" s="128">
        <v>5</v>
      </c>
      <c r="Q87" s="130">
        <f t="shared" si="53"/>
        <v>5</v>
      </c>
      <c r="R87" s="70" t="s">
        <v>101</v>
      </c>
      <c r="S87" s="70" t="s">
        <v>101</v>
      </c>
      <c r="T87" s="138"/>
      <c r="U87" s="139"/>
      <c r="V87" s="131"/>
      <c r="W87" s="138"/>
      <c r="X87" s="139"/>
      <c r="Y87" s="139"/>
      <c r="Z87" s="131"/>
      <c r="AA87" s="132"/>
      <c r="AB87" s="112"/>
      <c r="AC87" s="79"/>
      <c r="AD87" s="122">
        <f t="shared" si="41"/>
        <v>13656</v>
      </c>
    </row>
    <row r="88" spans="1:30" ht="230.25" outlineLevel="2" thickBot="1" x14ac:dyDescent="0.25">
      <c r="A88" s="160" t="s">
        <v>1315</v>
      </c>
      <c r="B88" s="363" t="s">
        <v>1213</v>
      </c>
      <c r="C88" s="321" t="s">
        <v>1119</v>
      </c>
      <c r="D88" s="363" t="s">
        <v>1121</v>
      </c>
      <c r="E88" s="136" t="s">
        <v>1117</v>
      </c>
      <c r="F88" s="136" t="s">
        <v>1263</v>
      </c>
      <c r="G88" s="243" t="s">
        <v>242</v>
      </c>
      <c r="H88" s="125" t="s">
        <v>178</v>
      </c>
      <c r="I88" s="126">
        <v>1</v>
      </c>
      <c r="J88" s="140" t="s">
        <v>205</v>
      </c>
      <c r="K88" s="127" t="s">
        <v>160</v>
      </c>
      <c r="L88" s="128">
        <v>1</v>
      </c>
      <c r="M88" s="129">
        <f t="shared" si="52"/>
        <v>1</v>
      </c>
      <c r="N88" s="249" t="s">
        <v>1548</v>
      </c>
      <c r="O88" s="70" t="s">
        <v>101</v>
      </c>
      <c r="P88" s="128">
        <v>5</v>
      </c>
      <c r="Q88" s="130">
        <f t="shared" si="53"/>
        <v>5</v>
      </c>
      <c r="R88" s="70" t="s">
        <v>101</v>
      </c>
      <c r="S88" s="70" t="s">
        <v>101</v>
      </c>
      <c r="T88" s="138"/>
      <c r="U88" s="139"/>
      <c r="V88" s="131"/>
      <c r="W88" s="138"/>
      <c r="X88" s="139"/>
      <c r="Y88" s="139"/>
      <c r="Z88" s="131"/>
      <c r="AA88" s="132"/>
      <c r="AB88" s="112"/>
      <c r="AC88" s="79"/>
      <c r="AD88" s="122">
        <f t="shared" si="41"/>
        <v>13657</v>
      </c>
    </row>
    <row r="89" spans="1:30" ht="370.5" outlineLevel="2" thickBot="1" x14ac:dyDescent="0.25">
      <c r="A89" s="160" t="s">
        <v>1316</v>
      </c>
      <c r="B89" s="363"/>
      <c r="C89" s="321"/>
      <c r="D89" s="363"/>
      <c r="E89" s="136" t="s">
        <v>1118</v>
      </c>
      <c r="F89" s="136" t="s">
        <v>1262</v>
      </c>
      <c r="G89" s="243" t="s">
        <v>242</v>
      </c>
      <c r="H89" s="125" t="s">
        <v>178</v>
      </c>
      <c r="I89" s="126">
        <v>3</v>
      </c>
      <c r="J89" s="140" t="s">
        <v>205</v>
      </c>
      <c r="K89" s="127" t="s">
        <v>160</v>
      </c>
      <c r="L89" s="128">
        <v>1</v>
      </c>
      <c r="M89" s="129">
        <f t="shared" si="52"/>
        <v>3</v>
      </c>
      <c r="N89" s="249" t="s">
        <v>1548</v>
      </c>
      <c r="O89" s="241" t="s">
        <v>199</v>
      </c>
      <c r="P89" s="128">
        <v>3</v>
      </c>
      <c r="Q89" s="130">
        <f t="shared" si="53"/>
        <v>9</v>
      </c>
      <c r="R89" s="70" t="s">
        <v>1479</v>
      </c>
      <c r="S89" s="70" t="s">
        <v>101</v>
      </c>
      <c r="T89" s="138"/>
      <c r="U89" s="139"/>
      <c r="V89" s="131"/>
      <c r="W89" s="138"/>
      <c r="X89" s="139"/>
      <c r="Y89" s="139"/>
      <c r="Z89" s="131"/>
      <c r="AA89" s="132"/>
      <c r="AB89" s="112"/>
      <c r="AC89" s="79"/>
      <c r="AD89" s="122">
        <f t="shared" si="41"/>
        <v>13658</v>
      </c>
    </row>
    <row r="90" spans="1:30" ht="230.25" outlineLevel="2" thickBot="1" x14ac:dyDescent="0.25">
      <c r="A90" s="160" t="s">
        <v>1317</v>
      </c>
      <c r="B90" s="363" t="s">
        <v>1214</v>
      </c>
      <c r="C90" s="310" t="s">
        <v>1120</v>
      </c>
      <c r="D90" s="363" t="s">
        <v>1264</v>
      </c>
      <c r="E90" s="136" t="s">
        <v>1117</v>
      </c>
      <c r="F90" s="136" t="s">
        <v>1212</v>
      </c>
      <c r="G90" s="243" t="s">
        <v>242</v>
      </c>
      <c r="H90" s="125" t="s">
        <v>178</v>
      </c>
      <c r="I90" s="126">
        <v>1</v>
      </c>
      <c r="J90" s="140" t="s">
        <v>205</v>
      </c>
      <c r="K90" s="127" t="s">
        <v>160</v>
      </c>
      <c r="L90" s="128">
        <v>1</v>
      </c>
      <c r="M90" s="129">
        <f t="shared" si="52"/>
        <v>1</v>
      </c>
      <c r="N90" s="249" t="s">
        <v>1548</v>
      </c>
      <c r="O90" s="70" t="s">
        <v>101</v>
      </c>
      <c r="P90" s="128">
        <v>5</v>
      </c>
      <c r="Q90" s="130">
        <f t="shared" si="53"/>
        <v>5</v>
      </c>
      <c r="R90" s="70" t="s">
        <v>101</v>
      </c>
      <c r="S90" s="70" t="s">
        <v>101</v>
      </c>
      <c r="T90" s="138"/>
      <c r="U90" s="139"/>
      <c r="V90" s="131"/>
      <c r="W90" s="138"/>
      <c r="X90" s="139"/>
      <c r="Y90" s="139"/>
      <c r="Z90" s="131"/>
      <c r="AA90" s="132"/>
      <c r="AB90" s="112"/>
      <c r="AC90" s="79"/>
      <c r="AD90" s="122">
        <f t="shared" si="41"/>
        <v>13659</v>
      </c>
    </row>
    <row r="91" spans="1:30" ht="230.25" outlineLevel="2" thickBot="1" x14ac:dyDescent="0.25">
      <c r="A91" s="160" t="s">
        <v>1318</v>
      </c>
      <c r="B91" s="363"/>
      <c r="C91" s="313"/>
      <c r="D91" s="363"/>
      <c r="E91" s="136" t="s">
        <v>1118</v>
      </c>
      <c r="F91" s="136" t="s">
        <v>1212</v>
      </c>
      <c r="G91" s="243" t="s">
        <v>242</v>
      </c>
      <c r="H91" s="125" t="s">
        <v>178</v>
      </c>
      <c r="I91" s="126">
        <v>1</v>
      </c>
      <c r="J91" s="140" t="s">
        <v>205</v>
      </c>
      <c r="K91" s="127" t="s">
        <v>160</v>
      </c>
      <c r="L91" s="128">
        <v>1</v>
      </c>
      <c r="M91" s="129">
        <f t="shared" si="52"/>
        <v>1</v>
      </c>
      <c r="N91" s="249" t="s">
        <v>1548</v>
      </c>
      <c r="O91" s="70" t="s">
        <v>101</v>
      </c>
      <c r="P91" s="128">
        <v>5</v>
      </c>
      <c r="Q91" s="130">
        <f t="shared" si="53"/>
        <v>5</v>
      </c>
      <c r="R91" s="70" t="s">
        <v>101</v>
      </c>
      <c r="S91" s="70" t="s">
        <v>101</v>
      </c>
      <c r="T91" s="138"/>
      <c r="U91" s="139"/>
      <c r="V91" s="131"/>
      <c r="W91" s="138"/>
      <c r="X91" s="139"/>
      <c r="Y91" s="139"/>
      <c r="Z91" s="131"/>
      <c r="AA91" s="132"/>
      <c r="AB91" s="112"/>
      <c r="AC91" s="79"/>
      <c r="AD91" s="122">
        <f t="shared" si="41"/>
        <v>13660</v>
      </c>
    </row>
    <row r="92" spans="1:30" ht="268.5" outlineLevel="2" thickBot="1" x14ac:dyDescent="0.25">
      <c r="A92" s="118" t="s">
        <v>329</v>
      </c>
      <c r="B92" s="134" t="s">
        <v>549</v>
      </c>
      <c r="C92" s="310" t="s">
        <v>1006</v>
      </c>
      <c r="D92" s="351" t="s">
        <v>550</v>
      </c>
      <c r="E92" s="136" t="s">
        <v>551</v>
      </c>
      <c r="F92" s="236" t="s">
        <v>1464</v>
      </c>
      <c r="G92" s="243" t="s">
        <v>1467</v>
      </c>
      <c r="H92" s="125" t="s">
        <v>188</v>
      </c>
      <c r="I92" s="126">
        <v>4</v>
      </c>
      <c r="J92" s="140" t="s">
        <v>226</v>
      </c>
      <c r="K92" s="127" t="s">
        <v>176</v>
      </c>
      <c r="L92" s="128">
        <v>2</v>
      </c>
      <c r="M92" s="129">
        <f>I92*L92</f>
        <v>8</v>
      </c>
      <c r="N92" s="249" t="s">
        <v>1548</v>
      </c>
      <c r="O92" s="70" t="s">
        <v>230</v>
      </c>
      <c r="P92" s="128">
        <v>2</v>
      </c>
      <c r="Q92" s="130">
        <f>I92*L92*P92</f>
        <v>16</v>
      </c>
      <c r="R92" s="138" t="s">
        <v>1477</v>
      </c>
      <c r="S92" s="138" t="s">
        <v>1564</v>
      </c>
      <c r="T92" s="138" t="s">
        <v>231</v>
      </c>
      <c r="U92" s="139"/>
      <c r="V92" s="131"/>
      <c r="W92" s="138"/>
      <c r="X92" s="139"/>
      <c r="Y92" s="139"/>
      <c r="Z92" s="131"/>
      <c r="AA92" s="132"/>
      <c r="AB92" s="112"/>
      <c r="AC92" s="79"/>
      <c r="AD92" s="122">
        <f t="shared" si="41"/>
        <v>-1343</v>
      </c>
    </row>
    <row r="93" spans="1:30" ht="370.5" outlineLevel="2" thickBot="1" x14ac:dyDescent="0.25">
      <c r="A93" s="118" t="s">
        <v>330</v>
      </c>
      <c r="B93" s="135" t="s">
        <v>505</v>
      </c>
      <c r="C93" s="313"/>
      <c r="D93" s="352"/>
      <c r="E93" s="136" t="s">
        <v>552</v>
      </c>
      <c r="F93" s="136" t="s">
        <v>225</v>
      </c>
      <c r="G93" s="243" t="s">
        <v>242</v>
      </c>
      <c r="H93" s="125" t="s">
        <v>178</v>
      </c>
      <c r="I93" s="126">
        <v>3</v>
      </c>
      <c r="J93" s="140" t="s">
        <v>226</v>
      </c>
      <c r="K93" s="127" t="s">
        <v>227</v>
      </c>
      <c r="L93" s="128">
        <v>2</v>
      </c>
      <c r="M93" s="129">
        <f>I93*L93</f>
        <v>6</v>
      </c>
      <c r="N93" s="249" t="s">
        <v>1548</v>
      </c>
      <c r="O93" s="241" t="s">
        <v>199</v>
      </c>
      <c r="P93" s="128">
        <v>3</v>
      </c>
      <c r="Q93" s="130">
        <f>I93*L93*P93</f>
        <v>18</v>
      </c>
      <c r="R93" s="70" t="s">
        <v>1479</v>
      </c>
      <c r="S93" s="70" t="s">
        <v>101</v>
      </c>
      <c r="T93" s="138" t="s">
        <v>228</v>
      </c>
      <c r="U93" s="139"/>
      <c r="V93" s="131"/>
      <c r="W93" s="138"/>
      <c r="X93" s="139"/>
      <c r="Y93" s="139"/>
      <c r="Z93" s="131"/>
      <c r="AA93" s="132">
        <f>X93*Y93*Z93</f>
        <v>0</v>
      </c>
      <c r="AB93" s="112"/>
      <c r="AC93" s="79"/>
      <c r="AD93" s="122">
        <f t="shared" si="41"/>
        <v>-1344</v>
      </c>
    </row>
    <row r="94" spans="1:30" ht="268.5" outlineLevel="2" thickBot="1" x14ac:dyDescent="0.25">
      <c r="A94" s="118" t="s">
        <v>331</v>
      </c>
      <c r="B94" s="134" t="s">
        <v>553</v>
      </c>
      <c r="C94" s="310" t="s">
        <v>1007</v>
      </c>
      <c r="D94" s="136" t="s">
        <v>190</v>
      </c>
      <c r="E94" s="136" t="s">
        <v>554</v>
      </c>
      <c r="F94" s="236" t="s">
        <v>1464</v>
      </c>
      <c r="G94" s="243" t="s">
        <v>1467</v>
      </c>
      <c r="H94" s="125" t="s">
        <v>188</v>
      </c>
      <c r="I94" s="126">
        <v>4</v>
      </c>
      <c r="J94" s="140" t="s">
        <v>226</v>
      </c>
      <c r="K94" s="127" t="s">
        <v>176</v>
      </c>
      <c r="L94" s="128">
        <v>2</v>
      </c>
      <c r="M94" s="129">
        <f>I94*L94</f>
        <v>8</v>
      </c>
      <c r="N94" s="249" t="s">
        <v>1548</v>
      </c>
      <c r="O94" s="70" t="s">
        <v>230</v>
      </c>
      <c r="P94" s="128">
        <v>2</v>
      </c>
      <c r="Q94" s="130">
        <f>I94*L94*P94</f>
        <v>16</v>
      </c>
      <c r="R94" s="138" t="s">
        <v>1477</v>
      </c>
      <c r="S94" s="138" t="s">
        <v>1564</v>
      </c>
      <c r="T94" s="138" t="s">
        <v>231</v>
      </c>
      <c r="U94" s="139"/>
      <c r="V94" s="131"/>
      <c r="W94" s="138"/>
      <c r="X94" s="139"/>
      <c r="Y94" s="139"/>
      <c r="Z94" s="131"/>
      <c r="AA94" s="132"/>
      <c r="AB94" s="112"/>
      <c r="AC94" s="79"/>
      <c r="AD94" s="122">
        <f t="shared" si="41"/>
        <v>-1345</v>
      </c>
    </row>
    <row r="95" spans="1:30" ht="370.5" outlineLevel="2" thickBot="1" x14ac:dyDescent="0.25">
      <c r="A95" s="118" t="s">
        <v>332</v>
      </c>
      <c r="B95" s="135" t="s">
        <v>505</v>
      </c>
      <c r="C95" s="311"/>
      <c r="D95" s="136" t="s">
        <v>1052</v>
      </c>
      <c r="E95" s="136" t="s">
        <v>555</v>
      </c>
      <c r="F95" s="136" t="s">
        <v>225</v>
      </c>
      <c r="G95" s="243" t="s">
        <v>242</v>
      </c>
      <c r="H95" s="125" t="s">
        <v>178</v>
      </c>
      <c r="I95" s="126">
        <v>3</v>
      </c>
      <c r="J95" s="140" t="s">
        <v>226</v>
      </c>
      <c r="K95" s="127" t="s">
        <v>227</v>
      </c>
      <c r="L95" s="128">
        <v>2</v>
      </c>
      <c r="M95" s="129">
        <f>I95*L95</f>
        <v>6</v>
      </c>
      <c r="N95" s="249" t="s">
        <v>1548</v>
      </c>
      <c r="O95" s="241" t="s">
        <v>199</v>
      </c>
      <c r="P95" s="128">
        <v>3</v>
      </c>
      <c r="Q95" s="130">
        <f>I95*L95*P95</f>
        <v>18</v>
      </c>
      <c r="R95" s="70" t="s">
        <v>1479</v>
      </c>
      <c r="S95" s="70" t="s">
        <v>101</v>
      </c>
      <c r="T95" s="138" t="s">
        <v>228</v>
      </c>
      <c r="U95" s="139"/>
      <c r="V95" s="131"/>
      <c r="W95" s="138"/>
      <c r="X95" s="139"/>
      <c r="Y95" s="139"/>
      <c r="Z95" s="131"/>
      <c r="AA95" s="132"/>
      <c r="AB95" s="112"/>
      <c r="AC95" s="79"/>
      <c r="AD95" s="122">
        <f t="shared" si="41"/>
        <v>-1346</v>
      </c>
    </row>
    <row r="96" spans="1:30" ht="21" outlineLevel="1" thickBot="1" x14ac:dyDescent="0.25">
      <c r="A96" s="118"/>
      <c r="B96" s="80" t="s">
        <v>1567</v>
      </c>
      <c r="C96" s="252"/>
      <c r="D96" s="81"/>
      <c r="E96" s="81"/>
      <c r="F96" s="81"/>
      <c r="G96" s="81"/>
      <c r="H96" s="81"/>
      <c r="I96" s="81"/>
      <c r="J96" s="81"/>
      <c r="K96" s="81"/>
      <c r="L96" s="81"/>
      <c r="M96" s="81"/>
      <c r="N96" s="81"/>
      <c r="O96" s="81"/>
      <c r="P96" s="81"/>
      <c r="Q96" s="81"/>
      <c r="R96" s="81"/>
      <c r="S96" s="81"/>
      <c r="T96" s="81"/>
      <c r="U96" s="81"/>
      <c r="V96" s="81"/>
      <c r="W96" s="81"/>
      <c r="X96" s="81"/>
      <c r="Y96" s="81"/>
      <c r="Z96" s="81"/>
      <c r="AA96" s="81"/>
      <c r="AB96" s="82"/>
      <c r="AC96" s="79"/>
      <c r="AD96" s="122">
        <f t="shared" si="41"/>
        <v>0</v>
      </c>
    </row>
    <row r="97" spans="1:30" ht="370.5" outlineLevel="2" thickBot="1" x14ac:dyDescent="0.25">
      <c r="A97" s="118" t="s">
        <v>333</v>
      </c>
      <c r="B97" s="143" t="s">
        <v>556</v>
      </c>
      <c r="C97" s="255" t="s">
        <v>1050</v>
      </c>
      <c r="D97" s="146" t="s">
        <v>557</v>
      </c>
      <c r="E97" s="136" t="s">
        <v>240</v>
      </c>
      <c r="F97" s="136" t="s">
        <v>241</v>
      </c>
      <c r="G97" s="136" t="s">
        <v>242</v>
      </c>
      <c r="H97" s="125" t="s">
        <v>178</v>
      </c>
      <c r="I97" s="126">
        <v>3</v>
      </c>
      <c r="J97" s="140" t="s">
        <v>243</v>
      </c>
      <c r="K97" s="127" t="s">
        <v>244</v>
      </c>
      <c r="L97" s="128">
        <v>2</v>
      </c>
      <c r="M97" s="129">
        <f t="shared" ref="M97:M175" si="54">I97*L97</f>
        <v>6</v>
      </c>
      <c r="N97" s="249" t="s">
        <v>1548</v>
      </c>
      <c r="O97" s="241" t="s">
        <v>199</v>
      </c>
      <c r="P97" s="128">
        <v>3</v>
      </c>
      <c r="Q97" s="130">
        <f t="shared" ref="Q97:Q175" si="55">I97*L97*P97</f>
        <v>18</v>
      </c>
      <c r="R97" s="70" t="s">
        <v>1479</v>
      </c>
      <c r="S97" s="70" t="s">
        <v>101</v>
      </c>
      <c r="T97" s="138" t="s">
        <v>235</v>
      </c>
      <c r="U97" s="139"/>
      <c r="V97" s="131"/>
      <c r="W97" s="138"/>
      <c r="X97" s="139"/>
      <c r="Y97" s="139"/>
      <c r="Z97" s="131"/>
      <c r="AA97" s="132">
        <f>X97*Y97*Z97</f>
        <v>0</v>
      </c>
      <c r="AB97" s="112" t="s">
        <v>106</v>
      </c>
      <c r="AC97" s="79"/>
      <c r="AD97" s="122">
        <f t="shared" si="41"/>
        <v>-1348</v>
      </c>
    </row>
    <row r="98" spans="1:30" ht="370.5" outlineLevel="2" thickBot="1" x14ac:dyDescent="0.25">
      <c r="A98" s="118" t="s">
        <v>334</v>
      </c>
      <c r="B98" s="143" t="s">
        <v>558</v>
      </c>
      <c r="C98" s="255" t="s">
        <v>1051</v>
      </c>
      <c r="D98" s="146" t="s">
        <v>559</v>
      </c>
      <c r="E98" s="136" t="s">
        <v>170</v>
      </c>
      <c r="F98" s="136" t="s">
        <v>245</v>
      </c>
      <c r="G98" s="136" t="s">
        <v>242</v>
      </c>
      <c r="H98" s="125" t="s">
        <v>178</v>
      </c>
      <c r="I98" s="126">
        <v>3</v>
      </c>
      <c r="J98" s="140" t="s">
        <v>177</v>
      </c>
      <c r="K98" s="127" t="s">
        <v>246</v>
      </c>
      <c r="L98" s="128">
        <v>1</v>
      </c>
      <c r="M98" s="129">
        <f t="shared" si="54"/>
        <v>3</v>
      </c>
      <c r="N98" s="249" t="s">
        <v>1548</v>
      </c>
      <c r="O98" s="241" t="s">
        <v>199</v>
      </c>
      <c r="P98" s="128">
        <v>3</v>
      </c>
      <c r="Q98" s="130">
        <f t="shared" si="55"/>
        <v>9</v>
      </c>
      <c r="R98" s="70" t="s">
        <v>1479</v>
      </c>
      <c r="S98" s="70" t="s">
        <v>101</v>
      </c>
      <c r="T98" s="138" t="s">
        <v>235</v>
      </c>
      <c r="U98" s="139"/>
      <c r="V98" s="131"/>
      <c r="W98" s="138"/>
      <c r="X98" s="139"/>
      <c r="Y98" s="139"/>
      <c r="Z98" s="131"/>
      <c r="AA98" s="132"/>
      <c r="AB98" s="112"/>
      <c r="AC98" s="79"/>
      <c r="AD98" s="122">
        <f t="shared" si="41"/>
        <v>-1349</v>
      </c>
    </row>
    <row r="99" spans="1:30" ht="230.25" outlineLevel="2" thickBot="1" x14ac:dyDescent="0.25">
      <c r="A99" s="118" t="s">
        <v>335</v>
      </c>
      <c r="B99" s="141" t="s">
        <v>560</v>
      </c>
      <c r="C99" s="314" t="s">
        <v>1053</v>
      </c>
      <c r="D99" s="351" t="s">
        <v>561</v>
      </c>
      <c r="E99" s="136" t="s">
        <v>562</v>
      </c>
      <c r="F99" s="136" t="s">
        <v>247</v>
      </c>
      <c r="G99" s="136" t="s">
        <v>242</v>
      </c>
      <c r="H99" s="125" t="s">
        <v>178</v>
      </c>
      <c r="I99" s="126">
        <v>1</v>
      </c>
      <c r="J99" s="140" t="s">
        <v>177</v>
      </c>
      <c r="K99" s="127" t="s">
        <v>160</v>
      </c>
      <c r="L99" s="128">
        <v>1</v>
      </c>
      <c r="M99" s="129">
        <f t="shared" si="54"/>
        <v>1</v>
      </c>
      <c r="N99" s="249" t="s">
        <v>1548</v>
      </c>
      <c r="O99" s="70" t="s">
        <v>101</v>
      </c>
      <c r="P99" s="128">
        <v>5</v>
      </c>
      <c r="Q99" s="130">
        <f t="shared" si="55"/>
        <v>5</v>
      </c>
      <c r="R99" s="70" t="s">
        <v>101</v>
      </c>
      <c r="S99" s="70" t="s">
        <v>101</v>
      </c>
      <c r="T99" s="138"/>
      <c r="U99" s="139"/>
      <c r="V99" s="131"/>
      <c r="W99" s="138"/>
      <c r="X99" s="139"/>
      <c r="Y99" s="139"/>
      <c r="Z99" s="131"/>
      <c r="AA99" s="132"/>
      <c r="AB99" s="112"/>
      <c r="AC99" s="79"/>
      <c r="AD99" s="122">
        <f t="shared" si="41"/>
        <v>-1350</v>
      </c>
    </row>
    <row r="100" spans="1:30" ht="370.5" outlineLevel="2" thickBot="1" x14ac:dyDescent="0.25">
      <c r="A100" s="118" t="s">
        <v>823</v>
      </c>
      <c r="B100" s="144"/>
      <c r="C100" s="319"/>
      <c r="D100" s="354"/>
      <c r="E100" s="136" t="s">
        <v>772</v>
      </c>
      <c r="F100" s="136" t="s">
        <v>771</v>
      </c>
      <c r="G100" s="136"/>
      <c r="H100" s="125" t="s">
        <v>178</v>
      </c>
      <c r="I100" s="126">
        <v>3</v>
      </c>
      <c r="J100" s="140" t="s">
        <v>177</v>
      </c>
      <c r="K100" s="127" t="s">
        <v>246</v>
      </c>
      <c r="L100" s="128">
        <v>1</v>
      </c>
      <c r="M100" s="129">
        <f t="shared" ref="M100" si="56">I100*L100</f>
        <v>3</v>
      </c>
      <c r="N100" s="249" t="s">
        <v>1548</v>
      </c>
      <c r="O100" s="241" t="s">
        <v>199</v>
      </c>
      <c r="P100" s="128">
        <v>3</v>
      </c>
      <c r="Q100" s="130">
        <f t="shared" ref="Q100" si="57">I100*L100*P100</f>
        <v>9</v>
      </c>
      <c r="R100" s="70" t="s">
        <v>1479</v>
      </c>
      <c r="S100" s="70" t="s">
        <v>101</v>
      </c>
      <c r="T100" s="138" t="s">
        <v>235</v>
      </c>
      <c r="U100" s="139"/>
      <c r="V100" s="131"/>
      <c r="W100" s="138"/>
      <c r="X100" s="139"/>
      <c r="Y100" s="139"/>
      <c r="Z100" s="131"/>
      <c r="AA100" s="132"/>
      <c r="AB100" s="112"/>
      <c r="AC100" s="79"/>
      <c r="AD100" s="122">
        <f t="shared" si="41"/>
        <v>-5106</v>
      </c>
    </row>
    <row r="101" spans="1:30" ht="370.5" outlineLevel="2" thickBot="1" x14ac:dyDescent="0.25">
      <c r="A101" s="118" t="s">
        <v>336</v>
      </c>
      <c r="B101" s="142" t="s">
        <v>505</v>
      </c>
      <c r="C101" s="315"/>
      <c r="D101" s="352"/>
      <c r="E101" s="136" t="s">
        <v>216</v>
      </c>
      <c r="F101" s="136" t="s">
        <v>245</v>
      </c>
      <c r="G101" s="136" t="s">
        <v>242</v>
      </c>
      <c r="H101" s="125" t="s">
        <v>178</v>
      </c>
      <c r="I101" s="126">
        <v>3</v>
      </c>
      <c r="J101" s="140" t="s">
        <v>177</v>
      </c>
      <c r="K101" s="127" t="s">
        <v>160</v>
      </c>
      <c r="L101" s="128">
        <v>1</v>
      </c>
      <c r="M101" s="129">
        <f t="shared" si="54"/>
        <v>3</v>
      </c>
      <c r="N101" s="249" t="s">
        <v>1548</v>
      </c>
      <c r="O101" s="241" t="s">
        <v>199</v>
      </c>
      <c r="P101" s="128">
        <v>3</v>
      </c>
      <c r="Q101" s="130">
        <f t="shared" si="55"/>
        <v>9</v>
      </c>
      <c r="R101" s="70" t="s">
        <v>1479</v>
      </c>
      <c r="S101" s="70" t="s">
        <v>101</v>
      </c>
      <c r="T101" s="138" t="s">
        <v>235</v>
      </c>
      <c r="U101" s="139"/>
      <c r="V101" s="131"/>
      <c r="W101" s="138"/>
      <c r="X101" s="139"/>
      <c r="Y101" s="139"/>
      <c r="Z101" s="131"/>
      <c r="AA101" s="132"/>
      <c r="AB101" s="112"/>
      <c r="AC101" s="79"/>
      <c r="AD101" s="122">
        <f t="shared" si="41"/>
        <v>-1351</v>
      </c>
    </row>
    <row r="102" spans="1:30" ht="230.25" outlineLevel="2" thickBot="1" x14ac:dyDescent="0.25">
      <c r="A102" s="118" t="s">
        <v>337</v>
      </c>
      <c r="B102" s="143" t="s">
        <v>563</v>
      </c>
      <c r="C102" s="314" t="s">
        <v>1054</v>
      </c>
      <c r="D102" s="146" t="s">
        <v>564</v>
      </c>
      <c r="E102" s="136" t="s">
        <v>165</v>
      </c>
      <c r="F102" s="136" t="s">
        <v>248</v>
      </c>
      <c r="G102" s="136" t="s">
        <v>242</v>
      </c>
      <c r="H102" s="125" t="s">
        <v>178</v>
      </c>
      <c r="I102" s="126">
        <v>2</v>
      </c>
      <c r="J102" s="140" t="s">
        <v>177</v>
      </c>
      <c r="K102" s="127" t="s">
        <v>160</v>
      </c>
      <c r="L102" s="128">
        <v>2</v>
      </c>
      <c r="M102" s="129">
        <f t="shared" si="54"/>
        <v>4</v>
      </c>
      <c r="N102" s="249" t="s">
        <v>1548</v>
      </c>
      <c r="O102" s="70" t="s">
        <v>101</v>
      </c>
      <c r="P102" s="128">
        <v>5</v>
      </c>
      <c r="Q102" s="130">
        <f t="shared" si="55"/>
        <v>20</v>
      </c>
      <c r="R102" s="70" t="s">
        <v>101</v>
      </c>
      <c r="S102" s="70" t="s">
        <v>101</v>
      </c>
      <c r="T102" s="138"/>
      <c r="U102" s="139"/>
      <c r="V102" s="131"/>
      <c r="W102" s="138"/>
      <c r="X102" s="139"/>
      <c r="Y102" s="139"/>
      <c r="Z102" s="131"/>
      <c r="AA102" s="132"/>
      <c r="AB102" s="112"/>
      <c r="AC102" s="79"/>
      <c r="AD102" s="122">
        <f t="shared" si="41"/>
        <v>-1352</v>
      </c>
    </row>
    <row r="103" spans="1:30" ht="230.25" outlineLevel="2" thickBot="1" x14ac:dyDescent="0.25">
      <c r="A103" s="118" t="s">
        <v>824</v>
      </c>
      <c r="B103" s="143"/>
      <c r="C103" s="315"/>
      <c r="D103" s="146"/>
      <c r="E103" s="136" t="s">
        <v>494</v>
      </c>
      <c r="F103" s="136" t="s">
        <v>773</v>
      </c>
      <c r="G103" s="136" t="s">
        <v>242</v>
      </c>
      <c r="H103" s="125" t="s">
        <v>178</v>
      </c>
      <c r="I103" s="126">
        <v>2</v>
      </c>
      <c r="J103" s="140" t="s">
        <v>177</v>
      </c>
      <c r="K103" s="127" t="s">
        <v>160</v>
      </c>
      <c r="L103" s="128">
        <v>2</v>
      </c>
      <c r="M103" s="129">
        <f t="shared" ref="M103" si="58">I103*L103</f>
        <v>4</v>
      </c>
      <c r="N103" s="249" t="s">
        <v>1548</v>
      </c>
      <c r="O103" s="70" t="s">
        <v>101</v>
      </c>
      <c r="P103" s="128">
        <v>5</v>
      </c>
      <c r="Q103" s="130">
        <f t="shared" ref="Q103" si="59">I103*L103*P103</f>
        <v>20</v>
      </c>
      <c r="R103" s="70" t="s">
        <v>101</v>
      </c>
      <c r="S103" s="70" t="s">
        <v>101</v>
      </c>
      <c r="T103" s="138"/>
      <c r="U103" s="139"/>
      <c r="V103" s="131"/>
      <c r="W103" s="138"/>
      <c r="X103" s="139"/>
      <c r="Y103" s="139"/>
      <c r="Z103" s="131"/>
      <c r="AA103" s="132"/>
      <c r="AB103" s="112"/>
      <c r="AC103" s="79"/>
      <c r="AD103" s="122">
        <f t="shared" si="41"/>
        <v>-5107</v>
      </c>
    </row>
    <row r="104" spans="1:30" ht="230.25" outlineLevel="2" thickBot="1" x14ac:dyDescent="0.25">
      <c r="A104" s="118" t="s">
        <v>338</v>
      </c>
      <c r="B104" s="143" t="s">
        <v>565</v>
      </c>
      <c r="C104" s="314" t="s">
        <v>1055</v>
      </c>
      <c r="D104" s="146" t="s">
        <v>564</v>
      </c>
      <c r="E104" s="136" t="s">
        <v>165</v>
      </c>
      <c r="F104" s="136" t="s">
        <v>249</v>
      </c>
      <c r="G104" s="136" t="s">
        <v>242</v>
      </c>
      <c r="H104" s="125" t="s">
        <v>178</v>
      </c>
      <c r="I104" s="126">
        <v>2</v>
      </c>
      <c r="J104" s="140" t="s">
        <v>177</v>
      </c>
      <c r="K104" s="127" t="s">
        <v>160</v>
      </c>
      <c r="L104" s="128">
        <v>2</v>
      </c>
      <c r="M104" s="129">
        <f t="shared" si="54"/>
        <v>4</v>
      </c>
      <c r="N104" s="249" t="s">
        <v>1548</v>
      </c>
      <c r="O104" s="70" t="s">
        <v>101</v>
      </c>
      <c r="P104" s="128">
        <v>5</v>
      </c>
      <c r="Q104" s="130">
        <f t="shared" si="55"/>
        <v>20</v>
      </c>
      <c r="R104" s="70" t="s">
        <v>101</v>
      </c>
      <c r="S104" s="70" t="s">
        <v>101</v>
      </c>
      <c r="T104" s="138"/>
      <c r="U104" s="139"/>
      <c r="V104" s="131"/>
      <c r="W104" s="138"/>
      <c r="X104" s="139"/>
      <c r="Y104" s="139"/>
      <c r="Z104" s="131"/>
      <c r="AA104" s="132"/>
      <c r="AB104" s="112"/>
      <c r="AC104" s="79"/>
      <c r="AD104" s="122">
        <f t="shared" si="41"/>
        <v>-1353</v>
      </c>
    </row>
    <row r="105" spans="1:30" ht="370.5" outlineLevel="2" thickBot="1" x14ac:dyDescent="0.25">
      <c r="A105" s="118" t="s">
        <v>825</v>
      </c>
      <c r="B105" s="143"/>
      <c r="C105" s="315"/>
      <c r="D105" s="146"/>
      <c r="E105" s="136" t="s">
        <v>494</v>
      </c>
      <c r="F105" s="136" t="s">
        <v>245</v>
      </c>
      <c r="G105" s="136" t="s">
        <v>242</v>
      </c>
      <c r="H105" s="125" t="s">
        <v>178</v>
      </c>
      <c r="I105" s="126">
        <v>3</v>
      </c>
      <c r="J105" s="140" t="s">
        <v>177</v>
      </c>
      <c r="K105" s="127" t="s">
        <v>160</v>
      </c>
      <c r="L105" s="128">
        <v>2</v>
      </c>
      <c r="M105" s="129">
        <f t="shared" ref="M105:M107" si="60">I105*L105</f>
        <v>6</v>
      </c>
      <c r="N105" s="249" t="s">
        <v>1548</v>
      </c>
      <c r="O105" s="241" t="s">
        <v>199</v>
      </c>
      <c r="P105" s="128">
        <v>3</v>
      </c>
      <c r="Q105" s="130">
        <f t="shared" ref="Q105:Q109" si="61">I105*L105*P105</f>
        <v>18</v>
      </c>
      <c r="R105" s="70" t="s">
        <v>1479</v>
      </c>
      <c r="S105" s="70" t="s">
        <v>101</v>
      </c>
      <c r="T105" s="138" t="s">
        <v>235</v>
      </c>
      <c r="U105" s="139"/>
      <c r="V105" s="131"/>
      <c r="W105" s="138"/>
      <c r="X105" s="139"/>
      <c r="Y105" s="139"/>
      <c r="Z105" s="131"/>
      <c r="AA105" s="132"/>
      <c r="AB105" s="112"/>
      <c r="AC105" s="79"/>
      <c r="AD105" s="122">
        <f t="shared" si="41"/>
        <v>-5108</v>
      </c>
    </row>
    <row r="106" spans="1:30" ht="370.5" outlineLevel="2" thickBot="1" x14ac:dyDescent="0.25">
      <c r="A106" s="160" t="s">
        <v>1319</v>
      </c>
      <c r="B106" s="374" t="s">
        <v>1122</v>
      </c>
      <c r="C106" s="375" t="s">
        <v>1123</v>
      </c>
      <c r="D106" s="363" t="s">
        <v>1124</v>
      </c>
      <c r="E106" s="136" t="s">
        <v>156</v>
      </c>
      <c r="F106" s="136" t="s">
        <v>1215</v>
      </c>
      <c r="G106" s="136" t="s">
        <v>242</v>
      </c>
      <c r="H106" s="125" t="s">
        <v>178</v>
      </c>
      <c r="I106" s="126">
        <v>3</v>
      </c>
      <c r="J106" s="140" t="s">
        <v>177</v>
      </c>
      <c r="K106" s="127" t="s">
        <v>246</v>
      </c>
      <c r="L106" s="128">
        <v>1</v>
      </c>
      <c r="M106" s="129">
        <f t="shared" si="60"/>
        <v>3</v>
      </c>
      <c r="N106" s="249" t="s">
        <v>1548</v>
      </c>
      <c r="O106" s="241" t="s">
        <v>199</v>
      </c>
      <c r="P106" s="128">
        <v>3</v>
      </c>
      <c r="Q106" s="130">
        <f t="shared" si="61"/>
        <v>9</v>
      </c>
      <c r="R106" s="70" t="s">
        <v>1479</v>
      </c>
      <c r="S106" s="70" t="s">
        <v>101</v>
      </c>
      <c r="T106" s="138"/>
      <c r="U106" s="139"/>
      <c r="V106" s="131"/>
      <c r="W106" s="138"/>
      <c r="X106" s="139"/>
      <c r="Y106" s="139"/>
      <c r="Z106" s="131"/>
      <c r="AA106" s="132"/>
      <c r="AB106" s="112"/>
      <c r="AC106" s="79"/>
      <c r="AD106" s="122">
        <f t="shared" si="41"/>
        <v>13661</v>
      </c>
    </row>
    <row r="107" spans="1:30" ht="230.25" outlineLevel="2" thickBot="1" x14ac:dyDescent="0.25">
      <c r="A107" s="160" t="s">
        <v>1320</v>
      </c>
      <c r="B107" s="374"/>
      <c r="C107" s="375"/>
      <c r="D107" s="363"/>
      <c r="E107" s="136" t="s">
        <v>158</v>
      </c>
      <c r="F107" s="136" t="s">
        <v>1216</v>
      </c>
      <c r="G107" s="136" t="s">
        <v>242</v>
      </c>
      <c r="H107" s="125" t="s">
        <v>178</v>
      </c>
      <c r="I107" s="126">
        <v>2</v>
      </c>
      <c r="J107" s="140" t="s">
        <v>177</v>
      </c>
      <c r="K107" s="127" t="s">
        <v>246</v>
      </c>
      <c r="L107" s="128">
        <v>1</v>
      </c>
      <c r="M107" s="129">
        <f t="shared" si="60"/>
        <v>2</v>
      </c>
      <c r="N107" s="249" t="s">
        <v>1548</v>
      </c>
      <c r="O107" s="70" t="s">
        <v>101</v>
      </c>
      <c r="P107" s="128">
        <v>5</v>
      </c>
      <c r="Q107" s="130">
        <f t="shared" si="61"/>
        <v>10</v>
      </c>
      <c r="R107" s="70" t="s">
        <v>101</v>
      </c>
      <c r="S107" s="70" t="s">
        <v>101</v>
      </c>
      <c r="T107" s="138"/>
      <c r="U107" s="139"/>
      <c r="V107" s="131"/>
      <c r="W107" s="138"/>
      <c r="X107" s="139"/>
      <c r="Y107" s="139"/>
      <c r="Z107" s="131"/>
      <c r="AA107" s="132"/>
      <c r="AB107" s="112"/>
      <c r="AC107" s="79"/>
      <c r="AD107" s="122">
        <f t="shared" si="41"/>
        <v>13662</v>
      </c>
    </row>
    <row r="108" spans="1:30" ht="230.25" outlineLevel="2" thickBot="1" x14ac:dyDescent="0.25">
      <c r="A108" s="118" t="s">
        <v>339</v>
      </c>
      <c r="B108" s="143" t="s">
        <v>566</v>
      </c>
      <c r="C108" s="314" t="s">
        <v>1056</v>
      </c>
      <c r="D108" s="146" t="s">
        <v>564</v>
      </c>
      <c r="E108" s="136" t="s">
        <v>156</v>
      </c>
      <c r="F108" s="136" t="s">
        <v>248</v>
      </c>
      <c r="G108" s="136" t="s">
        <v>242</v>
      </c>
      <c r="H108" s="125" t="s">
        <v>178</v>
      </c>
      <c r="I108" s="126">
        <v>2</v>
      </c>
      <c r="J108" s="140" t="s">
        <v>177</v>
      </c>
      <c r="K108" s="127" t="s">
        <v>160</v>
      </c>
      <c r="L108" s="128">
        <v>1</v>
      </c>
      <c r="M108" s="129">
        <f t="shared" si="54"/>
        <v>2</v>
      </c>
      <c r="N108" s="249" t="s">
        <v>1548</v>
      </c>
      <c r="O108" s="70" t="s">
        <v>101</v>
      </c>
      <c r="P108" s="128">
        <v>5</v>
      </c>
      <c r="Q108" s="130">
        <f t="shared" si="61"/>
        <v>10</v>
      </c>
      <c r="R108" s="70" t="s">
        <v>101</v>
      </c>
      <c r="S108" s="70" t="s">
        <v>101</v>
      </c>
      <c r="T108" s="138"/>
      <c r="U108" s="139"/>
      <c r="V108" s="131"/>
      <c r="W108" s="138"/>
      <c r="X108" s="139"/>
      <c r="Y108" s="139"/>
      <c r="Z108" s="131"/>
      <c r="AA108" s="132"/>
      <c r="AB108" s="112"/>
      <c r="AC108" s="79"/>
      <c r="AD108" s="122">
        <f t="shared" si="41"/>
        <v>-1354</v>
      </c>
    </row>
    <row r="109" spans="1:30" ht="230.25" outlineLevel="2" thickBot="1" x14ac:dyDescent="0.25">
      <c r="A109" s="118" t="s">
        <v>826</v>
      </c>
      <c r="B109" s="141"/>
      <c r="C109" s="315"/>
      <c r="D109" s="200"/>
      <c r="E109" s="136" t="s">
        <v>158</v>
      </c>
      <c r="F109" s="136" t="s">
        <v>755</v>
      </c>
      <c r="G109" s="136" t="s">
        <v>242</v>
      </c>
      <c r="H109" s="125" t="s">
        <v>178</v>
      </c>
      <c r="I109" s="126">
        <v>2</v>
      </c>
      <c r="J109" s="140" t="s">
        <v>177</v>
      </c>
      <c r="K109" s="127" t="s">
        <v>160</v>
      </c>
      <c r="L109" s="128">
        <v>1</v>
      </c>
      <c r="M109" s="129">
        <f t="shared" ref="M109" si="62">I109*L109</f>
        <v>2</v>
      </c>
      <c r="N109" s="249" t="s">
        <v>1548</v>
      </c>
      <c r="O109" s="70" t="s">
        <v>101</v>
      </c>
      <c r="P109" s="128">
        <v>5</v>
      </c>
      <c r="Q109" s="130">
        <f t="shared" si="61"/>
        <v>10</v>
      </c>
      <c r="R109" s="70" t="s">
        <v>101</v>
      </c>
      <c r="S109" s="70" t="s">
        <v>101</v>
      </c>
      <c r="T109" s="138"/>
      <c r="U109" s="139"/>
      <c r="V109" s="131"/>
      <c r="W109" s="138"/>
      <c r="X109" s="139"/>
      <c r="Y109" s="139"/>
      <c r="Z109" s="131"/>
      <c r="AA109" s="132"/>
      <c r="AB109" s="112"/>
      <c r="AC109" s="79"/>
      <c r="AD109" s="122">
        <f t="shared" si="41"/>
        <v>-5109</v>
      </c>
    </row>
    <row r="110" spans="1:30" ht="370.5" outlineLevel="2" thickBot="1" x14ac:dyDescent="0.25">
      <c r="A110" s="118" t="s">
        <v>340</v>
      </c>
      <c r="B110" s="141" t="s">
        <v>567</v>
      </c>
      <c r="C110" s="314" t="s">
        <v>1057</v>
      </c>
      <c r="D110" s="351" t="s">
        <v>564</v>
      </c>
      <c r="E110" s="136" t="s">
        <v>568</v>
      </c>
      <c r="F110" s="136" t="s">
        <v>882</v>
      </c>
      <c r="G110" s="136" t="s">
        <v>242</v>
      </c>
      <c r="H110" s="125" t="s">
        <v>178</v>
      </c>
      <c r="I110" s="126">
        <v>3</v>
      </c>
      <c r="J110" s="140" t="s">
        <v>177</v>
      </c>
      <c r="K110" s="127" t="s">
        <v>246</v>
      </c>
      <c r="L110" s="128">
        <v>2</v>
      </c>
      <c r="M110" s="129">
        <f t="shared" si="54"/>
        <v>6</v>
      </c>
      <c r="N110" s="249" t="s">
        <v>1548</v>
      </c>
      <c r="O110" s="241" t="s">
        <v>199</v>
      </c>
      <c r="P110" s="128">
        <v>3</v>
      </c>
      <c r="Q110" s="130">
        <f t="shared" si="55"/>
        <v>18</v>
      </c>
      <c r="R110" s="70" t="s">
        <v>1479</v>
      </c>
      <c r="S110" s="70" t="s">
        <v>101</v>
      </c>
      <c r="T110" s="138" t="s">
        <v>235</v>
      </c>
      <c r="U110" s="139"/>
      <c r="V110" s="131"/>
      <c r="W110" s="138"/>
      <c r="X110" s="139"/>
      <c r="Y110" s="139"/>
      <c r="Z110" s="131"/>
      <c r="AA110" s="132"/>
      <c r="AB110" s="112"/>
      <c r="AC110" s="79"/>
      <c r="AD110" s="122">
        <f t="shared" si="41"/>
        <v>-1355</v>
      </c>
    </row>
    <row r="111" spans="1:30" ht="230.25" outlineLevel="2" thickBot="1" x14ac:dyDescent="0.25">
      <c r="A111" s="118" t="s">
        <v>341</v>
      </c>
      <c r="B111" s="142" t="s">
        <v>505</v>
      </c>
      <c r="C111" s="315"/>
      <c r="D111" s="352"/>
      <c r="E111" s="136" t="s">
        <v>283</v>
      </c>
      <c r="F111" s="136" t="s">
        <v>252</v>
      </c>
      <c r="G111" s="136" t="s">
        <v>242</v>
      </c>
      <c r="H111" s="125" t="s">
        <v>178</v>
      </c>
      <c r="I111" s="126">
        <v>2</v>
      </c>
      <c r="J111" s="140" t="s">
        <v>177</v>
      </c>
      <c r="K111" s="127" t="s">
        <v>246</v>
      </c>
      <c r="L111" s="128">
        <v>2</v>
      </c>
      <c r="M111" s="129">
        <f t="shared" si="54"/>
        <v>4</v>
      </c>
      <c r="N111" s="249" t="s">
        <v>1548</v>
      </c>
      <c r="O111" s="70" t="s">
        <v>101</v>
      </c>
      <c r="P111" s="128">
        <v>5</v>
      </c>
      <c r="Q111" s="130">
        <f t="shared" si="55"/>
        <v>20</v>
      </c>
      <c r="R111" s="70" t="s">
        <v>101</v>
      </c>
      <c r="S111" s="70" t="s">
        <v>101</v>
      </c>
      <c r="T111" s="138"/>
      <c r="U111" s="139"/>
      <c r="V111" s="131"/>
      <c r="W111" s="138"/>
      <c r="X111" s="139"/>
      <c r="Y111" s="139"/>
      <c r="Z111" s="131"/>
      <c r="AA111" s="132"/>
      <c r="AB111" s="112"/>
      <c r="AC111" s="79"/>
      <c r="AD111" s="122">
        <f t="shared" si="41"/>
        <v>-1356</v>
      </c>
    </row>
    <row r="112" spans="1:30" ht="230.25" outlineLevel="2" thickBot="1" x14ac:dyDescent="0.25">
      <c r="A112" s="118" t="s">
        <v>342</v>
      </c>
      <c r="B112" s="143" t="s">
        <v>569</v>
      </c>
      <c r="C112" s="255" t="s">
        <v>1059</v>
      </c>
      <c r="D112" s="146" t="s">
        <v>253</v>
      </c>
      <c r="E112" s="136" t="s">
        <v>156</v>
      </c>
      <c r="F112" s="136" t="s">
        <v>252</v>
      </c>
      <c r="G112" s="136" t="s">
        <v>242</v>
      </c>
      <c r="H112" s="125" t="s">
        <v>178</v>
      </c>
      <c r="I112" s="126">
        <v>2</v>
      </c>
      <c r="J112" s="140" t="s">
        <v>177</v>
      </c>
      <c r="K112" s="127" t="s">
        <v>246</v>
      </c>
      <c r="L112" s="128">
        <v>1</v>
      </c>
      <c r="M112" s="129">
        <f t="shared" si="54"/>
        <v>2</v>
      </c>
      <c r="N112" s="249" t="s">
        <v>1548</v>
      </c>
      <c r="O112" s="70" t="s">
        <v>101</v>
      </c>
      <c r="P112" s="128">
        <v>5</v>
      </c>
      <c r="Q112" s="130">
        <f t="shared" si="55"/>
        <v>10</v>
      </c>
      <c r="R112" s="70" t="s">
        <v>101</v>
      </c>
      <c r="S112" s="70" t="s">
        <v>101</v>
      </c>
      <c r="T112" s="138"/>
      <c r="U112" s="139"/>
      <c r="V112" s="131"/>
      <c r="W112" s="138"/>
      <c r="X112" s="139"/>
      <c r="Y112" s="139"/>
      <c r="Z112" s="131"/>
      <c r="AA112" s="132"/>
      <c r="AB112" s="112"/>
      <c r="AC112" s="79"/>
      <c r="AD112" s="122">
        <f t="shared" si="41"/>
        <v>-1357</v>
      </c>
    </row>
    <row r="113" spans="1:30" ht="370.5" outlineLevel="2" thickBot="1" x14ac:dyDescent="0.25">
      <c r="A113" s="118" t="s">
        <v>343</v>
      </c>
      <c r="B113" s="143" t="s">
        <v>570</v>
      </c>
      <c r="C113" s="314" t="s">
        <v>1058</v>
      </c>
      <c r="D113" s="146" t="s">
        <v>571</v>
      </c>
      <c r="E113" s="136" t="s">
        <v>192</v>
      </c>
      <c r="F113" s="242" t="s">
        <v>254</v>
      </c>
      <c r="G113" s="136" t="s">
        <v>242</v>
      </c>
      <c r="H113" s="125" t="s">
        <v>178</v>
      </c>
      <c r="I113" s="126">
        <v>3</v>
      </c>
      <c r="J113" s="140" t="s">
        <v>255</v>
      </c>
      <c r="K113" s="127" t="s">
        <v>246</v>
      </c>
      <c r="L113" s="128">
        <v>2</v>
      </c>
      <c r="M113" s="129">
        <f t="shared" si="54"/>
        <v>6</v>
      </c>
      <c r="N113" s="249" t="s">
        <v>1548</v>
      </c>
      <c r="O113" s="241" t="s">
        <v>199</v>
      </c>
      <c r="P113" s="128">
        <v>3</v>
      </c>
      <c r="Q113" s="130">
        <f t="shared" si="55"/>
        <v>18</v>
      </c>
      <c r="R113" s="70" t="s">
        <v>1479</v>
      </c>
      <c r="S113" s="70" t="s">
        <v>101</v>
      </c>
      <c r="T113" s="138"/>
      <c r="U113" s="139"/>
      <c r="V113" s="131"/>
      <c r="W113" s="138"/>
      <c r="X113" s="139"/>
      <c r="Y113" s="139"/>
      <c r="Z113" s="131"/>
      <c r="AA113" s="132"/>
      <c r="AB113" s="112"/>
      <c r="AC113" s="79"/>
      <c r="AD113" s="122">
        <f t="shared" si="41"/>
        <v>-1358</v>
      </c>
    </row>
    <row r="114" spans="1:30" ht="370.5" outlineLevel="2" thickBot="1" x14ac:dyDescent="0.25">
      <c r="A114" s="118" t="s">
        <v>827</v>
      </c>
      <c r="B114" s="143"/>
      <c r="C114" s="315"/>
      <c r="D114" s="146"/>
      <c r="E114" s="136" t="s">
        <v>756</v>
      </c>
      <c r="F114" s="242" t="s">
        <v>757</v>
      </c>
      <c r="G114" s="136" t="s">
        <v>242</v>
      </c>
      <c r="H114" s="125" t="s">
        <v>178</v>
      </c>
      <c r="I114" s="126">
        <v>3</v>
      </c>
      <c r="J114" s="140" t="s">
        <v>255</v>
      </c>
      <c r="K114" s="127" t="s">
        <v>246</v>
      </c>
      <c r="L114" s="128">
        <v>2</v>
      </c>
      <c r="M114" s="129">
        <f t="shared" ref="M114" si="63">I114*L114</f>
        <v>6</v>
      </c>
      <c r="N114" s="249" t="s">
        <v>1548</v>
      </c>
      <c r="O114" s="241" t="s">
        <v>199</v>
      </c>
      <c r="P114" s="128">
        <v>3</v>
      </c>
      <c r="Q114" s="130">
        <f t="shared" ref="Q114" si="64">I114*L114*P114</f>
        <v>18</v>
      </c>
      <c r="R114" s="70" t="s">
        <v>1479</v>
      </c>
      <c r="S114" s="70" t="s">
        <v>101</v>
      </c>
      <c r="T114" s="138"/>
      <c r="U114" s="139"/>
      <c r="V114" s="131"/>
      <c r="W114" s="138"/>
      <c r="X114" s="139"/>
      <c r="Y114" s="139"/>
      <c r="Z114" s="131"/>
      <c r="AA114" s="132"/>
      <c r="AB114" s="112"/>
      <c r="AC114" s="79"/>
      <c r="AD114" s="122">
        <f t="shared" si="41"/>
        <v>-5110</v>
      </c>
    </row>
    <row r="115" spans="1:30" ht="370.5" outlineLevel="2" thickBot="1" x14ac:dyDescent="0.25">
      <c r="A115" s="118" t="s">
        <v>344</v>
      </c>
      <c r="B115" s="143" t="s">
        <v>572</v>
      </c>
      <c r="C115" s="255" t="s">
        <v>1060</v>
      </c>
      <c r="D115" s="146" t="s">
        <v>256</v>
      </c>
      <c r="E115" s="146" t="s">
        <v>167</v>
      </c>
      <c r="F115" s="136" t="s">
        <v>573</v>
      </c>
      <c r="G115" s="136" t="s">
        <v>242</v>
      </c>
      <c r="H115" s="125" t="s">
        <v>178</v>
      </c>
      <c r="I115" s="126">
        <v>3</v>
      </c>
      <c r="J115" s="140" t="s">
        <v>177</v>
      </c>
      <c r="K115" s="127" t="s">
        <v>246</v>
      </c>
      <c r="L115" s="128">
        <v>2</v>
      </c>
      <c r="M115" s="129">
        <f t="shared" si="54"/>
        <v>6</v>
      </c>
      <c r="N115" s="249" t="s">
        <v>1548</v>
      </c>
      <c r="O115" s="241" t="s">
        <v>199</v>
      </c>
      <c r="P115" s="128">
        <v>3</v>
      </c>
      <c r="Q115" s="130">
        <f t="shared" si="55"/>
        <v>18</v>
      </c>
      <c r="R115" s="70" t="s">
        <v>1479</v>
      </c>
      <c r="S115" s="70" t="s">
        <v>101</v>
      </c>
      <c r="T115" s="138" t="s">
        <v>235</v>
      </c>
      <c r="U115" s="139"/>
      <c r="V115" s="131"/>
      <c r="W115" s="138"/>
      <c r="X115" s="139"/>
      <c r="Y115" s="139"/>
      <c r="Z115" s="131"/>
      <c r="AA115" s="132"/>
      <c r="AB115" s="112"/>
      <c r="AC115" s="79"/>
      <c r="AD115" s="122">
        <f t="shared" si="41"/>
        <v>-1359</v>
      </c>
    </row>
    <row r="116" spans="1:30" ht="370.5" outlineLevel="2" thickBot="1" x14ac:dyDescent="0.25">
      <c r="A116" s="118" t="s">
        <v>345</v>
      </c>
      <c r="B116" s="143" t="s">
        <v>574</v>
      </c>
      <c r="C116" s="255" t="s">
        <v>1061</v>
      </c>
      <c r="D116" s="146"/>
      <c r="E116" s="146" t="s">
        <v>575</v>
      </c>
      <c r="F116" s="136" t="s">
        <v>573</v>
      </c>
      <c r="G116" s="136" t="s">
        <v>242</v>
      </c>
      <c r="H116" s="125" t="s">
        <v>178</v>
      </c>
      <c r="I116" s="126">
        <v>3</v>
      </c>
      <c r="J116" s="140" t="s">
        <v>177</v>
      </c>
      <c r="K116" s="127" t="s">
        <v>246</v>
      </c>
      <c r="L116" s="128">
        <v>1</v>
      </c>
      <c r="M116" s="129">
        <f t="shared" si="54"/>
        <v>3</v>
      </c>
      <c r="N116" s="249" t="s">
        <v>1548</v>
      </c>
      <c r="O116" s="241" t="s">
        <v>199</v>
      </c>
      <c r="P116" s="128">
        <v>3</v>
      </c>
      <c r="Q116" s="130">
        <f t="shared" si="55"/>
        <v>9</v>
      </c>
      <c r="R116" s="70" t="s">
        <v>1479</v>
      </c>
      <c r="S116" s="70" t="s">
        <v>101</v>
      </c>
      <c r="T116" s="138" t="s">
        <v>235</v>
      </c>
      <c r="U116" s="139"/>
      <c r="V116" s="131"/>
      <c r="W116" s="138"/>
      <c r="X116" s="139"/>
      <c r="Y116" s="139"/>
      <c r="Z116" s="131"/>
      <c r="AA116" s="132"/>
      <c r="AB116" s="112"/>
      <c r="AC116" s="79"/>
      <c r="AD116" s="122">
        <f t="shared" si="41"/>
        <v>-1360</v>
      </c>
    </row>
    <row r="117" spans="1:30" ht="370.5" outlineLevel="2" thickBot="1" x14ac:dyDescent="0.25">
      <c r="A117" s="118" t="s">
        <v>346</v>
      </c>
      <c r="B117" s="143" t="s">
        <v>576</v>
      </c>
      <c r="C117" s="255" t="s">
        <v>1062</v>
      </c>
      <c r="D117" s="146" t="s">
        <v>256</v>
      </c>
      <c r="E117" s="146" t="s">
        <v>590</v>
      </c>
      <c r="F117" s="136" t="s">
        <v>250</v>
      </c>
      <c r="G117" s="136" t="s">
        <v>242</v>
      </c>
      <c r="H117" s="125" t="s">
        <v>178</v>
      </c>
      <c r="I117" s="126">
        <v>3</v>
      </c>
      <c r="J117" s="140" t="s">
        <v>177</v>
      </c>
      <c r="K117" s="127" t="s">
        <v>246</v>
      </c>
      <c r="L117" s="128">
        <v>2</v>
      </c>
      <c r="M117" s="129">
        <f t="shared" si="54"/>
        <v>6</v>
      </c>
      <c r="N117" s="249" t="s">
        <v>1548</v>
      </c>
      <c r="O117" s="241" t="s">
        <v>199</v>
      </c>
      <c r="P117" s="128">
        <v>3</v>
      </c>
      <c r="Q117" s="130">
        <f t="shared" si="55"/>
        <v>18</v>
      </c>
      <c r="R117" s="70" t="s">
        <v>1479</v>
      </c>
      <c r="S117" s="70" t="s">
        <v>101</v>
      </c>
      <c r="T117" s="138" t="s">
        <v>235</v>
      </c>
      <c r="U117" s="195" t="s">
        <v>894</v>
      </c>
      <c r="V117" s="131"/>
      <c r="W117" s="138"/>
      <c r="X117" s="139"/>
      <c r="Y117" s="139"/>
      <c r="Z117" s="131"/>
      <c r="AA117" s="132"/>
      <c r="AB117" s="112"/>
      <c r="AC117" s="79"/>
      <c r="AD117" s="122">
        <f t="shared" si="41"/>
        <v>-1361</v>
      </c>
    </row>
    <row r="118" spans="1:30" ht="370.5" outlineLevel="2" thickBot="1" x14ac:dyDescent="0.25">
      <c r="A118" s="118" t="s">
        <v>347</v>
      </c>
      <c r="B118" s="143" t="s">
        <v>577</v>
      </c>
      <c r="C118" s="314" t="s">
        <v>1063</v>
      </c>
      <c r="D118" s="146" t="s">
        <v>542</v>
      </c>
      <c r="E118" s="146" t="s">
        <v>165</v>
      </c>
      <c r="F118" s="136" t="s">
        <v>250</v>
      </c>
      <c r="G118" s="136" t="s">
        <v>242</v>
      </c>
      <c r="H118" s="125" t="s">
        <v>178</v>
      </c>
      <c r="I118" s="126">
        <v>3</v>
      </c>
      <c r="J118" s="140" t="s">
        <v>177</v>
      </c>
      <c r="K118" s="127" t="s">
        <v>246</v>
      </c>
      <c r="L118" s="128">
        <v>2</v>
      </c>
      <c r="M118" s="129">
        <f t="shared" si="54"/>
        <v>6</v>
      </c>
      <c r="N118" s="249" t="s">
        <v>1548</v>
      </c>
      <c r="O118" s="241" t="s">
        <v>199</v>
      </c>
      <c r="P118" s="128">
        <v>3</v>
      </c>
      <c r="Q118" s="130">
        <f t="shared" si="55"/>
        <v>18</v>
      </c>
      <c r="R118" s="70" t="s">
        <v>1479</v>
      </c>
      <c r="S118" s="70" t="s">
        <v>101</v>
      </c>
      <c r="T118" s="138" t="s">
        <v>235</v>
      </c>
      <c r="U118" s="139"/>
      <c r="V118" s="131"/>
      <c r="W118" s="138"/>
      <c r="X118" s="139"/>
      <c r="Y118" s="139"/>
      <c r="Z118" s="131"/>
      <c r="AA118" s="132"/>
      <c r="AB118" s="112"/>
      <c r="AC118" s="79"/>
      <c r="AD118" s="122">
        <f t="shared" si="41"/>
        <v>-1362</v>
      </c>
    </row>
    <row r="119" spans="1:30" ht="370.5" outlineLevel="2" thickBot="1" x14ac:dyDescent="0.25">
      <c r="A119" s="118" t="s">
        <v>828</v>
      </c>
      <c r="B119" s="143"/>
      <c r="C119" s="315"/>
      <c r="D119" s="146"/>
      <c r="E119" s="146" t="s">
        <v>494</v>
      </c>
      <c r="F119" s="136" t="s">
        <v>758</v>
      </c>
      <c r="G119" s="136" t="s">
        <v>242</v>
      </c>
      <c r="H119" s="125" t="s">
        <v>178</v>
      </c>
      <c r="I119" s="126">
        <v>3</v>
      </c>
      <c r="J119" s="140" t="s">
        <v>177</v>
      </c>
      <c r="K119" s="127" t="s">
        <v>246</v>
      </c>
      <c r="L119" s="128">
        <v>2</v>
      </c>
      <c r="M119" s="129">
        <f t="shared" ref="M119" si="65">I119*L119</f>
        <v>6</v>
      </c>
      <c r="N119" s="249" t="s">
        <v>1548</v>
      </c>
      <c r="O119" s="241" t="s">
        <v>199</v>
      </c>
      <c r="P119" s="128">
        <v>3</v>
      </c>
      <c r="Q119" s="130">
        <f t="shared" ref="Q119" si="66">I119*L119*P119</f>
        <v>18</v>
      </c>
      <c r="R119" s="70" t="s">
        <v>1479</v>
      </c>
      <c r="S119" s="70" t="s">
        <v>101</v>
      </c>
      <c r="T119" s="138" t="s">
        <v>235</v>
      </c>
      <c r="U119" s="139"/>
      <c r="V119" s="131"/>
      <c r="W119" s="138"/>
      <c r="X119" s="139"/>
      <c r="Y119" s="139"/>
      <c r="Z119" s="131"/>
      <c r="AA119" s="132"/>
      <c r="AB119" s="112"/>
      <c r="AC119" s="79"/>
      <c r="AD119" s="122">
        <f t="shared" si="41"/>
        <v>-5111</v>
      </c>
    </row>
    <row r="120" spans="1:30" ht="370.5" outlineLevel="2" thickBot="1" x14ac:dyDescent="0.25">
      <c r="A120" s="118" t="s">
        <v>348</v>
      </c>
      <c r="B120" s="143" t="s">
        <v>578</v>
      </c>
      <c r="C120" s="314" t="s">
        <v>1064</v>
      </c>
      <c r="D120" s="146" t="s">
        <v>195</v>
      </c>
      <c r="E120" s="146" t="s">
        <v>196</v>
      </c>
      <c r="F120" s="136" t="s">
        <v>882</v>
      </c>
      <c r="G120" s="136" t="s">
        <v>242</v>
      </c>
      <c r="H120" s="125" t="s">
        <v>178</v>
      </c>
      <c r="I120" s="126">
        <v>3</v>
      </c>
      <c r="J120" s="140" t="s">
        <v>177</v>
      </c>
      <c r="K120" s="127" t="s">
        <v>246</v>
      </c>
      <c r="L120" s="128">
        <v>2</v>
      </c>
      <c r="M120" s="129">
        <f t="shared" si="54"/>
        <v>6</v>
      </c>
      <c r="N120" s="249" t="s">
        <v>1548</v>
      </c>
      <c r="O120" s="241" t="s">
        <v>199</v>
      </c>
      <c r="P120" s="128">
        <v>3</v>
      </c>
      <c r="Q120" s="130">
        <f t="shared" si="55"/>
        <v>18</v>
      </c>
      <c r="R120" s="70" t="s">
        <v>1479</v>
      </c>
      <c r="S120" s="70" t="s">
        <v>101</v>
      </c>
      <c r="T120" s="138" t="s">
        <v>235</v>
      </c>
      <c r="U120" s="139"/>
      <c r="V120" s="131"/>
      <c r="W120" s="138"/>
      <c r="X120" s="139"/>
      <c r="Y120" s="139"/>
      <c r="Z120" s="131"/>
      <c r="AA120" s="132"/>
      <c r="AB120" s="112"/>
      <c r="AC120" s="79"/>
      <c r="AD120" s="122">
        <f t="shared" si="41"/>
        <v>-1363</v>
      </c>
    </row>
    <row r="121" spans="1:30" ht="370.5" outlineLevel="2" thickBot="1" x14ac:dyDescent="0.25">
      <c r="A121" s="118" t="s">
        <v>349</v>
      </c>
      <c r="B121" s="143" t="s">
        <v>578</v>
      </c>
      <c r="C121" s="315"/>
      <c r="D121" s="146" t="s">
        <v>579</v>
      </c>
      <c r="E121" s="146" t="s">
        <v>191</v>
      </c>
      <c r="F121" s="136" t="s">
        <v>883</v>
      </c>
      <c r="G121" s="136" t="s">
        <v>242</v>
      </c>
      <c r="H121" s="125" t="s">
        <v>178</v>
      </c>
      <c r="I121" s="126">
        <v>3</v>
      </c>
      <c r="J121" s="140" t="s">
        <v>177</v>
      </c>
      <c r="K121" s="127" t="s">
        <v>246</v>
      </c>
      <c r="L121" s="128">
        <v>2</v>
      </c>
      <c r="M121" s="129">
        <f t="shared" si="54"/>
        <v>6</v>
      </c>
      <c r="N121" s="249" t="s">
        <v>1548</v>
      </c>
      <c r="O121" s="241" t="s">
        <v>199</v>
      </c>
      <c r="P121" s="128">
        <v>3</v>
      </c>
      <c r="Q121" s="130">
        <f t="shared" si="55"/>
        <v>18</v>
      </c>
      <c r="R121" s="70" t="s">
        <v>1479</v>
      </c>
      <c r="S121" s="70" t="s">
        <v>101</v>
      </c>
      <c r="T121" s="138" t="s">
        <v>235</v>
      </c>
      <c r="U121" s="139"/>
      <c r="V121" s="131"/>
      <c r="W121" s="138"/>
      <c r="X121" s="139"/>
      <c r="Y121" s="139"/>
      <c r="Z121" s="131"/>
      <c r="AA121" s="132"/>
      <c r="AB121" s="112"/>
      <c r="AC121" s="79"/>
      <c r="AD121" s="122">
        <f t="shared" si="41"/>
        <v>-1364</v>
      </c>
    </row>
    <row r="122" spans="1:30" ht="230.25" outlineLevel="2" thickBot="1" x14ac:dyDescent="0.25">
      <c r="A122" s="118" t="s">
        <v>1321</v>
      </c>
      <c r="B122" s="229" t="s">
        <v>1136</v>
      </c>
      <c r="C122" s="256" t="s">
        <v>1137</v>
      </c>
      <c r="D122" s="200" t="s">
        <v>1138</v>
      </c>
      <c r="E122" s="146" t="s">
        <v>154</v>
      </c>
      <c r="F122" s="136" t="s">
        <v>882</v>
      </c>
      <c r="G122" s="136" t="s">
        <v>242</v>
      </c>
      <c r="H122" s="125" t="s">
        <v>178</v>
      </c>
      <c r="I122" s="126">
        <v>3</v>
      </c>
      <c r="J122" s="140" t="s">
        <v>177</v>
      </c>
      <c r="K122" s="127" t="s">
        <v>244</v>
      </c>
      <c r="L122" s="128">
        <v>2</v>
      </c>
      <c r="M122" s="129">
        <f t="shared" si="54"/>
        <v>6</v>
      </c>
      <c r="N122" s="249" t="s">
        <v>1548</v>
      </c>
      <c r="O122" s="70" t="s">
        <v>101</v>
      </c>
      <c r="P122" s="128">
        <v>5</v>
      </c>
      <c r="Q122" s="130">
        <f t="shared" si="55"/>
        <v>30</v>
      </c>
      <c r="R122" s="70" t="s">
        <v>101</v>
      </c>
      <c r="S122" s="70" t="s">
        <v>101</v>
      </c>
      <c r="T122" s="138"/>
      <c r="U122" s="139"/>
      <c r="V122" s="131"/>
      <c r="W122" s="138"/>
      <c r="X122" s="139"/>
      <c r="Y122" s="139"/>
      <c r="Z122" s="131"/>
      <c r="AA122" s="132"/>
      <c r="AB122" s="112"/>
      <c r="AC122" s="79"/>
      <c r="AD122" s="122">
        <f t="shared" si="41"/>
        <v>13663</v>
      </c>
    </row>
    <row r="123" spans="1:30" ht="230.25" outlineLevel="2" thickBot="1" x14ac:dyDescent="0.25">
      <c r="A123" s="118" t="s">
        <v>1322</v>
      </c>
      <c r="B123" s="355" t="s">
        <v>1139</v>
      </c>
      <c r="C123" s="316" t="s">
        <v>1140</v>
      </c>
      <c r="D123" s="351" t="s">
        <v>1217</v>
      </c>
      <c r="E123" s="136" t="s">
        <v>156</v>
      </c>
      <c r="F123" s="136" t="s">
        <v>882</v>
      </c>
      <c r="G123" s="136" t="s">
        <v>242</v>
      </c>
      <c r="H123" s="125" t="s">
        <v>178</v>
      </c>
      <c r="I123" s="126">
        <v>3</v>
      </c>
      <c r="J123" s="140" t="s">
        <v>177</v>
      </c>
      <c r="K123" s="127" t="s">
        <v>244</v>
      </c>
      <c r="L123" s="128">
        <v>1</v>
      </c>
      <c r="M123" s="129">
        <f t="shared" ref="M123" si="67">I123*L123</f>
        <v>3</v>
      </c>
      <c r="N123" s="249" t="s">
        <v>1548</v>
      </c>
      <c r="O123" s="70" t="s">
        <v>101</v>
      </c>
      <c r="P123" s="128">
        <v>5</v>
      </c>
      <c r="Q123" s="130">
        <f t="shared" ref="Q123" si="68">I123*L123*P123</f>
        <v>15</v>
      </c>
      <c r="R123" s="70" t="s">
        <v>101</v>
      </c>
      <c r="S123" s="70" t="s">
        <v>101</v>
      </c>
      <c r="T123" s="138"/>
      <c r="U123" s="139"/>
      <c r="V123" s="131"/>
      <c r="W123" s="138"/>
      <c r="X123" s="139"/>
      <c r="Y123" s="139"/>
      <c r="Z123" s="131"/>
      <c r="AA123" s="132"/>
      <c r="AB123" s="112"/>
      <c r="AC123" s="79"/>
      <c r="AD123" s="122">
        <f t="shared" si="41"/>
        <v>13664</v>
      </c>
    </row>
    <row r="124" spans="1:30" ht="230.25" outlineLevel="2" thickBot="1" x14ac:dyDescent="0.25">
      <c r="A124" s="118" t="s">
        <v>1323</v>
      </c>
      <c r="B124" s="356"/>
      <c r="C124" s="317"/>
      <c r="D124" s="352"/>
      <c r="E124" s="136" t="s">
        <v>158</v>
      </c>
      <c r="F124" s="136" t="s">
        <v>1261</v>
      </c>
      <c r="G124" s="136" t="s">
        <v>242</v>
      </c>
      <c r="H124" s="125" t="s">
        <v>178</v>
      </c>
      <c r="I124" s="126">
        <v>3</v>
      </c>
      <c r="J124" s="140" t="s">
        <v>177</v>
      </c>
      <c r="K124" s="127" t="s">
        <v>244</v>
      </c>
      <c r="L124" s="128">
        <v>1</v>
      </c>
      <c r="M124" s="129">
        <f t="shared" ref="M124:M125" si="69">I124*L124</f>
        <v>3</v>
      </c>
      <c r="N124" s="249" t="s">
        <v>1548</v>
      </c>
      <c r="O124" s="70" t="s">
        <v>101</v>
      </c>
      <c r="P124" s="128">
        <v>5</v>
      </c>
      <c r="Q124" s="130">
        <f t="shared" ref="Q124:Q125" si="70">I124*L124*P124</f>
        <v>15</v>
      </c>
      <c r="R124" s="70" t="s">
        <v>101</v>
      </c>
      <c r="S124" s="70" t="s">
        <v>101</v>
      </c>
      <c r="T124" s="138"/>
      <c r="U124" s="139"/>
      <c r="V124" s="131"/>
      <c r="W124" s="138"/>
      <c r="X124" s="139"/>
      <c r="Y124" s="139"/>
      <c r="Z124" s="131"/>
      <c r="AA124" s="132"/>
      <c r="AB124" s="112"/>
      <c r="AC124" s="79"/>
      <c r="AD124" s="122">
        <f t="shared" si="41"/>
        <v>13665</v>
      </c>
    </row>
    <row r="125" spans="1:30" ht="230.25" outlineLevel="2" thickBot="1" x14ac:dyDescent="0.25">
      <c r="A125" s="118" t="s">
        <v>1324</v>
      </c>
      <c r="B125" s="355" t="s">
        <v>1141</v>
      </c>
      <c r="C125" s="316" t="s">
        <v>1142</v>
      </c>
      <c r="D125" s="351" t="s">
        <v>1218</v>
      </c>
      <c r="E125" s="136" t="s">
        <v>156</v>
      </c>
      <c r="F125" s="136" t="s">
        <v>882</v>
      </c>
      <c r="G125" s="136" t="s">
        <v>242</v>
      </c>
      <c r="H125" s="125" t="s">
        <v>178</v>
      </c>
      <c r="I125" s="126">
        <v>2</v>
      </c>
      <c r="J125" s="140" t="s">
        <v>177</v>
      </c>
      <c r="K125" s="127" t="s">
        <v>244</v>
      </c>
      <c r="L125" s="128">
        <v>1</v>
      </c>
      <c r="M125" s="129">
        <f t="shared" si="69"/>
        <v>2</v>
      </c>
      <c r="N125" s="249" t="s">
        <v>1548</v>
      </c>
      <c r="O125" s="70" t="s">
        <v>101</v>
      </c>
      <c r="P125" s="128">
        <v>5</v>
      </c>
      <c r="Q125" s="130">
        <f t="shared" si="70"/>
        <v>10</v>
      </c>
      <c r="R125" s="70" t="s">
        <v>101</v>
      </c>
      <c r="S125" s="70" t="s">
        <v>101</v>
      </c>
      <c r="T125" s="138"/>
      <c r="U125" s="139"/>
      <c r="V125" s="131"/>
      <c r="W125" s="138"/>
      <c r="X125" s="139"/>
      <c r="Y125" s="139"/>
      <c r="Z125" s="131"/>
      <c r="AA125" s="132"/>
      <c r="AB125" s="112"/>
      <c r="AC125" s="79"/>
      <c r="AD125" s="122">
        <f t="shared" si="41"/>
        <v>13666</v>
      </c>
    </row>
    <row r="126" spans="1:30" ht="230.25" outlineLevel="2" thickBot="1" x14ac:dyDescent="0.25">
      <c r="A126" s="118" t="s">
        <v>1325</v>
      </c>
      <c r="B126" s="356"/>
      <c r="C126" s="317"/>
      <c r="D126" s="352"/>
      <c r="E126" s="136" t="s">
        <v>158</v>
      </c>
      <c r="F126" s="136" t="s">
        <v>1231</v>
      </c>
      <c r="G126" s="136" t="s">
        <v>242</v>
      </c>
      <c r="H126" s="125" t="s">
        <v>178</v>
      </c>
      <c r="I126" s="126">
        <v>1</v>
      </c>
      <c r="J126" s="140" t="s">
        <v>177</v>
      </c>
      <c r="K126" s="127" t="s">
        <v>160</v>
      </c>
      <c r="L126" s="128">
        <v>1</v>
      </c>
      <c r="M126" s="129">
        <f t="shared" si="54"/>
        <v>1</v>
      </c>
      <c r="N126" s="249" t="s">
        <v>1548</v>
      </c>
      <c r="O126" s="70" t="s">
        <v>101</v>
      </c>
      <c r="P126" s="128">
        <v>5</v>
      </c>
      <c r="Q126" s="130">
        <f t="shared" si="55"/>
        <v>5</v>
      </c>
      <c r="R126" s="70" t="s">
        <v>101</v>
      </c>
      <c r="S126" s="70" t="s">
        <v>101</v>
      </c>
      <c r="T126" s="138"/>
      <c r="U126" s="139"/>
      <c r="V126" s="131"/>
      <c r="W126" s="138"/>
      <c r="X126" s="139"/>
      <c r="Y126" s="139"/>
      <c r="Z126" s="131"/>
      <c r="AA126" s="132"/>
      <c r="AB126" s="112"/>
      <c r="AC126" s="79"/>
      <c r="AD126" s="122">
        <f t="shared" si="41"/>
        <v>13667</v>
      </c>
    </row>
    <row r="127" spans="1:30" ht="230.25" outlineLevel="2" thickBot="1" x14ac:dyDescent="0.25">
      <c r="A127" s="118" t="s">
        <v>350</v>
      </c>
      <c r="B127" s="141" t="s">
        <v>580</v>
      </c>
      <c r="C127" s="314" t="s">
        <v>1065</v>
      </c>
      <c r="D127" s="351" t="s">
        <v>581</v>
      </c>
      <c r="E127" s="146" t="s">
        <v>167</v>
      </c>
      <c r="F127" s="136" t="s">
        <v>250</v>
      </c>
      <c r="G127" s="136" t="s">
        <v>242</v>
      </c>
      <c r="H127" s="125" t="s">
        <v>178</v>
      </c>
      <c r="I127" s="126">
        <v>3</v>
      </c>
      <c r="J127" s="140" t="s">
        <v>177</v>
      </c>
      <c r="K127" s="127" t="s">
        <v>246</v>
      </c>
      <c r="L127" s="128">
        <v>2</v>
      </c>
      <c r="M127" s="129">
        <f t="shared" si="54"/>
        <v>6</v>
      </c>
      <c r="N127" s="249" t="s">
        <v>1548</v>
      </c>
      <c r="O127" s="70" t="s">
        <v>101</v>
      </c>
      <c r="P127" s="128">
        <v>5</v>
      </c>
      <c r="Q127" s="130">
        <f t="shared" si="55"/>
        <v>30</v>
      </c>
      <c r="R127" s="70" t="s">
        <v>101</v>
      </c>
      <c r="S127" s="70" t="s">
        <v>101</v>
      </c>
      <c r="T127" s="138" t="s">
        <v>235</v>
      </c>
      <c r="U127" s="139"/>
      <c r="V127" s="131"/>
      <c r="W127" s="138"/>
      <c r="X127" s="139"/>
      <c r="Y127" s="139"/>
      <c r="Z127" s="131"/>
      <c r="AA127" s="132"/>
      <c r="AB127" s="112"/>
      <c r="AC127" s="79"/>
      <c r="AD127" s="122">
        <f t="shared" si="41"/>
        <v>-1365</v>
      </c>
    </row>
    <row r="128" spans="1:30" ht="230.25" outlineLevel="2" thickBot="1" x14ac:dyDescent="0.25">
      <c r="A128" s="118" t="s">
        <v>351</v>
      </c>
      <c r="B128" s="142" t="s">
        <v>505</v>
      </c>
      <c r="C128" s="315"/>
      <c r="D128" s="352"/>
      <c r="E128" s="146" t="s">
        <v>168</v>
      </c>
      <c r="F128" s="136" t="s">
        <v>883</v>
      </c>
      <c r="G128" s="136" t="s">
        <v>242</v>
      </c>
      <c r="H128" s="125" t="s">
        <v>178</v>
      </c>
      <c r="I128" s="126">
        <v>3</v>
      </c>
      <c r="J128" s="140" t="s">
        <v>177</v>
      </c>
      <c r="K128" s="127" t="s">
        <v>244</v>
      </c>
      <c r="L128" s="128">
        <v>2</v>
      </c>
      <c r="M128" s="129">
        <f t="shared" si="54"/>
        <v>6</v>
      </c>
      <c r="N128" s="249" t="s">
        <v>1548</v>
      </c>
      <c r="O128" s="70" t="s">
        <v>101</v>
      </c>
      <c r="P128" s="128">
        <v>5</v>
      </c>
      <c r="Q128" s="130">
        <f t="shared" si="55"/>
        <v>30</v>
      </c>
      <c r="R128" s="70" t="s">
        <v>101</v>
      </c>
      <c r="S128" s="70" t="s">
        <v>101</v>
      </c>
      <c r="T128" s="138" t="s">
        <v>235</v>
      </c>
      <c r="U128" s="139"/>
      <c r="V128" s="131"/>
      <c r="W128" s="138"/>
      <c r="X128" s="139"/>
      <c r="Y128" s="139"/>
      <c r="Z128" s="131"/>
      <c r="AA128" s="132"/>
      <c r="AB128" s="112"/>
      <c r="AC128" s="79"/>
      <c r="AD128" s="122">
        <f t="shared" si="41"/>
        <v>-1366</v>
      </c>
    </row>
    <row r="129" spans="1:30" s="121" customFormat="1" ht="255.75" outlineLevel="2" thickBot="1" x14ac:dyDescent="0.25">
      <c r="A129" s="118" t="s">
        <v>352</v>
      </c>
      <c r="B129" s="355" t="s">
        <v>582</v>
      </c>
      <c r="C129" s="316" t="s">
        <v>1066</v>
      </c>
      <c r="D129" s="351" t="s">
        <v>583</v>
      </c>
      <c r="E129" s="146" t="s">
        <v>156</v>
      </c>
      <c r="F129" s="136" t="s">
        <v>882</v>
      </c>
      <c r="G129" s="136" t="s">
        <v>242</v>
      </c>
      <c r="H129" s="125" t="s">
        <v>178</v>
      </c>
      <c r="I129" s="126">
        <v>3</v>
      </c>
      <c r="J129" s="140" t="s">
        <v>177</v>
      </c>
      <c r="K129" s="127" t="s">
        <v>244</v>
      </c>
      <c r="L129" s="128">
        <v>1</v>
      </c>
      <c r="M129" s="174">
        <f t="shared" si="54"/>
        <v>3</v>
      </c>
      <c r="N129" s="249" t="s">
        <v>1548</v>
      </c>
      <c r="O129" s="70" t="s">
        <v>101</v>
      </c>
      <c r="P129" s="128">
        <v>5</v>
      </c>
      <c r="Q129" s="130">
        <f t="shared" si="55"/>
        <v>15</v>
      </c>
      <c r="R129" s="70" t="s">
        <v>101</v>
      </c>
      <c r="S129" s="70" t="s">
        <v>101</v>
      </c>
      <c r="T129" s="135" t="s">
        <v>235</v>
      </c>
      <c r="U129" s="197" t="s">
        <v>973</v>
      </c>
      <c r="V129" s="178"/>
      <c r="W129" s="135"/>
      <c r="X129" s="136"/>
      <c r="Y129" s="136"/>
      <c r="Z129" s="178"/>
      <c r="AA129" s="179"/>
      <c r="AB129" s="180"/>
      <c r="AD129" s="122">
        <f t="shared" si="41"/>
        <v>-1367</v>
      </c>
    </row>
    <row r="130" spans="1:30" s="121" customFormat="1" ht="255.75" outlineLevel="2" thickBot="1" x14ac:dyDescent="0.25">
      <c r="A130" s="118" t="s">
        <v>939</v>
      </c>
      <c r="B130" s="356"/>
      <c r="C130" s="317"/>
      <c r="D130" s="352"/>
      <c r="E130" s="146" t="s">
        <v>492</v>
      </c>
      <c r="F130" s="136" t="s">
        <v>974</v>
      </c>
      <c r="G130" s="136" t="s">
        <v>242</v>
      </c>
      <c r="H130" s="125" t="s">
        <v>178</v>
      </c>
      <c r="I130" s="126">
        <v>2</v>
      </c>
      <c r="J130" s="140" t="s">
        <v>177</v>
      </c>
      <c r="K130" s="127" t="s">
        <v>244</v>
      </c>
      <c r="L130" s="128">
        <v>1</v>
      </c>
      <c r="M130" s="174">
        <f t="shared" ref="M130" si="71">I130*L130</f>
        <v>2</v>
      </c>
      <c r="N130" s="249" t="s">
        <v>1548</v>
      </c>
      <c r="O130" s="70" t="s">
        <v>101</v>
      </c>
      <c r="P130" s="128">
        <v>5</v>
      </c>
      <c r="Q130" s="130">
        <f t="shared" si="55"/>
        <v>10</v>
      </c>
      <c r="R130" s="70" t="s">
        <v>101</v>
      </c>
      <c r="S130" s="70" t="s">
        <v>101</v>
      </c>
      <c r="T130" s="135" t="s">
        <v>235</v>
      </c>
      <c r="U130" s="197" t="s">
        <v>973</v>
      </c>
      <c r="V130" s="178"/>
      <c r="W130" s="135"/>
      <c r="X130" s="136"/>
      <c r="Y130" s="136"/>
      <c r="Z130" s="178"/>
      <c r="AA130" s="179"/>
      <c r="AB130" s="180"/>
      <c r="AD130" s="122">
        <f t="shared" si="41"/>
        <v>-9786</v>
      </c>
    </row>
    <row r="131" spans="1:30" ht="230.25" outlineLevel="2" thickBot="1" x14ac:dyDescent="0.25">
      <c r="A131" s="118" t="s">
        <v>353</v>
      </c>
      <c r="B131" s="141" t="s">
        <v>584</v>
      </c>
      <c r="C131" s="316" t="s">
        <v>1081</v>
      </c>
      <c r="D131" s="351" t="s">
        <v>585</v>
      </c>
      <c r="E131" s="146" t="s">
        <v>156</v>
      </c>
      <c r="F131" s="136" t="s">
        <v>882</v>
      </c>
      <c r="G131" s="136" t="s">
        <v>242</v>
      </c>
      <c r="H131" s="125" t="s">
        <v>178</v>
      </c>
      <c r="I131" s="126">
        <v>3</v>
      </c>
      <c r="J131" s="140" t="s">
        <v>177</v>
      </c>
      <c r="K131" s="127" t="s">
        <v>246</v>
      </c>
      <c r="L131" s="128">
        <v>1</v>
      </c>
      <c r="M131" s="129">
        <f t="shared" si="54"/>
        <v>3</v>
      </c>
      <c r="N131" s="249" t="s">
        <v>1548</v>
      </c>
      <c r="O131" s="70" t="s">
        <v>101</v>
      </c>
      <c r="P131" s="128">
        <v>5</v>
      </c>
      <c r="Q131" s="130">
        <f t="shared" si="55"/>
        <v>15</v>
      </c>
      <c r="R131" s="70" t="s">
        <v>101</v>
      </c>
      <c r="S131" s="70" t="s">
        <v>101</v>
      </c>
      <c r="T131" s="138" t="s">
        <v>235</v>
      </c>
      <c r="U131" s="139"/>
      <c r="V131" s="131"/>
      <c r="W131" s="138"/>
      <c r="X131" s="139"/>
      <c r="Y131" s="139"/>
      <c r="Z131" s="131"/>
      <c r="AA131" s="132"/>
      <c r="AB131" s="112"/>
      <c r="AC131" s="79"/>
      <c r="AD131" s="122">
        <f t="shared" si="41"/>
        <v>-1368</v>
      </c>
    </row>
    <row r="132" spans="1:30" ht="230.25" outlineLevel="2" thickBot="1" x14ac:dyDescent="0.25">
      <c r="A132" s="118" t="s">
        <v>354</v>
      </c>
      <c r="B132" s="142" t="s">
        <v>505</v>
      </c>
      <c r="C132" s="317"/>
      <c r="D132" s="352"/>
      <c r="E132" s="146" t="s">
        <v>158</v>
      </c>
      <c r="F132" s="136" t="s">
        <v>257</v>
      </c>
      <c r="G132" s="136" t="s">
        <v>242</v>
      </c>
      <c r="H132" s="125" t="s">
        <v>178</v>
      </c>
      <c r="I132" s="126">
        <v>1</v>
      </c>
      <c r="J132" s="140" t="s">
        <v>177</v>
      </c>
      <c r="K132" s="127" t="s">
        <v>246</v>
      </c>
      <c r="L132" s="128">
        <v>1</v>
      </c>
      <c r="M132" s="129">
        <f t="shared" si="54"/>
        <v>1</v>
      </c>
      <c r="N132" s="249" t="s">
        <v>1548</v>
      </c>
      <c r="O132" s="70" t="s">
        <v>101</v>
      </c>
      <c r="P132" s="128">
        <v>5</v>
      </c>
      <c r="Q132" s="130">
        <f t="shared" si="55"/>
        <v>5</v>
      </c>
      <c r="R132" s="70" t="s">
        <v>101</v>
      </c>
      <c r="S132" s="70" t="s">
        <v>101</v>
      </c>
      <c r="T132" s="138" t="s">
        <v>235</v>
      </c>
      <c r="U132" s="139"/>
      <c r="V132" s="131"/>
      <c r="W132" s="138"/>
      <c r="X132" s="139"/>
      <c r="Y132" s="139"/>
      <c r="Z132" s="131"/>
      <c r="AA132" s="132"/>
      <c r="AB132" s="112"/>
      <c r="AC132" s="79"/>
      <c r="AD132" s="122">
        <f t="shared" ref="AD132:AD195" si="72">VALUE(RIGHT((IF(A132="",0,A132)),5))</f>
        <v>-1369</v>
      </c>
    </row>
    <row r="133" spans="1:30" ht="370.5" outlineLevel="2" thickBot="1" x14ac:dyDescent="0.25">
      <c r="A133" s="118" t="s">
        <v>355</v>
      </c>
      <c r="B133" s="141" t="s">
        <v>586</v>
      </c>
      <c r="C133" s="316" t="s">
        <v>1080</v>
      </c>
      <c r="D133" s="351" t="s">
        <v>587</v>
      </c>
      <c r="E133" s="146" t="s">
        <v>168</v>
      </c>
      <c r="F133" s="136" t="s">
        <v>883</v>
      </c>
      <c r="G133" s="136" t="s">
        <v>242</v>
      </c>
      <c r="H133" s="125" t="s">
        <v>178</v>
      </c>
      <c r="I133" s="126">
        <v>3</v>
      </c>
      <c r="J133" s="140" t="s">
        <v>177</v>
      </c>
      <c r="K133" s="127" t="s">
        <v>246</v>
      </c>
      <c r="L133" s="128">
        <v>2</v>
      </c>
      <c r="M133" s="129">
        <f t="shared" si="54"/>
        <v>6</v>
      </c>
      <c r="N133" s="249" t="s">
        <v>1548</v>
      </c>
      <c r="O133" s="70"/>
      <c r="P133" s="128">
        <v>3</v>
      </c>
      <c r="Q133" s="130">
        <f t="shared" si="55"/>
        <v>18</v>
      </c>
      <c r="R133" s="70" t="s">
        <v>1479</v>
      </c>
      <c r="S133" s="70" t="s">
        <v>101</v>
      </c>
      <c r="T133" s="138" t="s">
        <v>235</v>
      </c>
      <c r="U133" s="139"/>
      <c r="V133" s="131"/>
      <c r="W133" s="138"/>
      <c r="X133" s="139"/>
      <c r="Y133" s="139"/>
      <c r="Z133" s="131"/>
      <c r="AA133" s="132"/>
      <c r="AB133" s="112"/>
      <c r="AC133" s="79"/>
      <c r="AD133" s="122">
        <f t="shared" si="72"/>
        <v>-1370</v>
      </c>
    </row>
    <row r="134" spans="1:30" ht="370.5" outlineLevel="2" thickBot="1" x14ac:dyDescent="0.25">
      <c r="A134" s="118" t="s">
        <v>356</v>
      </c>
      <c r="B134" s="142" t="s">
        <v>505</v>
      </c>
      <c r="C134" s="317"/>
      <c r="D134" s="352"/>
      <c r="E134" s="146" t="s">
        <v>167</v>
      </c>
      <c r="F134" s="136" t="s">
        <v>882</v>
      </c>
      <c r="G134" s="136" t="s">
        <v>242</v>
      </c>
      <c r="H134" s="125" t="s">
        <v>178</v>
      </c>
      <c r="I134" s="126">
        <v>3</v>
      </c>
      <c r="J134" s="140" t="s">
        <v>177</v>
      </c>
      <c r="K134" s="127" t="s">
        <v>244</v>
      </c>
      <c r="L134" s="128">
        <v>2</v>
      </c>
      <c r="M134" s="129">
        <f t="shared" si="54"/>
        <v>6</v>
      </c>
      <c r="N134" s="249" t="s">
        <v>1548</v>
      </c>
      <c r="O134" s="70"/>
      <c r="P134" s="128">
        <v>3</v>
      </c>
      <c r="Q134" s="130">
        <f t="shared" si="55"/>
        <v>18</v>
      </c>
      <c r="R134" s="70" t="s">
        <v>1479</v>
      </c>
      <c r="S134" s="70" t="s">
        <v>101</v>
      </c>
      <c r="T134" s="138" t="s">
        <v>235</v>
      </c>
      <c r="U134" s="139"/>
      <c r="V134" s="131"/>
      <c r="W134" s="138"/>
      <c r="X134" s="139"/>
      <c r="Y134" s="139"/>
      <c r="Z134" s="131"/>
      <c r="AA134" s="132"/>
      <c r="AB134" s="112"/>
      <c r="AC134" s="79"/>
      <c r="AD134" s="122">
        <f t="shared" si="72"/>
        <v>-1371</v>
      </c>
    </row>
    <row r="135" spans="1:30" s="121" customFormat="1" ht="370.5" outlineLevel="2" thickBot="1" x14ac:dyDescent="0.25">
      <c r="A135" s="118" t="s">
        <v>357</v>
      </c>
      <c r="B135" s="355" t="s">
        <v>588</v>
      </c>
      <c r="C135" s="316" t="s">
        <v>1067</v>
      </c>
      <c r="D135" s="351" t="s">
        <v>589</v>
      </c>
      <c r="E135" s="136" t="s">
        <v>895</v>
      </c>
      <c r="F135" s="136" t="s">
        <v>918</v>
      </c>
      <c r="G135" s="136" t="s">
        <v>242</v>
      </c>
      <c r="H135" s="125" t="s">
        <v>178</v>
      </c>
      <c r="I135" s="126">
        <v>3</v>
      </c>
      <c r="J135" s="140" t="s">
        <v>177</v>
      </c>
      <c r="K135" s="127" t="s">
        <v>244</v>
      </c>
      <c r="L135" s="128">
        <v>2</v>
      </c>
      <c r="M135" s="174">
        <f t="shared" si="54"/>
        <v>6</v>
      </c>
      <c r="N135" s="249" t="s">
        <v>1548</v>
      </c>
      <c r="O135" s="70"/>
      <c r="P135" s="128">
        <v>3</v>
      </c>
      <c r="Q135" s="176">
        <f t="shared" si="55"/>
        <v>18</v>
      </c>
      <c r="R135" s="70" t="s">
        <v>1479</v>
      </c>
      <c r="S135" s="70" t="s">
        <v>101</v>
      </c>
      <c r="T135" s="135" t="s">
        <v>235</v>
      </c>
      <c r="U135" s="197" t="s">
        <v>958</v>
      </c>
      <c r="V135" s="178"/>
      <c r="W135" s="135"/>
      <c r="X135" s="136"/>
      <c r="Y135" s="136"/>
      <c r="Z135" s="178"/>
      <c r="AA135" s="179"/>
      <c r="AB135" s="180"/>
      <c r="AD135" s="122">
        <f t="shared" si="72"/>
        <v>-1372</v>
      </c>
    </row>
    <row r="136" spans="1:30" s="121" customFormat="1" ht="370.5" outlineLevel="2" thickBot="1" x14ac:dyDescent="0.25">
      <c r="A136" s="118" t="s">
        <v>940</v>
      </c>
      <c r="B136" s="356"/>
      <c r="C136" s="317"/>
      <c r="D136" s="352"/>
      <c r="E136" s="136" t="s">
        <v>896</v>
      </c>
      <c r="F136" s="136" t="s">
        <v>258</v>
      </c>
      <c r="G136" s="136" t="s">
        <v>242</v>
      </c>
      <c r="H136" s="125" t="s">
        <v>178</v>
      </c>
      <c r="I136" s="126">
        <v>3</v>
      </c>
      <c r="J136" s="140" t="s">
        <v>177</v>
      </c>
      <c r="K136" s="127" t="s">
        <v>244</v>
      </c>
      <c r="L136" s="128">
        <v>2</v>
      </c>
      <c r="M136" s="174">
        <f t="shared" ref="M136:M138" si="73">I136*L136</f>
        <v>6</v>
      </c>
      <c r="N136" s="249" t="s">
        <v>1548</v>
      </c>
      <c r="O136" s="70"/>
      <c r="P136" s="128">
        <v>3</v>
      </c>
      <c r="Q136" s="176">
        <f t="shared" ref="Q136:Q138" si="74">I136*L136*P136</f>
        <v>18</v>
      </c>
      <c r="R136" s="70" t="s">
        <v>1479</v>
      </c>
      <c r="S136" s="70" t="s">
        <v>101</v>
      </c>
      <c r="T136" s="135" t="s">
        <v>235</v>
      </c>
      <c r="U136" s="136"/>
      <c r="V136" s="178"/>
      <c r="W136" s="135"/>
      <c r="X136" s="136"/>
      <c r="Y136" s="136"/>
      <c r="Z136" s="178"/>
      <c r="AA136" s="179"/>
      <c r="AB136" s="180"/>
      <c r="AD136" s="122">
        <f t="shared" si="72"/>
        <v>-9787</v>
      </c>
    </row>
    <row r="137" spans="1:30" s="121" customFormat="1" ht="230.25" outlineLevel="2" thickBot="1" x14ac:dyDescent="0.25">
      <c r="A137" s="160" t="s">
        <v>1326</v>
      </c>
      <c r="B137" s="374" t="s">
        <v>1247</v>
      </c>
      <c r="C137" s="375" t="s">
        <v>1249</v>
      </c>
      <c r="D137" s="363" t="s">
        <v>1251</v>
      </c>
      <c r="E137" s="136" t="s">
        <v>1253</v>
      </c>
      <c r="F137" s="136" t="s">
        <v>1254</v>
      </c>
      <c r="G137" s="136" t="s">
        <v>242</v>
      </c>
      <c r="H137" s="125" t="s">
        <v>178</v>
      </c>
      <c r="I137" s="126">
        <v>3</v>
      </c>
      <c r="J137" s="140" t="s">
        <v>177</v>
      </c>
      <c r="K137" s="127" t="s">
        <v>244</v>
      </c>
      <c r="L137" s="128">
        <v>2</v>
      </c>
      <c r="M137" s="174">
        <f t="shared" si="73"/>
        <v>6</v>
      </c>
      <c r="N137" s="249" t="s">
        <v>1548</v>
      </c>
      <c r="O137" s="70" t="s">
        <v>101</v>
      </c>
      <c r="P137" s="128">
        <v>5</v>
      </c>
      <c r="Q137" s="176">
        <f t="shared" si="74"/>
        <v>30</v>
      </c>
      <c r="R137" s="70" t="s">
        <v>101</v>
      </c>
      <c r="S137" s="70" t="s">
        <v>101</v>
      </c>
      <c r="T137" s="135"/>
      <c r="U137" s="136"/>
      <c r="V137" s="178"/>
      <c r="W137" s="135"/>
      <c r="X137" s="136"/>
      <c r="Y137" s="136"/>
      <c r="Z137" s="178"/>
      <c r="AA137" s="179"/>
      <c r="AB137" s="180"/>
      <c r="AD137" s="122">
        <f t="shared" si="72"/>
        <v>13668</v>
      </c>
    </row>
    <row r="138" spans="1:30" s="121" customFormat="1" ht="370.5" outlineLevel="2" thickBot="1" x14ac:dyDescent="0.25">
      <c r="A138" s="160" t="s">
        <v>1327</v>
      </c>
      <c r="B138" s="374"/>
      <c r="C138" s="375"/>
      <c r="D138" s="363"/>
      <c r="E138" s="136" t="s">
        <v>1255</v>
      </c>
      <c r="F138" s="136" t="s">
        <v>918</v>
      </c>
      <c r="G138" s="136" t="s">
        <v>242</v>
      </c>
      <c r="H138" s="125" t="s">
        <v>178</v>
      </c>
      <c r="I138" s="126">
        <v>3</v>
      </c>
      <c r="J138" s="140" t="s">
        <v>177</v>
      </c>
      <c r="K138" s="127" t="s">
        <v>244</v>
      </c>
      <c r="L138" s="128">
        <v>2</v>
      </c>
      <c r="M138" s="174">
        <f t="shared" si="73"/>
        <v>6</v>
      </c>
      <c r="N138" s="249" t="s">
        <v>1548</v>
      </c>
      <c r="O138" s="70"/>
      <c r="P138" s="128">
        <v>3</v>
      </c>
      <c r="Q138" s="176">
        <f t="shared" si="74"/>
        <v>18</v>
      </c>
      <c r="R138" s="70" t="s">
        <v>1479</v>
      </c>
      <c r="S138" s="70" t="s">
        <v>101</v>
      </c>
      <c r="T138" s="135"/>
      <c r="U138" s="136"/>
      <c r="V138" s="178"/>
      <c r="W138" s="135"/>
      <c r="X138" s="136"/>
      <c r="Y138" s="136"/>
      <c r="Z138" s="178"/>
      <c r="AA138" s="179"/>
      <c r="AB138" s="180"/>
      <c r="AD138" s="122">
        <f t="shared" si="72"/>
        <v>13669</v>
      </c>
    </row>
    <row r="139" spans="1:30" s="121" customFormat="1" ht="370.5" outlineLevel="2" thickBot="1" x14ac:dyDescent="0.25">
      <c r="A139" s="160" t="s">
        <v>1328</v>
      </c>
      <c r="B139" s="374"/>
      <c r="C139" s="375"/>
      <c r="D139" s="363"/>
      <c r="E139" s="136" t="s">
        <v>1256</v>
      </c>
      <c r="F139" s="136" t="s">
        <v>1257</v>
      </c>
      <c r="G139" s="136" t="s">
        <v>242</v>
      </c>
      <c r="H139" s="125" t="s">
        <v>178</v>
      </c>
      <c r="I139" s="126">
        <v>3</v>
      </c>
      <c r="J139" s="140" t="s">
        <v>177</v>
      </c>
      <c r="K139" s="127" t="s">
        <v>244</v>
      </c>
      <c r="L139" s="128">
        <v>2</v>
      </c>
      <c r="M139" s="174">
        <f t="shared" ref="M139:M142" si="75">I139*L139</f>
        <v>6</v>
      </c>
      <c r="N139" s="249" t="s">
        <v>1548</v>
      </c>
      <c r="O139" s="175"/>
      <c r="P139" s="128">
        <v>3</v>
      </c>
      <c r="Q139" s="176">
        <f t="shared" ref="Q139:Q142" si="76">I139*L139*P139</f>
        <v>18</v>
      </c>
      <c r="R139" s="70" t="s">
        <v>1479</v>
      </c>
      <c r="S139" s="70" t="s">
        <v>101</v>
      </c>
      <c r="T139" s="135"/>
      <c r="U139" s="136"/>
      <c r="V139" s="178"/>
      <c r="W139" s="135"/>
      <c r="X139" s="136"/>
      <c r="Y139" s="136"/>
      <c r="Z139" s="178"/>
      <c r="AA139" s="179"/>
      <c r="AB139" s="180"/>
      <c r="AD139" s="122">
        <f t="shared" si="72"/>
        <v>13670</v>
      </c>
    </row>
    <row r="140" spans="1:30" s="121" customFormat="1" ht="370.5" outlineLevel="2" thickBot="1" x14ac:dyDescent="0.25">
      <c r="A140" s="160" t="s">
        <v>1329</v>
      </c>
      <c r="B140" s="374"/>
      <c r="C140" s="375"/>
      <c r="D140" s="363"/>
      <c r="E140" s="136" t="s">
        <v>1258</v>
      </c>
      <c r="F140" s="136" t="s">
        <v>258</v>
      </c>
      <c r="G140" s="136" t="s">
        <v>242</v>
      </c>
      <c r="H140" s="125" t="s">
        <v>178</v>
      </c>
      <c r="I140" s="126">
        <v>3</v>
      </c>
      <c r="J140" s="140" t="s">
        <v>177</v>
      </c>
      <c r="K140" s="127" t="s">
        <v>244</v>
      </c>
      <c r="L140" s="128">
        <v>2</v>
      </c>
      <c r="M140" s="174">
        <f t="shared" si="75"/>
        <v>6</v>
      </c>
      <c r="N140" s="249" t="s">
        <v>1548</v>
      </c>
      <c r="O140" s="175"/>
      <c r="P140" s="128">
        <v>3</v>
      </c>
      <c r="Q140" s="176">
        <f t="shared" si="76"/>
        <v>18</v>
      </c>
      <c r="R140" s="70" t="s">
        <v>1479</v>
      </c>
      <c r="S140" s="70" t="s">
        <v>101</v>
      </c>
      <c r="T140" s="135"/>
      <c r="U140" s="136"/>
      <c r="V140" s="178"/>
      <c r="W140" s="135"/>
      <c r="X140" s="136"/>
      <c r="Y140" s="136"/>
      <c r="Z140" s="178"/>
      <c r="AA140" s="179"/>
      <c r="AB140" s="180"/>
      <c r="AD140" s="122">
        <f t="shared" si="72"/>
        <v>13671</v>
      </c>
    </row>
    <row r="141" spans="1:30" s="121" customFormat="1" ht="230.25" outlineLevel="2" thickBot="1" x14ac:dyDescent="0.25">
      <c r="A141" s="160" t="s">
        <v>1330</v>
      </c>
      <c r="B141" s="374" t="s">
        <v>1248</v>
      </c>
      <c r="C141" s="375" t="s">
        <v>1250</v>
      </c>
      <c r="D141" s="363" t="s">
        <v>1252</v>
      </c>
      <c r="E141" s="136" t="s">
        <v>1253</v>
      </c>
      <c r="F141" s="136" t="s">
        <v>1259</v>
      </c>
      <c r="G141" s="136" t="s">
        <v>242</v>
      </c>
      <c r="H141" s="125" t="s">
        <v>178</v>
      </c>
      <c r="I141" s="126">
        <v>2</v>
      </c>
      <c r="J141" s="140" t="s">
        <v>177</v>
      </c>
      <c r="K141" s="127" t="s">
        <v>160</v>
      </c>
      <c r="L141" s="128">
        <v>2</v>
      </c>
      <c r="M141" s="174">
        <f t="shared" si="75"/>
        <v>4</v>
      </c>
      <c r="N141" s="249" t="s">
        <v>1548</v>
      </c>
      <c r="O141" s="70" t="s">
        <v>101</v>
      </c>
      <c r="P141" s="128">
        <v>5</v>
      </c>
      <c r="Q141" s="130">
        <f t="shared" si="76"/>
        <v>20</v>
      </c>
      <c r="R141" s="70" t="s">
        <v>101</v>
      </c>
      <c r="S141" s="70" t="s">
        <v>101</v>
      </c>
      <c r="T141" s="135"/>
      <c r="U141" s="136"/>
      <c r="V141" s="178"/>
      <c r="W141" s="135"/>
      <c r="X141" s="136"/>
      <c r="Y141" s="136"/>
      <c r="Z141" s="178"/>
      <c r="AA141" s="179"/>
      <c r="AB141" s="180"/>
      <c r="AD141" s="122">
        <f t="shared" si="72"/>
        <v>13672</v>
      </c>
    </row>
    <row r="142" spans="1:30" s="121" customFormat="1" ht="230.25" outlineLevel="2" thickBot="1" x14ac:dyDescent="0.25">
      <c r="A142" s="160" t="s">
        <v>1331</v>
      </c>
      <c r="B142" s="374"/>
      <c r="C142" s="375"/>
      <c r="D142" s="363"/>
      <c r="E142" s="136" t="s">
        <v>1256</v>
      </c>
      <c r="F142" s="136" t="s">
        <v>1260</v>
      </c>
      <c r="G142" s="136" t="s">
        <v>242</v>
      </c>
      <c r="H142" s="125" t="s">
        <v>178</v>
      </c>
      <c r="I142" s="126">
        <v>1</v>
      </c>
      <c r="J142" s="140" t="s">
        <v>177</v>
      </c>
      <c r="K142" s="127" t="s">
        <v>160</v>
      </c>
      <c r="L142" s="128">
        <v>1</v>
      </c>
      <c r="M142" s="174">
        <f t="shared" si="75"/>
        <v>1</v>
      </c>
      <c r="N142" s="249" t="s">
        <v>1548</v>
      </c>
      <c r="O142" s="70" t="s">
        <v>101</v>
      </c>
      <c r="P142" s="128">
        <v>5</v>
      </c>
      <c r="Q142" s="130">
        <f t="shared" si="76"/>
        <v>5</v>
      </c>
      <c r="R142" s="70" t="s">
        <v>101</v>
      </c>
      <c r="S142" s="70" t="s">
        <v>101</v>
      </c>
      <c r="T142" s="135"/>
      <c r="U142" s="136"/>
      <c r="V142" s="178"/>
      <c r="W142" s="135"/>
      <c r="X142" s="136"/>
      <c r="Y142" s="136"/>
      <c r="Z142" s="178"/>
      <c r="AA142" s="179"/>
      <c r="AB142" s="180"/>
      <c r="AD142" s="122">
        <f t="shared" si="72"/>
        <v>13673</v>
      </c>
    </row>
    <row r="143" spans="1:30" s="121" customFormat="1" ht="370.5" outlineLevel="2" thickBot="1" x14ac:dyDescent="0.25">
      <c r="A143" s="118" t="s">
        <v>358</v>
      </c>
      <c r="B143" s="355" t="s">
        <v>591</v>
      </c>
      <c r="C143" s="316" t="s">
        <v>1068</v>
      </c>
      <c r="D143" s="351" t="s">
        <v>571</v>
      </c>
      <c r="E143" s="136" t="s">
        <v>165</v>
      </c>
      <c r="F143" s="177" t="s">
        <v>254</v>
      </c>
      <c r="G143" s="136" t="s">
        <v>242</v>
      </c>
      <c r="H143" s="125" t="s">
        <v>178</v>
      </c>
      <c r="I143" s="126">
        <v>3</v>
      </c>
      <c r="J143" s="140" t="s">
        <v>255</v>
      </c>
      <c r="K143" s="127" t="s">
        <v>246</v>
      </c>
      <c r="L143" s="128">
        <v>2</v>
      </c>
      <c r="M143" s="174">
        <f t="shared" si="54"/>
        <v>6</v>
      </c>
      <c r="N143" s="249" t="s">
        <v>1548</v>
      </c>
      <c r="O143" s="175"/>
      <c r="P143" s="128">
        <v>3</v>
      </c>
      <c r="Q143" s="176">
        <f t="shared" si="55"/>
        <v>18</v>
      </c>
      <c r="R143" s="70" t="s">
        <v>1479</v>
      </c>
      <c r="S143" s="70" t="s">
        <v>101</v>
      </c>
      <c r="T143" s="135" t="s">
        <v>235</v>
      </c>
      <c r="U143" s="195" t="s">
        <v>898</v>
      </c>
      <c r="V143" s="178"/>
      <c r="W143" s="135"/>
      <c r="X143" s="136"/>
      <c r="Y143" s="136"/>
      <c r="Z143" s="178"/>
      <c r="AA143" s="179"/>
      <c r="AB143" s="180"/>
      <c r="AD143" s="122">
        <f t="shared" si="72"/>
        <v>-1373</v>
      </c>
    </row>
    <row r="144" spans="1:30" s="121" customFormat="1" ht="370.5" outlineLevel="2" thickBot="1" x14ac:dyDescent="0.25">
      <c r="A144" s="118" t="s">
        <v>941</v>
      </c>
      <c r="B144" s="356"/>
      <c r="C144" s="317"/>
      <c r="D144" s="352"/>
      <c r="E144" s="136" t="s">
        <v>897</v>
      </c>
      <c r="F144" s="177" t="s">
        <v>919</v>
      </c>
      <c r="G144" s="136" t="s">
        <v>242</v>
      </c>
      <c r="H144" s="125" t="s">
        <v>178</v>
      </c>
      <c r="I144" s="126">
        <v>3</v>
      </c>
      <c r="J144" s="140" t="s">
        <v>177</v>
      </c>
      <c r="K144" s="127" t="s">
        <v>244</v>
      </c>
      <c r="L144" s="128">
        <v>2</v>
      </c>
      <c r="M144" s="174">
        <f t="shared" si="54"/>
        <v>6</v>
      </c>
      <c r="N144" s="249" t="s">
        <v>1548</v>
      </c>
      <c r="O144" s="175"/>
      <c r="P144" s="128">
        <v>3</v>
      </c>
      <c r="Q144" s="176">
        <f t="shared" si="55"/>
        <v>18</v>
      </c>
      <c r="R144" s="70" t="s">
        <v>1479</v>
      </c>
      <c r="S144" s="70" t="s">
        <v>101</v>
      </c>
      <c r="T144" s="135" t="s">
        <v>235</v>
      </c>
      <c r="U144" s="197" t="s">
        <v>959</v>
      </c>
      <c r="V144" s="178"/>
      <c r="W144" s="135"/>
      <c r="X144" s="136"/>
      <c r="Y144" s="136"/>
      <c r="Z144" s="178"/>
      <c r="AA144" s="179"/>
      <c r="AB144" s="180"/>
      <c r="AD144" s="122">
        <f t="shared" si="72"/>
        <v>-9788</v>
      </c>
    </row>
    <row r="145" spans="1:31" s="121" customFormat="1" ht="268.5" outlineLevel="2" thickBot="1" x14ac:dyDescent="0.25">
      <c r="A145" s="118" t="s">
        <v>359</v>
      </c>
      <c r="B145" s="184" t="s">
        <v>592</v>
      </c>
      <c r="C145" s="316" t="s">
        <v>1069</v>
      </c>
      <c r="D145" s="351" t="s">
        <v>593</v>
      </c>
      <c r="E145" s="136" t="s">
        <v>594</v>
      </c>
      <c r="F145" s="136" t="s">
        <v>1463</v>
      </c>
      <c r="G145" s="243" t="s">
        <v>1467</v>
      </c>
      <c r="H145" s="125" t="s">
        <v>188</v>
      </c>
      <c r="I145" s="126">
        <v>4</v>
      </c>
      <c r="J145" s="140" t="s">
        <v>177</v>
      </c>
      <c r="K145" s="127" t="s">
        <v>260</v>
      </c>
      <c r="L145" s="128">
        <v>2</v>
      </c>
      <c r="M145" s="174">
        <f t="shared" si="54"/>
        <v>8</v>
      </c>
      <c r="N145" s="249" t="s">
        <v>1548</v>
      </c>
      <c r="O145" s="175" t="s">
        <v>230</v>
      </c>
      <c r="P145" s="128">
        <v>2</v>
      </c>
      <c r="Q145" s="176">
        <f t="shared" si="55"/>
        <v>16</v>
      </c>
      <c r="R145" s="240" t="s">
        <v>1477</v>
      </c>
      <c r="S145" s="240" t="s">
        <v>1564</v>
      </c>
      <c r="T145" s="135" t="s">
        <v>235</v>
      </c>
      <c r="U145" s="195" t="s">
        <v>899</v>
      </c>
      <c r="V145" s="178"/>
      <c r="W145" s="135"/>
      <c r="X145" s="136"/>
      <c r="Y145" s="136"/>
      <c r="Z145" s="178"/>
      <c r="AA145" s="179"/>
      <c r="AB145" s="180"/>
      <c r="AD145" s="122">
        <f t="shared" si="72"/>
        <v>-1374</v>
      </c>
    </row>
    <row r="146" spans="1:31" s="121" customFormat="1" ht="268.5" outlineLevel="2" thickBot="1" x14ac:dyDescent="0.25">
      <c r="A146" s="118" t="s">
        <v>360</v>
      </c>
      <c r="B146" s="183" t="s">
        <v>505</v>
      </c>
      <c r="C146" s="324"/>
      <c r="D146" s="354"/>
      <c r="E146" s="136" t="s">
        <v>595</v>
      </c>
      <c r="F146" s="136" t="s">
        <v>960</v>
      </c>
      <c r="G146" s="243" t="s">
        <v>1467</v>
      </c>
      <c r="H146" s="125" t="s">
        <v>188</v>
      </c>
      <c r="I146" s="126">
        <v>4</v>
      </c>
      <c r="J146" s="140" t="s">
        <v>177</v>
      </c>
      <c r="K146" s="127" t="s">
        <v>260</v>
      </c>
      <c r="L146" s="128">
        <v>2</v>
      </c>
      <c r="M146" s="174">
        <f t="shared" ref="M146" si="77">I146*L146</f>
        <v>8</v>
      </c>
      <c r="N146" s="249" t="s">
        <v>1548</v>
      </c>
      <c r="O146" s="175" t="s">
        <v>230</v>
      </c>
      <c r="P146" s="128">
        <v>2</v>
      </c>
      <c r="Q146" s="176">
        <f t="shared" ref="Q146" si="78">I146*L146*P146</f>
        <v>16</v>
      </c>
      <c r="R146" s="240" t="s">
        <v>1477</v>
      </c>
      <c r="S146" s="240" t="s">
        <v>1564</v>
      </c>
      <c r="T146" s="135" t="s">
        <v>235</v>
      </c>
      <c r="U146" s="197" t="s">
        <v>961</v>
      </c>
      <c r="V146" s="178"/>
      <c r="W146" s="135"/>
      <c r="X146" s="136"/>
      <c r="Y146" s="136"/>
      <c r="Z146" s="178"/>
      <c r="AA146" s="179"/>
      <c r="AB146" s="180"/>
      <c r="AD146" s="122">
        <f t="shared" si="72"/>
        <v>-1375</v>
      </c>
    </row>
    <row r="147" spans="1:31" ht="370.5" outlineLevel="2" thickBot="1" x14ac:dyDescent="0.25">
      <c r="A147" s="118" t="s">
        <v>361</v>
      </c>
      <c r="B147" s="142" t="s">
        <v>505</v>
      </c>
      <c r="C147" s="317"/>
      <c r="D147" s="352"/>
      <c r="E147" s="136" t="s">
        <v>597</v>
      </c>
      <c r="F147" s="136" t="s">
        <v>258</v>
      </c>
      <c r="G147" s="136" t="s">
        <v>242</v>
      </c>
      <c r="H147" s="125" t="s">
        <v>178</v>
      </c>
      <c r="I147" s="126">
        <v>3</v>
      </c>
      <c r="J147" s="140" t="s">
        <v>255</v>
      </c>
      <c r="K147" s="127" t="s">
        <v>246</v>
      </c>
      <c r="L147" s="128">
        <v>2</v>
      </c>
      <c r="M147" s="129">
        <f t="shared" si="54"/>
        <v>6</v>
      </c>
      <c r="N147" s="249" t="s">
        <v>1548</v>
      </c>
      <c r="O147" s="175"/>
      <c r="P147" s="128">
        <v>3</v>
      </c>
      <c r="Q147" s="130">
        <f t="shared" si="55"/>
        <v>18</v>
      </c>
      <c r="R147" s="70" t="s">
        <v>1479</v>
      </c>
      <c r="S147" s="70" t="s">
        <v>101</v>
      </c>
      <c r="T147" s="138"/>
      <c r="U147" s="139"/>
      <c r="V147" s="131"/>
      <c r="W147" s="138"/>
      <c r="X147" s="139"/>
      <c r="Y147" s="139"/>
      <c r="Z147" s="131"/>
      <c r="AA147" s="132"/>
      <c r="AB147" s="112"/>
      <c r="AC147" s="79"/>
      <c r="AD147" s="122">
        <f t="shared" si="72"/>
        <v>-1376</v>
      </c>
    </row>
    <row r="148" spans="1:31" s="121" customFormat="1" ht="370.5" outlineLevel="2" thickBot="1" x14ac:dyDescent="0.25">
      <c r="A148" s="118" t="s">
        <v>362</v>
      </c>
      <c r="B148" s="184" t="s">
        <v>1144</v>
      </c>
      <c r="C148" s="316" t="s">
        <v>1143</v>
      </c>
      <c r="D148" s="351" t="s">
        <v>598</v>
      </c>
      <c r="E148" s="136" t="s">
        <v>599</v>
      </c>
      <c r="F148" s="136" t="s">
        <v>596</v>
      </c>
      <c r="G148" s="136" t="s">
        <v>242</v>
      </c>
      <c r="H148" s="125" t="s">
        <v>178</v>
      </c>
      <c r="I148" s="126">
        <v>3</v>
      </c>
      <c r="J148" s="140" t="s">
        <v>255</v>
      </c>
      <c r="K148" s="127" t="s">
        <v>246</v>
      </c>
      <c r="L148" s="128">
        <v>2</v>
      </c>
      <c r="M148" s="174">
        <f t="shared" si="54"/>
        <v>6</v>
      </c>
      <c r="N148" s="249" t="s">
        <v>1548</v>
      </c>
      <c r="O148" s="175"/>
      <c r="P148" s="128">
        <v>3</v>
      </c>
      <c r="Q148" s="176">
        <f t="shared" si="55"/>
        <v>18</v>
      </c>
      <c r="R148" s="70" t="s">
        <v>1479</v>
      </c>
      <c r="S148" s="70" t="s">
        <v>101</v>
      </c>
      <c r="T148" s="135"/>
      <c r="U148" s="195" t="s">
        <v>962</v>
      </c>
      <c r="V148" s="178"/>
      <c r="W148" s="135"/>
      <c r="X148" s="136"/>
      <c r="Y148" s="136"/>
      <c r="Z148" s="178"/>
      <c r="AA148" s="179"/>
      <c r="AB148" s="180"/>
      <c r="AD148" s="122">
        <f t="shared" si="72"/>
        <v>-1377</v>
      </c>
    </row>
    <row r="149" spans="1:31" s="121" customFormat="1" ht="370.5" outlineLevel="2" thickBot="1" x14ac:dyDescent="0.25">
      <c r="A149" s="118" t="s">
        <v>363</v>
      </c>
      <c r="B149" s="182" t="s">
        <v>505</v>
      </c>
      <c r="C149" s="317"/>
      <c r="D149" s="352"/>
      <c r="E149" s="136" t="s">
        <v>600</v>
      </c>
      <c r="F149" s="136" t="s">
        <v>596</v>
      </c>
      <c r="G149" s="136" t="s">
        <v>242</v>
      </c>
      <c r="H149" s="125" t="s">
        <v>178</v>
      </c>
      <c r="I149" s="126">
        <v>3</v>
      </c>
      <c r="J149" s="140" t="s">
        <v>255</v>
      </c>
      <c r="K149" s="127" t="s">
        <v>246</v>
      </c>
      <c r="L149" s="128">
        <v>2</v>
      </c>
      <c r="M149" s="174">
        <f t="shared" si="54"/>
        <v>6</v>
      </c>
      <c r="N149" s="249" t="s">
        <v>1548</v>
      </c>
      <c r="O149" s="175"/>
      <c r="P149" s="128">
        <v>3</v>
      </c>
      <c r="Q149" s="176">
        <f t="shared" si="55"/>
        <v>18</v>
      </c>
      <c r="R149" s="70" t="s">
        <v>1479</v>
      </c>
      <c r="S149" s="70" t="s">
        <v>101</v>
      </c>
      <c r="T149" s="135"/>
      <c r="U149" s="195" t="s">
        <v>962</v>
      </c>
      <c r="V149" s="178"/>
      <c r="W149" s="135"/>
      <c r="X149" s="136"/>
      <c r="Y149" s="136"/>
      <c r="Z149" s="178"/>
      <c r="AA149" s="179"/>
      <c r="AB149" s="180"/>
      <c r="AD149" s="122">
        <f t="shared" si="72"/>
        <v>-1378</v>
      </c>
    </row>
    <row r="150" spans="1:31" s="121" customFormat="1" ht="37.5" customHeight="1" outlineLevel="2" thickBot="1" x14ac:dyDescent="0.25">
      <c r="A150" s="118" t="s">
        <v>1332</v>
      </c>
      <c r="B150" s="355" t="s">
        <v>1145</v>
      </c>
      <c r="C150" s="316" t="s">
        <v>1147</v>
      </c>
      <c r="D150" s="351" t="s">
        <v>1300</v>
      </c>
      <c r="E150" s="136" t="s">
        <v>1118</v>
      </c>
      <c r="F150" s="136" t="s">
        <v>1212</v>
      </c>
      <c r="G150" s="243" t="s">
        <v>242</v>
      </c>
      <c r="H150" s="125" t="s">
        <v>178</v>
      </c>
      <c r="I150" s="126">
        <v>1</v>
      </c>
      <c r="J150" s="140" t="s">
        <v>177</v>
      </c>
      <c r="K150" s="127" t="s">
        <v>160</v>
      </c>
      <c r="L150" s="128">
        <v>1</v>
      </c>
      <c r="M150" s="129">
        <f t="shared" si="54"/>
        <v>1</v>
      </c>
      <c r="N150" s="249" t="s">
        <v>1548</v>
      </c>
      <c r="O150" s="70" t="s">
        <v>101</v>
      </c>
      <c r="P150" s="128">
        <v>5</v>
      </c>
      <c r="Q150" s="130">
        <f t="shared" si="55"/>
        <v>5</v>
      </c>
      <c r="R150" s="70" t="s">
        <v>101</v>
      </c>
      <c r="S150" s="70" t="s">
        <v>101</v>
      </c>
      <c r="T150" s="135"/>
      <c r="U150" s="195"/>
      <c r="V150" s="178"/>
      <c r="W150" s="135"/>
      <c r="X150" s="136"/>
      <c r="Y150" s="136"/>
      <c r="Z150" s="178"/>
      <c r="AA150" s="179"/>
      <c r="AB150" s="180"/>
      <c r="AD150" s="122">
        <f t="shared" si="72"/>
        <v>13674</v>
      </c>
    </row>
    <row r="151" spans="1:31" s="121" customFormat="1" ht="370.5" outlineLevel="2" thickBot="1" x14ac:dyDescent="0.25">
      <c r="A151" s="118" t="s">
        <v>1333</v>
      </c>
      <c r="B151" s="356"/>
      <c r="C151" s="324"/>
      <c r="D151" s="352"/>
      <c r="E151" s="136" t="s">
        <v>1117</v>
      </c>
      <c r="F151" s="136" t="s">
        <v>1301</v>
      </c>
      <c r="G151" s="136" t="s">
        <v>242</v>
      </c>
      <c r="H151" s="125" t="s">
        <v>178</v>
      </c>
      <c r="I151" s="126">
        <v>3</v>
      </c>
      <c r="J151" s="140" t="s">
        <v>255</v>
      </c>
      <c r="K151" s="127" t="s">
        <v>246</v>
      </c>
      <c r="L151" s="128">
        <v>1</v>
      </c>
      <c r="M151" s="174">
        <f t="shared" ref="M151" si="79">I151*L151</f>
        <v>3</v>
      </c>
      <c r="N151" s="249" t="s">
        <v>1548</v>
      </c>
      <c r="O151" s="175"/>
      <c r="P151" s="128">
        <v>3</v>
      </c>
      <c r="Q151" s="176">
        <f t="shared" ref="Q151" si="80">I151*L151*P151</f>
        <v>9</v>
      </c>
      <c r="R151" s="70" t="s">
        <v>1479</v>
      </c>
      <c r="S151" s="70" t="s">
        <v>101</v>
      </c>
      <c r="T151" s="135"/>
      <c r="U151" s="195"/>
      <c r="V151" s="178"/>
      <c r="W151" s="135"/>
      <c r="X151" s="136"/>
      <c r="Y151" s="136"/>
      <c r="Z151" s="178"/>
      <c r="AA151" s="179"/>
      <c r="AB151" s="180"/>
      <c r="AD151" s="122">
        <f t="shared" si="72"/>
        <v>13675</v>
      </c>
    </row>
    <row r="152" spans="1:31" s="121" customFormat="1" ht="230.25" outlineLevel="2" thickBot="1" x14ac:dyDescent="0.25">
      <c r="A152" s="118" t="s">
        <v>1334</v>
      </c>
      <c r="B152" s="355" t="s">
        <v>1425</v>
      </c>
      <c r="C152" s="375" t="s">
        <v>1146</v>
      </c>
      <c r="D152" s="351" t="s">
        <v>1235</v>
      </c>
      <c r="E152" s="136" t="s">
        <v>1118</v>
      </c>
      <c r="F152" s="136" t="s">
        <v>1302</v>
      </c>
      <c r="G152" s="243" t="s">
        <v>242</v>
      </c>
      <c r="H152" s="125" t="s">
        <v>178</v>
      </c>
      <c r="I152" s="126">
        <v>1</v>
      </c>
      <c r="J152" s="140" t="s">
        <v>177</v>
      </c>
      <c r="K152" s="127" t="s">
        <v>160</v>
      </c>
      <c r="L152" s="128">
        <v>1</v>
      </c>
      <c r="M152" s="129">
        <f t="shared" ref="M152" si="81">I152*L152</f>
        <v>1</v>
      </c>
      <c r="N152" s="249" t="s">
        <v>1548</v>
      </c>
      <c r="O152" s="70" t="s">
        <v>101</v>
      </c>
      <c r="P152" s="128">
        <v>5</v>
      </c>
      <c r="Q152" s="130">
        <f t="shared" ref="Q152" si="82">I152*L152*P152</f>
        <v>5</v>
      </c>
      <c r="R152" s="70" t="s">
        <v>101</v>
      </c>
      <c r="S152" s="70" t="s">
        <v>101</v>
      </c>
      <c r="T152" s="135"/>
      <c r="U152" s="195"/>
      <c r="V152" s="178"/>
      <c r="W152" s="135"/>
      <c r="X152" s="136"/>
      <c r="Y152" s="136"/>
      <c r="Z152" s="178"/>
      <c r="AA152" s="179"/>
      <c r="AB152" s="180"/>
      <c r="AD152" s="122">
        <f t="shared" si="72"/>
        <v>13676</v>
      </c>
    </row>
    <row r="153" spans="1:31" s="121" customFormat="1" ht="230.25" outlineLevel="2" thickBot="1" x14ac:dyDescent="0.25">
      <c r="A153" s="118" t="s">
        <v>1335</v>
      </c>
      <c r="B153" s="356"/>
      <c r="C153" s="375"/>
      <c r="D153" s="352"/>
      <c r="E153" s="136" t="s">
        <v>1117</v>
      </c>
      <c r="F153" s="136" t="s">
        <v>1303</v>
      </c>
      <c r="G153" s="243" t="s">
        <v>242</v>
      </c>
      <c r="H153" s="125" t="s">
        <v>178</v>
      </c>
      <c r="I153" s="126">
        <v>1</v>
      </c>
      <c r="J153" s="140" t="s">
        <v>177</v>
      </c>
      <c r="K153" s="127" t="s">
        <v>160</v>
      </c>
      <c r="L153" s="128">
        <v>1</v>
      </c>
      <c r="M153" s="129">
        <f t="shared" ref="M153" si="83">I153*L153</f>
        <v>1</v>
      </c>
      <c r="N153" s="249" t="s">
        <v>1548</v>
      </c>
      <c r="O153" s="70" t="s">
        <v>101</v>
      </c>
      <c r="P153" s="128">
        <v>5</v>
      </c>
      <c r="Q153" s="130">
        <f t="shared" ref="Q153" si="84">I153*L153*P153</f>
        <v>5</v>
      </c>
      <c r="R153" s="70" t="s">
        <v>101</v>
      </c>
      <c r="S153" s="70" t="s">
        <v>101</v>
      </c>
      <c r="T153" s="135"/>
      <c r="U153" s="195"/>
      <c r="V153" s="178"/>
      <c r="W153" s="135"/>
      <c r="X153" s="136"/>
      <c r="Y153" s="136"/>
      <c r="Z153" s="178"/>
      <c r="AA153" s="179"/>
      <c r="AB153" s="180"/>
      <c r="AD153" s="122">
        <f t="shared" si="72"/>
        <v>13677</v>
      </c>
    </row>
    <row r="154" spans="1:31" ht="370.5" outlineLevel="2" thickBot="1" x14ac:dyDescent="0.25">
      <c r="A154" s="118" t="s">
        <v>364</v>
      </c>
      <c r="B154" s="143" t="s">
        <v>601</v>
      </c>
      <c r="C154" s="314" t="s">
        <v>1070</v>
      </c>
      <c r="D154" s="146" t="s">
        <v>213</v>
      </c>
      <c r="E154" s="136" t="s">
        <v>166</v>
      </c>
      <c r="F154" s="136" t="s">
        <v>258</v>
      </c>
      <c r="G154" s="136" t="s">
        <v>242</v>
      </c>
      <c r="H154" s="125" t="s">
        <v>178</v>
      </c>
      <c r="I154" s="126">
        <v>3</v>
      </c>
      <c r="J154" s="140" t="s">
        <v>255</v>
      </c>
      <c r="K154" s="127" t="s">
        <v>246</v>
      </c>
      <c r="L154" s="128">
        <v>1</v>
      </c>
      <c r="M154" s="129">
        <f t="shared" si="54"/>
        <v>3</v>
      </c>
      <c r="N154" s="249" t="s">
        <v>1548</v>
      </c>
      <c r="O154" s="175"/>
      <c r="P154" s="128">
        <v>3</v>
      </c>
      <c r="Q154" s="130">
        <f t="shared" si="55"/>
        <v>9</v>
      </c>
      <c r="R154" s="70" t="s">
        <v>1479</v>
      </c>
      <c r="S154" s="70" t="s">
        <v>101</v>
      </c>
      <c r="T154" s="138"/>
      <c r="U154" s="139"/>
      <c r="V154" s="131"/>
      <c r="W154" s="138"/>
      <c r="X154" s="139"/>
      <c r="Y154" s="139"/>
      <c r="Z154" s="131"/>
      <c r="AA154" s="132"/>
      <c r="AB154" s="112"/>
      <c r="AC154" s="79"/>
      <c r="AD154" s="122">
        <f t="shared" si="72"/>
        <v>-1379</v>
      </c>
    </row>
    <row r="155" spans="1:31" s="121" customFormat="1" ht="230.25" outlineLevel="2" thickBot="1" x14ac:dyDescent="0.25">
      <c r="A155" s="118" t="s">
        <v>829</v>
      </c>
      <c r="B155" s="173"/>
      <c r="C155" s="315"/>
      <c r="D155" s="146"/>
      <c r="E155" s="136" t="s">
        <v>497</v>
      </c>
      <c r="F155" s="136" t="s">
        <v>963</v>
      </c>
      <c r="G155" s="136" t="s">
        <v>242</v>
      </c>
      <c r="H155" s="125" t="s">
        <v>178</v>
      </c>
      <c r="I155" s="126">
        <v>2</v>
      </c>
      <c r="J155" s="140" t="s">
        <v>255</v>
      </c>
      <c r="K155" s="127" t="s">
        <v>246</v>
      </c>
      <c r="L155" s="128">
        <v>1</v>
      </c>
      <c r="M155" s="174">
        <f t="shared" ref="M155" si="85">I155*L155</f>
        <v>2</v>
      </c>
      <c r="N155" s="249" t="s">
        <v>1548</v>
      </c>
      <c r="O155" s="175" t="s">
        <v>101</v>
      </c>
      <c r="P155" s="128">
        <v>5</v>
      </c>
      <c r="Q155" s="176">
        <f t="shared" ref="Q155" si="86">I155*L155*P155</f>
        <v>10</v>
      </c>
      <c r="R155" s="175" t="s">
        <v>101</v>
      </c>
      <c r="S155" s="175" t="s">
        <v>101</v>
      </c>
      <c r="T155" s="135"/>
      <c r="U155" s="195" t="s">
        <v>884</v>
      </c>
      <c r="V155" s="178"/>
      <c r="W155" s="135"/>
      <c r="X155" s="136"/>
      <c r="Y155" s="136"/>
      <c r="Z155" s="178"/>
      <c r="AA155" s="179"/>
      <c r="AB155" s="180"/>
      <c r="AD155" s="122">
        <f t="shared" si="72"/>
        <v>-5112</v>
      </c>
    </row>
    <row r="156" spans="1:31" ht="370.5" outlineLevel="2" thickBot="1" x14ac:dyDescent="0.25">
      <c r="A156" s="118" t="s">
        <v>365</v>
      </c>
      <c r="B156" s="143" t="s">
        <v>602</v>
      </c>
      <c r="C156" s="255" t="s">
        <v>1071</v>
      </c>
      <c r="D156" s="146" t="s">
        <v>528</v>
      </c>
      <c r="E156" s="136" t="s">
        <v>165</v>
      </c>
      <c r="F156" s="136" t="s">
        <v>258</v>
      </c>
      <c r="G156" s="136" t="s">
        <v>242</v>
      </c>
      <c r="H156" s="125" t="s">
        <v>178</v>
      </c>
      <c r="I156" s="126">
        <v>3</v>
      </c>
      <c r="J156" s="140" t="s">
        <v>255</v>
      </c>
      <c r="K156" s="127" t="s">
        <v>246</v>
      </c>
      <c r="L156" s="128">
        <v>2</v>
      </c>
      <c r="M156" s="129">
        <f t="shared" si="54"/>
        <v>6</v>
      </c>
      <c r="N156" s="249" t="s">
        <v>1548</v>
      </c>
      <c r="O156" s="175"/>
      <c r="P156" s="128">
        <v>3</v>
      </c>
      <c r="Q156" s="130">
        <f t="shared" si="55"/>
        <v>18</v>
      </c>
      <c r="R156" s="70" t="s">
        <v>1479</v>
      </c>
      <c r="S156" s="70" t="s">
        <v>101</v>
      </c>
      <c r="T156" s="138"/>
      <c r="U156" s="139"/>
      <c r="V156" s="131"/>
      <c r="W156" s="138"/>
      <c r="X156" s="139"/>
      <c r="Y156" s="139"/>
      <c r="Z156" s="131"/>
      <c r="AA156" s="132"/>
      <c r="AB156" s="112"/>
      <c r="AC156" s="79"/>
      <c r="AD156" s="122">
        <f t="shared" si="72"/>
        <v>-1380</v>
      </c>
    </row>
    <row r="157" spans="1:31" ht="370.5" outlineLevel="2" thickBot="1" x14ac:dyDescent="0.25">
      <c r="A157" s="118" t="s">
        <v>366</v>
      </c>
      <c r="B157" s="143" t="s">
        <v>603</v>
      </c>
      <c r="C157" s="255" t="s">
        <v>1049</v>
      </c>
      <c r="D157" s="146" t="s">
        <v>604</v>
      </c>
      <c r="E157" s="136" t="s">
        <v>154</v>
      </c>
      <c r="F157" s="136" t="s">
        <v>261</v>
      </c>
      <c r="G157" s="136" t="s">
        <v>242</v>
      </c>
      <c r="H157" s="125" t="s">
        <v>178</v>
      </c>
      <c r="I157" s="126">
        <v>3</v>
      </c>
      <c r="J157" s="140" t="s">
        <v>255</v>
      </c>
      <c r="K157" s="127" t="s">
        <v>246</v>
      </c>
      <c r="L157" s="128">
        <v>2</v>
      </c>
      <c r="M157" s="129">
        <f t="shared" si="54"/>
        <v>6</v>
      </c>
      <c r="N157" s="249" t="s">
        <v>1548</v>
      </c>
      <c r="O157" s="175"/>
      <c r="P157" s="128">
        <v>3</v>
      </c>
      <c r="Q157" s="130">
        <f t="shared" si="55"/>
        <v>18</v>
      </c>
      <c r="R157" s="70" t="s">
        <v>1479</v>
      </c>
      <c r="S157" s="70" t="s">
        <v>101</v>
      </c>
      <c r="T157" s="138"/>
      <c r="U157" s="136"/>
      <c r="V157" s="131"/>
      <c r="W157" s="138"/>
      <c r="X157" s="139"/>
      <c r="Y157" s="139"/>
      <c r="Z157" s="131"/>
      <c r="AA157" s="132"/>
      <c r="AB157" s="112"/>
      <c r="AC157" s="79"/>
      <c r="AD157" s="122">
        <f t="shared" si="72"/>
        <v>-1381</v>
      </c>
    </row>
    <row r="158" spans="1:31" ht="230.25" outlineLevel="2" thickBot="1" x14ac:dyDescent="0.25">
      <c r="A158" s="118" t="s">
        <v>1336</v>
      </c>
      <c r="B158" s="355" t="s">
        <v>1205</v>
      </c>
      <c r="C158" s="316" t="s">
        <v>1206</v>
      </c>
      <c r="D158" s="351" t="s">
        <v>169</v>
      </c>
      <c r="E158" s="136" t="s">
        <v>1117</v>
      </c>
      <c r="F158" s="136" t="s">
        <v>1305</v>
      </c>
      <c r="G158" s="136" t="s">
        <v>242</v>
      </c>
      <c r="H158" s="125" t="s">
        <v>178</v>
      </c>
      <c r="I158" s="126">
        <v>3</v>
      </c>
      <c r="J158" s="140" t="s">
        <v>255</v>
      </c>
      <c r="K158" s="127" t="s">
        <v>246</v>
      </c>
      <c r="L158" s="128">
        <v>1</v>
      </c>
      <c r="M158" s="129">
        <f t="shared" ref="M158:M159" si="87">I158*L158</f>
        <v>3</v>
      </c>
      <c r="N158" s="249" t="s">
        <v>1548</v>
      </c>
      <c r="O158" s="175" t="s">
        <v>101</v>
      </c>
      <c r="P158" s="128">
        <v>5</v>
      </c>
      <c r="Q158" s="130">
        <f t="shared" ref="Q158:Q159" si="88">I158*L158*P158</f>
        <v>15</v>
      </c>
      <c r="R158" s="175" t="s">
        <v>101</v>
      </c>
      <c r="S158" s="175" t="s">
        <v>101</v>
      </c>
      <c r="T158" s="138"/>
      <c r="U158" s="136"/>
      <c r="V158" s="131"/>
      <c r="W158" s="138"/>
      <c r="X158" s="139"/>
      <c r="Y158" s="139"/>
      <c r="Z158" s="131"/>
      <c r="AA158" s="132"/>
      <c r="AB158" s="112"/>
      <c r="AC158" s="79"/>
      <c r="AD158" s="122">
        <f t="shared" si="72"/>
        <v>13678</v>
      </c>
    </row>
    <row r="159" spans="1:31" ht="230.25" outlineLevel="2" thickBot="1" x14ac:dyDescent="0.25">
      <c r="A159" s="118" t="s">
        <v>1337</v>
      </c>
      <c r="B159" s="356"/>
      <c r="C159" s="317"/>
      <c r="D159" s="352"/>
      <c r="E159" s="136" t="s">
        <v>1207</v>
      </c>
      <c r="F159" s="136" t="s">
        <v>1306</v>
      </c>
      <c r="G159" s="136" t="s">
        <v>242</v>
      </c>
      <c r="H159" s="125" t="s">
        <v>178</v>
      </c>
      <c r="I159" s="126">
        <v>3</v>
      </c>
      <c r="J159" s="140" t="s">
        <v>255</v>
      </c>
      <c r="K159" s="127" t="s">
        <v>246</v>
      </c>
      <c r="L159" s="128">
        <v>1</v>
      </c>
      <c r="M159" s="129">
        <f t="shared" si="87"/>
        <v>3</v>
      </c>
      <c r="N159" s="249" t="s">
        <v>1548</v>
      </c>
      <c r="O159" s="175" t="s">
        <v>101</v>
      </c>
      <c r="P159" s="128">
        <v>5</v>
      </c>
      <c r="Q159" s="130">
        <f t="shared" si="88"/>
        <v>15</v>
      </c>
      <c r="R159" s="175" t="s">
        <v>101</v>
      </c>
      <c r="S159" s="175" t="s">
        <v>101</v>
      </c>
      <c r="T159" s="138"/>
      <c r="U159" s="136"/>
      <c r="V159" s="131"/>
      <c r="W159" s="138"/>
      <c r="X159" s="139"/>
      <c r="Y159" s="139"/>
      <c r="Z159" s="131"/>
      <c r="AA159" s="132"/>
      <c r="AB159" s="112"/>
      <c r="AC159" s="79"/>
      <c r="AD159" s="122">
        <f t="shared" si="72"/>
        <v>13679</v>
      </c>
      <c r="AE159" s="175"/>
    </row>
    <row r="160" spans="1:31" ht="370.5" outlineLevel="2" thickBot="1" x14ac:dyDescent="0.25">
      <c r="A160" s="118" t="s">
        <v>367</v>
      </c>
      <c r="B160" s="143" t="s">
        <v>605</v>
      </c>
      <c r="C160" s="314" t="s">
        <v>1072</v>
      </c>
      <c r="D160" s="146" t="s">
        <v>606</v>
      </c>
      <c r="E160" s="136" t="s">
        <v>156</v>
      </c>
      <c r="F160" s="136" t="s">
        <v>262</v>
      </c>
      <c r="G160" s="136" t="s">
        <v>242</v>
      </c>
      <c r="H160" s="125" t="s">
        <v>178</v>
      </c>
      <c r="I160" s="126">
        <v>3</v>
      </c>
      <c r="J160" s="140" t="s">
        <v>255</v>
      </c>
      <c r="K160" s="127" t="s">
        <v>246</v>
      </c>
      <c r="L160" s="128">
        <v>1</v>
      </c>
      <c r="M160" s="129">
        <f t="shared" si="54"/>
        <v>3</v>
      </c>
      <c r="N160" s="249" t="s">
        <v>1548</v>
      </c>
      <c r="O160" s="241" t="s">
        <v>199</v>
      </c>
      <c r="P160" s="128">
        <v>3</v>
      </c>
      <c r="Q160" s="130">
        <f t="shared" si="55"/>
        <v>9</v>
      </c>
      <c r="R160" s="70" t="s">
        <v>1479</v>
      </c>
      <c r="S160" s="70" t="s">
        <v>101</v>
      </c>
      <c r="T160" s="138"/>
      <c r="U160" s="139"/>
      <c r="V160" s="131"/>
      <c r="W160" s="138"/>
      <c r="X160" s="139"/>
      <c r="Y160" s="139"/>
      <c r="Z160" s="131"/>
      <c r="AA160" s="132"/>
      <c r="AB160" s="112"/>
      <c r="AC160" s="79"/>
      <c r="AD160" s="122">
        <f t="shared" si="72"/>
        <v>-1382</v>
      </c>
    </row>
    <row r="161" spans="1:30" ht="370.5" outlineLevel="2" thickBot="1" x14ac:dyDescent="0.25">
      <c r="A161" s="118" t="s">
        <v>830</v>
      </c>
      <c r="B161" s="143"/>
      <c r="C161" s="315"/>
      <c r="D161" s="146"/>
      <c r="E161" s="136" t="s">
        <v>492</v>
      </c>
      <c r="F161" s="136" t="s">
        <v>774</v>
      </c>
      <c r="G161" s="136" t="s">
        <v>242</v>
      </c>
      <c r="H161" s="125" t="s">
        <v>178</v>
      </c>
      <c r="I161" s="126">
        <v>3</v>
      </c>
      <c r="J161" s="140" t="s">
        <v>255</v>
      </c>
      <c r="K161" s="127" t="s">
        <v>246</v>
      </c>
      <c r="L161" s="128">
        <v>1</v>
      </c>
      <c r="M161" s="129">
        <f t="shared" ref="M161" si="89">I161*L161</f>
        <v>3</v>
      </c>
      <c r="N161" s="249" t="s">
        <v>1548</v>
      </c>
      <c r="O161" s="241" t="s">
        <v>199</v>
      </c>
      <c r="P161" s="128">
        <v>3</v>
      </c>
      <c r="Q161" s="130">
        <f t="shared" ref="Q161" si="90">I161*L161*P161</f>
        <v>9</v>
      </c>
      <c r="R161" s="70" t="s">
        <v>1479</v>
      </c>
      <c r="S161" s="70" t="s">
        <v>101</v>
      </c>
      <c r="T161" s="138"/>
      <c r="U161" s="139"/>
      <c r="V161" s="131"/>
      <c r="W161" s="138"/>
      <c r="X161" s="139"/>
      <c r="Y161" s="139"/>
      <c r="Z161" s="131"/>
      <c r="AA161" s="132"/>
      <c r="AB161" s="112"/>
      <c r="AC161" s="79"/>
      <c r="AD161" s="122">
        <f t="shared" si="72"/>
        <v>-5113</v>
      </c>
    </row>
    <row r="162" spans="1:30" ht="370.5" outlineLevel="2" thickBot="1" x14ac:dyDescent="0.25">
      <c r="A162" s="118" t="s">
        <v>368</v>
      </c>
      <c r="B162" s="143" t="s">
        <v>607</v>
      </c>
      <c r="C162" s="314" t="s">
        <v>1073</v>
      </c>
      <c r="D162" s="146" t="s">
        <v>213</v>
      </c>
      <c r="E162" s="136" t="s">
        <v>163</v>
      </c>
      <c r="F162" s="136" t="s">
        <v>262</v>
      </c>
      <c r="G162" s="243" t="s">
        <v>242</v>
      </c>
      <c r="H162" s="125" t="s">
        <v>178</v>
      </c>
      <c r="I162" s="126">
        <v>3</v>
      </c>
      <c r="J162" s="140" t="s">
        <v>177</v>
      </c>
      <c r="K162" s="127" t="s">
        <v>160</v>
      </c>
      <c r="L162" s="128">
        <v>1</v>
      </c>
      <c r="M162" s="129">
        <f t="shared" si="54"/>
        <v>3</v>
      </c>
      <c r="N162" s="249" t="s">
        <v>1548</v>
      </c>
      <c r="O162" s="70"/>
      <c r="P162" s="128">
        <v>3</v>
      </c>
      <c r="Q162" s="130">
        <f t="shared" si="55"/>
        <v>9</v>
      </c>
      <c r="R162" s="70" t="s">
        <v>1479</v>
      </c>
      <c r="S162" s="70" t="s">
        <v>101</v>
      </c>
      <c r="T162" s="138"/>
      <c r="U162" s="139"/>
      <c r="V162" s="131"/>
      <c r="W162" s="138"/>
      <c r="X162" s="139"/>
      <c r="Y162" s="139"/>
      <c r="Z162" s="131"/>
      <c r="AA162" s="132"/>
      <c r="AB162" s="112"/>
      <c r="AC162" s="79"/>
      <c r="AD162" s="122">
        <f t="shared" si="72"/>
        <v>-1383</v>
      </c>
    </row>
    <row r="163" spans="1:30" ht="370.5" outlineLevel="2" thickBot="1" x14ac:dyDescent="0.25">
      <c r="A163" s="118" t="s">
        <v>831</v>
      </c>
      <c r="B163" s="143"/>
      <c r="C163" s="315"/>
      <c r="D163" s="146"/>
      <c r="E163" s="136" t="s">
        <v>197</v>
      </c>
      <c r="F163" s="136" t="s">
        <v>775</v>
      </c>
      <c r="G163" s="243" t="s">
        <v>242</v>
      </c>
      <c r="H163" s="125" t="s">
        <v>178</v>
      </c>
      <c r="I163" s="126">
        <v>3</v>
      </c>
      <c r="J163" s="140" t="s">
        <v>177</v>
      </c>
      <c r="K163" s="127" t="s">
        <v>160</v>
      </c>
      <c r="L163" s="128">
        <v>1</v>
      </c>
      <c r="M163" s="129">
        <f t="shared" ref="M163" si="91">I163*L163</f>
        <v>3</v>
      </c>
      <c r="N163" s="249" t="s">
        <v>1548</v>
      </c>
      <c r="O163" s="70"/>
      <c r="P163" s="128">
        <v>3</v>
      </c>
      <c r="Q163" s="130">
        <f t="shared" ref="Q163" si="92">I163*L163*P163</f>
        <v>9</v>
      </c>
      <c r="R163" s="70" t="s">
        <v>1479</v>
      </c>
      <c r="S163" s="70" t="s">
        <v>101</v>
      </c>
      <c r="T163" s="138"/>
      <c r="U163" s="139"/>
      <c r="V163" s="131"/>
      <c r="W163" s="138"/>
      <c r="X163" s="139"/>
      <c r="Y163" s="139"/>
      <c r="Z163" s="131"/>
      <c r="AA163" s="132"/>
      <c r="AB163" s="112"/>
      <c r="AC163" s="79"/>
      <c r="AD163" s="122">
        <f t="shared" si="72"/>
        <v>-5114</v>
      </c>
    </row>
    <row r="164" spans="1:30" ht="370.5" outlineLevel="2" thickBot="1" x14ac:dyDescent="0.25">
      <c r="A164" s="118" t="s">
        <v>369</v>
      </c>
      <c r="B164" s="143" t="s">
        <v>608</v>
      </c>
      <c r="C164" s="255" t="s">
        <v>1074</v>
      </c>
      <c r="D164" s="146" t="s">
        <v>609</v>
      </c>
      <c r="E164" s="136" t="s">
        <v>154</v>
      </c>
      <c r="F164" s="136" t="s">
        <v>262</v>
      </c>
      <c r="G164" s="243" t="s">
        <v>242</v>
      </c>
      <c r="H164" s="125" t="s">
        <v>178</v>
      </c>
      <c r="I164" s="126">
        <v>3</v>
      </c>
      <c r="J164" s="140" t="s">
        <v>177</v>
      </c>
      <c r="K164" s="127" t="s">
        <v>160</v>
      </c>
      <c r="L164" s="128">
        <v>2</v>
      </c>
      <c r="M164" s="129">
        <f t="shared" si="54"/>
        <v>6</v>
      </c>
      <c r="N164" s="249" t="s">
        <v>1548</v>
      </c>
      <c r="O164" s="70"/>
      <c r="P164" s="128">
        <v>3</v>
      </c>
      <c r="Q164" s="130">
        <f t="shared" si="55"/>
        <v>18</v>
      </c>
      <c r="R164" s="70" t="s">
        <v>1479</v>
      </c>
      <c r="S164" s="70" t="s">
        <v>101</v>
      </c>
      <c r="T164" s="138"/>
      <c r="U164" s="139"/>
      <c r="V164" s="131"/>
      <c r="W164" s="138"/>
      <c r="X164" s="139"/>
      <c r="Y164" s="139"/>
      <c r="Z164" s="131"/>
      <c r="AA164" s="132"/>
      <c r="AB164" s="112"/>
      <c r="AC164" s="79"/>
      <c r="AD164" s="122">
        <f t="shared" si="72"/>
        <v>-1384</v>
      </c>
    </row>
    <row r="165" spans="1:30" ht="370.5" outlineLevel="2" thickBot="1" x14ac:dyDescent="0.25">
      <c r="A165" s="118" t="s">
        <v>370</v>
      </c>
      <c r="B165" s="143" t="s">
        <v>610</v>
      </c>
      <c r="C165" s="255" t="s">
        <v>1075</v>
      </c>
      <c r="D165" s="146" t="s">
        <v>611</v>
      </c>
      <c r="E165" s="136" t="s">
        <v>154</v>
      </c>
      <c r="F165" s="136" t="s">
        <v>262</v>
      </c>
      <c r="G165" s="243" t="s">
        <v>242</v>
      </c>
      <c r="H165" s="125" t="s">
        <v>178</v>
      </c>
      <c r="I165" s="126">
        <v>3</v>
      </c>
      <c r="J165" s="140" t="s">
        <v>177</v>
      </c>
      <c r="K165" s="127" t="s">
        <v>160</v>
      </c>
      <c r="L165" s="128">
        <v>2</v>
      </c>
      <c r="M165" s="129">
        <f t="shared" si="54"/>
        <v>6</v>
      </c>
      <c r="N165" s="249" t="s">
        <v>1548</v>
      </c>
      <c r="O165" s="70"/>
      <c r="P165" s="128">
        <v>3</v>
      </c>
      <c r="Q165" s="130">
        <f t="shared" si="55"/>
        <v>18</v>
      </c>
      <c r="R165" s="70" t="s">
        <v>1479</v>
      </c>
      <c r="S165" s="70" t="s">
        <v>101</v>
      </c>
      <c r="T165" s="138"/>
      <c r="U165" s="139"/>
      <c r="V165" s="131"/>
      <c r="W165" s="138"/>
      <c r="X165" s="139"/>
      <c r="Y165" s="139"/>
      <c r="Z165" s="131"/>
      <c r="AA165" s="132"/>
      <c r="AB165" s="112"/>
      <c r="AC165" s="79"/>
      <c r="AD165" s="122">
        <f t="shared" si="72"/>
        <v>-1385</v>
      </c>
    </row>
    <row r="166" spans="1:30" ht="370.5" outlineLevel="2" thickBot="1" x14ac:dyDescent="0.25">
      <c r="A166" s="118" t="s">
        <v>371</v>
      </c>
      <c r="B166" s="143" t="s">
        <v>879</v>
      </c>
      <c r="C166" s="314" t="s">
        <v>1204</v>
      </c>
      <c r="D166" s="146"/>
      <c r="E166" s="136" t="s">
        <v>156</v>
      </c>
      <c r="F166" s="136" t="s">
        <v>262</v>
      </c>
      <c r="G166" s="243" t="s">
        <v>242</v>
      </c>
      <c r="H166" s="125" t="s">
        <v>178</v>
      </c>
      <c r="I166" s="126">
        <v>3</v>
      </c>
      <c r="J166" s="140" t="s">
        <v>177</v>
      </c>
      <c r="K166" s="127" t="s">
        <v>160</v>
      </c>
      <c r="L166" s="128">
        <v>1</v>
      </c>
      <c r="M166" s="129">
        <f t="shared" si="54"/>
        <v>3</v>
      </c>
      <c r="N166" s="249" t="s">
        <v>1548</v>
      </c>
      <c r="O166" s="70"/>
      <c r="P166" s="128">
        <v>3</v>
      </c>
      <c r="Q166" s="130">
        <f t="shared" si="55"/>
        <v>9</v>
      </c>
      <c r="R166" s="70" t="s">
        <v>1479</v>
      </c>
      <c r="S166" s="70" t="s">
        <v>101</v>
      </c>
      <c r="T166" s="138"/>
      <c r="U166" s="139"/>
      <c r="V166" s="131"/>
      <c r="W166" s="138"/>
      <c r="X166" s="139"/>
      <c r="Y166" s="139"/>
      <c r="Z166" s="131"/>
      <c r="AA166" s="132"/>
      <c r="AB166" s="112"/>
      <c r="AC166" s="79"/>
      <c r="AD166" s="122">
        <f t="shared" si="72"/>
        <v>-1386</v>
      </c>
    </row>
    <row r="167" spans="1:30" ht="370.5" outlineLevel="2" thickBot="1" x14ac:dyDescent="0.25">
      <c r="A167" s="118" t="s">
        <v>832</v>
      </c>
      <c r="B167" s="143"/>
      <c r="C167" s="315"/>
      <c r="D167" s="146"/>
      <c r="E167" s="136" t="s">
        <v>492</v>
      </c>
      <c r="F167" s="136" t="s">
        <v>776</v>
      </c>
      <c r="G167" s="243" t="s">
        <v>242</v>
      </c>
      <c r="H167" s="125" t="s">
        <v>178</v>
      </c>
      <c r="I167" s="126">
        <v>3</v>
      </c>
      <c r="J167" s="140" t="s">
        <v>177</v>
      </c>
      <c r="K167" s="127" t="s">
        <v>160</v>
      </c>
      <c r="L167" s="128">
        <v>1</v>
      </c>
      <c r="M167" s="129">
        <f t="shared" ref="M167" si="93">I167*L167</f>
        <v>3</v>
      </c>
      <c r="N167" s="249" t="s">
        <v>1548</v>
      </c>
      <c r="O167" s="70"/>
      <c r="P167" s="128">
        <v>3</v>
      </c>
      <c r="Q167" s="130">
        <f t="shared" ref="Q167" si="94">I167*L167*P167</f>
        <v>9</v>
      </c>
      <c r="R167" s="70" t="s">
        <v>1479</v>
      </c>
      <c r="S167" s="70" t="s">
        <v>101</v>
      </c>
      <c r="T167" s="138"/>
      <c r="U167" s="139"/>
      <c r="V167" s="131"/>
      <c r="W167" s="138"/>
      <c r="X167" s="139"/>
      <c r="Y167" s="139"/>
      <c r="Z167" s="131"/>
      <c r="AA167" s="132"/>
      <c r="AB167" s="112"/>
      <c r="AC167" s="79"/>
      <c r="AD167" s="122">
        <f t="shared" si="72"/>
        <v>-5115</v>
      </c>
    </row>
    <row r="168" spans="1:30" ht="370.5" outlineLevel="2" thickBot="1" x14ac:dyDescent="0.25">
      <c r="A168" s="118" t="s">
        <v>372</v>
      </c>
      <c r="B168" s="143" t="s">
        <v>612</v>
      </c>
      <c r="C168" s="314" t="s">
        <v>1076</v>
      </c>
      <c r="D168" s="146" t="s">
        <v>613</v>
      </c>
      <c r="E168" s="136" t="s">
        <v>165</v>
      </c>
      <c r="F168" s="136" t="s">
        <v>262</v>
      </c>
      <c r="G168" s="243" t="s">
        <v>242</v>
      </c>
      <c r="H168" s="125" t="s">
        <v>178</v>
      </c>
      <c r="I168" s="126">
        <v>3</v>
      </c>
      <c r="J168" s="140" t="s">
        <v>177</v>
      </c>
      <c r="K168" s="127" t="s">
        <v>160</v>
      </c>
      <c r="L168" s="128">
        <v>2</v>
      </c>
      <c r="M168" s="129">
        <f t="shared" si="54"/>
        <v>6</v>
      </c>
      <c r="N168" s="249" t="s">
        <v>1548</v>
      </c>
      <c r="O168" s="70"/>
      <c r="P168" s="128">
        <v>3</v>
      </c>
      <c r="Q168" s="130">
        <f t="shared" si="55"/>
        <v>18</v>
      </c>
      <c r="R168" s="70" t="s">
        <v>1479</v>
      </c>
      <c r="S168" s="70" t="s">
        <v>101</v>
      </c>
      <c r="T168" s="138"/>
      <c r="U168" s="139"/>
      <c r="V168" s="131"/>
      <c r="W168" s="138"/>
      <c r="X168" s="139"/>
      <c r="Y168" s="139"/>
      <c r="Z168" s="131"/>
      <c r="AA168" s="132"/>
      <c r="AB168" s="112"/>
      <c r="AC168" s="79"/>
      <c r="AD168" s="122">
        <f t="shared" si="72"/>
        <v>-1387</v>
      </c>
    </row>
    <row r="169" spans="1:30" ht="370.5" outlineLevel="2" thickBot="1" x14ac:dyDescent="0.25">
      <c r="A169" s="118" t="s">
        <v>833</v>
      </c>
      <c r="B169" s="141"/>
      <c r="C169" s="315"/>
      <c r="D169" s="200"/>
      <c r="E169" s="136" t="s">
        <v>494</v>
      </c>
      <c r="F169" s="136" t="s">
        <v>778</v>
      </c>
      <c r="G169" s="243" t="s">
        <v>242</v>
      </c>
      <c r="H169" s="125" t="s">
        <v>178</v>
      </c>
      <c r="I169" s="126">
        <v>3</v>
      </c>
      <c r="J169" s="140" t="s">
        <v>177</v>
      </c>
      <c r="K169" s="127" t="s">
        <v>160</v>
      </c>
      <c r="L169" s="128">
        <v>2</v>
      </c>
      <c r="M169" s="129">
        <f t="shared" ref="M169" si="95">I169*L169</f>
        <v>6</v>
      </c>
      <c r="N169" s="249" t="s">
        <v>1548</v>
      </c>
      <c r="O169" s="70"/>
      <c r="P169" s="128">
        <v>3</v>
      </c>
      <c r="Q169" s="130">
        <f t="shared" ref="Q169" si="96">I169*L169*P169</f>
        <v>18</v>
      </c>
      <c r="R169" s="70" t="s">
        <v>1479</v>
      </c>
      <c r="S169" s="70" t="s">
        <v>101</v>
      </c>
      <c r="T169" s="138"/>
      <c r="U169" s="139"/>
      <c r="V169" s="131"/>
      <c r="W169" s="138"/>
      <c r="X169" s="139"/>
      <c r="Y169" s="139"/>
      <c r="Z169" s="131"/>
      <c r="AA169" s="132"/>
      <c r="AB169" s="112"/>
      <c r="AC169" s="79"/>
      <c r="AD169" s="122">
        <f t="shared" si="72"/>
        <v>-5116</v>
      </c>
    </row>
    <row r="170" spans="1:30" ht="370.5" outlineLevel="2" thickBot="1" x14ac:dyDescent="0.25">
      <c r="A170" s="118" t="s">
        <v>373</v>
      </c>
      <c r="B170" s="141" t="s">
        <v>614</v>
      </c>
      <c r="C170" s="318" t="s">
        <v>1077</v>
      </c>
      <c r="D170" s="351" t="s">
        <v>615</v>
      </c>
      <c r="E170" s="136" t="s">
        <v>163</v>
      </c>
      <c r="F170" s="136" t="s">
        <v>258</v>
      </c>
      <c r="G170" s="136" t="s">
        <v>242</v>
      </c>
      <c r="H170" s="125" t="s">
        <v>178</v>
      </c>
      <c r="I170" s="126">
        <v>3</v>
      </c>
      <c r="J170" s="140" t="s">
        <v>255</v>
      </c>
      <c r="K170" s="127" t="s">
        <v>246</v>
      </c>
      <c r="L170" s="128">
        <v>1</v>
      </c>
      <c r="M170" s="129">
        <f t="shared" si="54"/>
        <v>3</v>
      </c>
      <c r="N170" s="249" t="s">
        <v>1548</v>
      </c>
      <c r="O170" s="241" t="s">
        <v>199</v>
      </c>
      <c r="P170" s="128">
        <v>3</v>
      </c>
      <c r="Q170" s="130">
        <f t="shared" si="55"/>
        <v>9</v>
      </c>
      <c r="R170" s="70" t="s">
        <v>1479</v>
      </c>
      <c r="S170" s="70" t="s">
        <v>101</v>
      </c>
      <c r="T170" s="138"/>
      <c r="U170" s="139"/>
      <c r="V170" s="131"/>
      <c r="W170" s="138"/>
      <c r="X170" s="139"/>
      <c r="Y170" s="139"/>
      <c r="Z170" s="131"/>
      <c r="AA170" s="132"/>
      <c r="AB170" s="112"/>
      <c r="AC170" s="79"/>
      <c r="AD170" s="122">
        <f t="shared" si="72"/>
        <v>-1388</v>
      </c>
    </row>
    <row r="171" spans="1:30" ht="370.5" outlineLevel="2" thickBot="1" x14ac:dyDescent="0.25">
      <c r="A171" s="118" t="s">
        <v>834</v>
      </c>
      <c r="B171" s="144"/>
      <c r="C171" s="318"/>
      <c r="D171" s="354"/>
      <c r="E171" s="136" t="s">
        <v>197</v>
      </c>
      <c r="F171" s="136" t="s">
        <v>777</v>
      </c>
      <c r="G171" s="136" t="s">
        <v>242</v>
      </c>
      <c r="H171" s="125" t="s">
        <v>178</v>
      </c>
      <c r="I171" s="126">
        <v>3</v>
      </c>
      <c r="J171" s="140" t="s">
        <v>255</v>
      </c>
      <c r="K171" s="127" t="s">
        <v>246</v>
      </c>
      <c r="L171" s="128">
        <v>1</v>
      </c>
      <c r="M171" s="129">
        <f t="shared" ref="M171" si="97">I171*L171</f>
        <v>3</v>
      </c>
      <c r="N171" s="249" t="s">
        <v>1548</v>
      </c>
      <c r="O171" s="241" t="s">
        <v>199</v>
      </c>
      <c r="P171" s="128">
        <v>3</v>
      </c>
      <c r="Q171" s="130">
        <f t="shared" ref="Q171" si="98">I171*L171*P171</f>
        <v>9</v>
      </c>
      <c r="R171" s="70" t="s">
        <v>1479</v>
      </c>
      <c r="S171" s="70" t="s">
        <v>101</v>
      </c>
      <c r="T171" s="138"/>
      <c r="U171" s="139"/>
      <c r="V171" s="131"/>
      <c r="W171" s="138"/>
      <c r="X171" s="139"/>
      <c r="Y171" s="139"/>
      <c r="Z171" s="131"/>
      <c r="AA171" s="132"/>
      <c r="AB171" s="112"/>
      <c r="AC171" s="79"/>
      <c r="AD171" s="122">
        <f t="shared" si="72"/>
        <v>-5117</v>
      </c>
    </row>
    <row r="172" spans="1:30" ht="370.5" outlineLevel="2" thickBot="1" x14ac:dyDescent="0.25">
      <c r="A172" s="118" t="s">
        <v>374</v>
      </c>
      <c r="B172" s="142" t="s">
        <v>505</v>
      </c>
      <c r="C172" s="314" t="s">
        <v>1078</v>
      </c>
      <c r="D172" s="352"/>
      <c r="E172" s="136" t="s">
        <v>156</v>
      </c>
      <c r="F172" s="136" t="s">
        <v>258</v>
      </c>
      <c r="G172" s="136" t="s">
        <v>242</v>
      </c>
      <c r="H172" s="125" t="s">
        <v>178</v>
      </c>
      <c r="I172" s="126">
        <v>3</v>
      </c>
      <c r="J172" s="140" t="s">
        <v>255</v>
      </c>
      <c r="K172" s="127" t="s">
        <v>246</v>
      </c>
      <c r="L172" s="128">
        <v>1</v>
      </c>
      <c r="M172" s="129">
        <f t="shared" si="54"/>
        <v>3</v>
      </c>
      <c r="N172" s="249" t="s">
        <v>1548</v>
      </c>
      <c r="O172" s="70" t="s">
        <v>199</v>
      </c>
      <c r="P172" s="128">
        <v>3</v>
      </c>
      <c r="Q172" s="130">
        <f t="shared" si="55"/>
        <v>9</v>
      </c>
      <c r="R172" s="70" t="s">
        <v>1479</v>
      </c>
      <c r="S172" s="70" t="s">
        <v>101</v>
      </c>
      <c r="T172" s="138"/>
      <c r="U172" s="139"/>
      <c r="V172" s="131"/>
      <c r="W172" s="138"/>
      <c r="X172" s="139"/>
      <c r="Y172" s="139"/>
      <c r="Z172" s="131"/>
      <c r="AA172" s="132"/>
      <c r="AB172" s="112"/>
      <c r="AC172" s="79"/>
      <c r="AD172" s="122">
        <f t="shared" si="72"/>
        <v>-1389</v>
      </c>
    </row>
    <row r="173" spans="1:30" ht="370.5" outlineLevel="2" thickBot="1" x14ac:dyDescent="0.25">
      <c r="A173" s="118" t="s">
        <v>835</v>
      </c>
      <c r="B173" s="142"/>
      <c r="C173" s="319"/>
      <c r="D173" s="136"/>
      <c r="E173" s="136" t="s">
        <v>492</v>
      </c>
      <c r="F173" s="136" t="s">
        <v>777</v>
      </c>
      <c r="G173" s="136" t="s">
        <v>242</v>
      </c>
      <c r="H173" s="125" t="s">
        <v>178</v>
      </c>
      <c r="I173" s="126">
        <v>3</v>
      </c>
      <c r="J173" s="140" t="s">
        <v>255</v>
      </c>
      <c r="K173" s="127" t="s">
        <v>246</v>
      </c>
      <c r="L173" s="128">
        <v>1</v>
      </c>
      <c r="M173" s="129">
        <f t="shared" ref="M173" si="99">I173*L173</f>
        <v>3</v>
      </c>
      <c r="N173" s="249" t="s">
        <v>1548</v>
      </c>
      <c r="O173" s="70" t="s">
        <v>199</v>
      </c>
      <c r="P173" s="128">
        <v>3</v>
      </c>
      <c r="Q173" s="130">
        <f t="shared" ref="Q173" si="100">I173*L173*P173</f>
        <v>9</v>
      </c>
      <c r="R173" s="70" t="s">
        <v>1479</v>
      </c>
      <c r="S173" s="70" t="s">
        <v>101</v>
      </c>
      <c r="T173" s="138"/>
      <c r="U173" s="139"/>
      <c r="V173" s="131"/>
      <c r="W173" s="138"/>
      <c r="X173" s="139"/>
      <c r="Y173" s="139"/>
      <c r="Z173" s="131"/>
      <c r="AA173" s="132"/>
      <c r="AB173" s="112"/>
      <c r="AC173" s="79"/>
      <c r="AD173" s="122">
        <f t="shared" si="72"/>
        <v>-5118</v>
      </c>
    </row>
    <row r="174" spans="1:30" ht="370.5" outlineLevel="2" thickBot="1" x14ac:dyDescent="0.25">
      <c r="A174" s="118" t="s">
        <v>836</v>
      </c>
      <c r="B174" s="142"/>
      <c r="C174" s="315"/>
      <c r="D174" s="136"/>
      <c r="E174" s="136" t="s">
        <v>492</v>
      </c>
      <c r="F174" s="136" t="s">
        <v>777</v>
      </c>
      <c r="G174" s="136" t="s">
        <v>242</v>
      </c>
      <c r="H174" s="125" t="s">
        <v>178</v>
      </c>
      <c r="I174" s="126">
        <v>3</v>
      </c>
      <c r="J174" s="140" t="s">
        <v>255</v>
      </c>
      <c r="K174" s="127" t="s">
        <v>246</v>
      </c>
      <c r="L174" s="128">
        <v>1</v>
      </c>
      <c r="M174" s="129">
        <f t="shared" ref="M174" si="101">I174*L174</f>
        <v>3</v>
      </c>
      <c r="N174" s="249" t="s">
        <v>1548</v>
      </c>
      <c r="O174" s="70" t="s">
        <v>199</v>
      </c>
      <c r="P174" s="128">
        <v>3</v>
      </c>
      <c r="Q174" s="130">
        <f t="shared" ref="Q174" si="102">I174*L174*P174</f>
        <v>9</v>
      </c>
      <c r="R174" s="70" t="s">
        <v>1479</v>
      </c>
      <c r="S174" s="70" t="s">
        <v>101</v>
      </c>
      <c r="T174" s="138"/>
      <c r="U174" s="139"/>
      <c r="V174" s="131"/>
      <c r="W174" s="138"/>
      <c r="X174" s="139"/>
      <c r="Y174" s="139"/>
      <c r="Z174" s="131"/>
      <c r="AA174" s="132"/>
      <c r="AB174" s="112"/>
      <c r="AC174" s="79"/>
      <c r="AD174" s="122">
        <f t="shared" si="72"/>
        <v>-5119</v>
      </c>
    </row>
    <row r="175" spans="1:30" ht="370.5" outlineLevel="2" thickBot="1" x14ac:dyDescent="0.25">
      <c r="A175" s="118" t="s">
        <v>375</v>
      </c>
      <c r="B175" s="143" t="s">
        <v>616</v>
      </c>
      <c r="C175" s="314" t="s">
        <v>1079</v>
      </c>
      <c r="D175" s="146" t="s">
        <v>617</v>
      </c>
      <c r="E175" s="136" t="s">
        <v>156</v>
      </c>
      <c r="F175" s="136" t="s">
        <v>262</v>
      </c>
      <c r="G175" s="136" t="s">
        <v>242</v>
      </c>
      <c r="H175" s="125" t="s">
        <v>178</v>
      </c>
      <c r="I175" s="126">
        <v>3</v>
      </c>
      <c r="J175" s="140" t="s">
        <v>255</v>
      </c>
      <c r="K175" s="127" t="s">
        <v>246</v>
      </c>
      <c r="L175" s="128">
        <v>1</v>
      </c>
      <c r="M175" s="129">
        <f t="shared" si="54"/>
        <v>3</v>
      </c>
      <c r="N175" s="249" t="s">
        <v>1548</v>
      </c>
      <c r="O175" s="70" t="s">
        <v>199</v>
      </c>
      <c r="P175" s="128">
        <v>3</v>
      </c>
      <c r="Q175" s="130">
        <f t="shared" si="55"/>
        <v>9</v>
      </c>
      <c r="R175" s="70" t="s">
        <v>1479</v>
      </c>
      <c r="S175" s="70" t="s">
        <v>101</v>
      </c>
      <c r="T175" s="138"/>
      <c r="U175" s="139"/>
      <c r="V175" s="131"/>
      <c r="W175" s="138"/>
      <c r="X175" s="139"/>
      <c r="Y175" s="139"/>
      <c r="Z175" s="131"/>
      <c r="AA175" s="132"/>
      <c r="AB175" s="112"/>
      <c r="AC175" s="79"/>
      <c r="AD175" s="122">
        <f t="shared" si="72"/>
        <v>-1390</v>
      </c>
    </row>
    <row r="176" spans="1:30" ht="370.5" outlineLevel="2" thickBot="1" x14ac:dyDescent="0.25">
      <c r="A176" s="118" t="s">
        <v>837</v>
      </c>
      <c r="B176" s="143"/>
      <c r="C176" s="320"/>
      <c r="D176" s="146"/>
      <c r="E176" s="136" t="s">
        <v>492</v>
      </c>
      <c r="F176" s="136" t="s">
        <v>776</v>
      </c>
      <c r="G176" s="136" t="s">
        <v>242</v>
      </c>
      <c r="H176" s="125" t="s">
        <v>178</v>
      </c>
      <c r="I176" s="126">
        <v>3</v>
      </c>
      <c r="J176" s="140" t="s">
        <v>255</v>
      </c>
      <c r="K176" s="127" t="s">
        <v>246</v>
      </c>
      <c r="L176" s="128">
        <v>1</v>
      </c>
      <c r="M176" s="129">
        <f t="shared" ref="M176" si="103">I176*L176</f>
        <v>3</v>
      </c>
      <c r="N176" s="249" t="s">
        <v>1548</v>
      </c>
      <c r="O176" s="70" t="s">
        <v>199</v>
      </c>
      <c r="P176" s="128">
        <v>3</v>
      </c>
      <c r="Q176" s="130">
        <f t="shared" ref="Q176" si="104">I176*L176*P176</f>
        <v>9</v>
      </c>
      <c r="R176" s="70" t="s">
        <v>1479</v>
      </c>
      <c r="S176" s="70" t="s">
        <v>101</v>
      </c>
      <c r="T176" s="138"/>
      <c r="U176" s="139"/>
      <c r="V176" s="131"/>
      <c r="W176" s="138"/>
      <c r="X176" s="139"/>
      <c r="Y176" s="139"/>
      <c r="Z176" s="131"/>
      <c r="AA176" s="132"/>
      <c r="AB176" s="112"/>
      <c r="AC176" s="79"/>
      <c r="AD176" s="122">
        <f t="shared" si="72"/>
        <v>-5120</v>
      </c>
    </row>
    <row r="177" spans="1:30" ht="21" outlineLevel="1" thickBot="1" x14ac:dyDescent="0.25">
      <c r="A177" s="118"/>
      <c r="B177" s="81" t="s">
        <v>1568</v>
      </c>
      <c r="C177" s="252"/>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2"/>
      <c r="AC177" s="79"/>
      <c r="AD177" s="122">
        <f t="shared" si="72"/>
        <v>0</v>
      </c>
    </row>
    <row r="178" spans="1:30" s="121" customFormat="1" ht="370.5" outlineLevel="2" thickBot="1" x14ac:dyDescent="0.25">
      <c r="A178" s="118" t="s">
        <v>376</v>
      </c>
      <c r="B178" s="182" t="s">
        <v>618</v>
      </c>
      <c r="C178" s="373" t="s">
        <v>1082</v>
      </c>
      <c r="D178" s="136" t="s">
        <v>619</v>
      </c>
      <c r="E178" s="136" t="s">
        <v>165</v>
      </c>
      <c r="F178" s="136" t="s">
        <v>964</v>
      </c>
      <c r="G178" s="136" t="s">
        <v>242</v>
      </c>
      <c r="H178" s="125" t="s">
        <v>178</v>
      </c>
      <c r="I178" s="126">
        <v>3</v>
      </c>
      <c r="J178" s="140" t="s">
        <v>177</v>
      </c>
      <c r="K178" s="127" t="s">
        <v>160</v>
      </c>
      <c r="L178" s="128">
        <v>2</v>
      </c>
      <c r="M178" s="174">
        <f t="shared" ref="M178:M245" si="105">I178*L178</f>
        <v>6</v>
      </c>
      <c r="N178" s="249" t="s">
        <v>1548</v>
      </c>
      <c r="O178" s="175" t="s">
        <v>199</v>
      </c>
      <c r="P178" s="128">
        <v>3</v>
      </c>
      <c r="Q178" s="176">
        <f t="shared" ref="Q178:Q221" si="106">I178*L178*P178</f>
        <v>18</v>
      </c>
      <c r="R178" s="70" t="s">
        <v>1479</v>
      </c>
      <c r="S178" s="70" t="s">
        <v>101</v>
      </c>
      <c r="T178" s="135" t="s">
        <v>235</v>
      </c>
      <c r="U178" s="195" t="s">
        <v>965</v>
      </c>
      <c r="V178" s="178"/>
      <c r="W178" s="135"/>
      <c r="X178" s="136"/>
      <c r="Y178" s="136"/>
      <c r="Z178" s="178"/>
      <c r="AA178" s="179"/>
      <c r="AB178" s="180"/>
      <c r="AD178" s="122">
        <f t="shared" si="72"/>
        <v>-1392</v>
      </c>
    </row>
    <row r="179" spans="1:30" ht="370.5" outlineLevel="2" thickBot="1" x14ac:dyDescent="0.25">
      <c r="A179" s="118" t="s">
        <v>838</v>
      </c>
      <c r="B179" s="142"/>
      <c r="C179" s="317"/>
      <c r="D179" s="136"/>
      <c r="E179" s="136" t="s">
        <v>494</v>
      </c>
      <c r="F179" s="136" t="s">
        <v>769</v>
      </c>
      <c r="G179" s="136" t="s">
        <v>242</v>
      </c>
      <c r="H179" s="125" t="s">
        <v>178</v>
      </c>
      <c r="I179" s="126">
        <v>3</v>
      </c>
      <c r="J179" s="140" t="s">
        <v>177</v>
      </c>
      <c r="K179" s="127" t="s">
        <v>160</v>
      </c>
      <c r="L179" s="128">
        <v>2</v>
      </c>
      <c r="M179" s="129">
        <f t="shared" ref="M179" si="107">I179*L179</f>
        <v>6</v>
      </c>
      <c r="N179" s="249" t="s">
        <v>1548</v>
      </c>
      <c r="O179" s="70" t="s">
        <v>199</v>
      </c>
      <c r="P179" s="128">
        <v>3</v>
      </c>
      <c r="Q179" s="130">
        <f t="shared" ref="Q179" si="108">I179*L179*P179</f>
        <v>18</v>
      </c>
      <c r="R179" s="70" t="s">
        <v>1479</v>
      </c>
      <c r="S179" s="70" t="s">
        <v>101</v>
      </c>
      <c r="T179" s="138" t="s">
        <v>235</v>
      </c>
      <c r="U179" s="139"/>
      <c r="V179" s="131"/>
      <c r="W179" s="138"/>
      <c r="X179" s="139"/>
      <c r="Y179" s="139"/>
      <c r="Z179" s="131"/>
      <c r="AA179" s="132"/>
      <c r="AB179" s="112"/>
      <c r="AC179" s="79"/>
      <c r="AD179" s="122">
        <f t="shared" si="72"/>
        <v>-5121</v>
      </c>
    </row>
    <row r="180" spans="1:30" ht="370.5" outlineLevel="2" thickBot="1" x14ac:dyDescent="0.25">
      <c r="A180" s="118" t="s">
        <v>377</v>
      </c>
      <c r="B180" s="142" t="s">
        <v>620</v>
      </c>
      <c r="C180" s="314" t="s">
        <v>1083</v>
      </c>
      <c r="D180" s="146" t="s">
        <v>621</v>
      </c>
      <c r="E180" s="136" t="s">
        <v>283</v>
      </c>
      <c r="F180" s="136" t="s">
        <v>263</v>
      </c>
      <c r="G180" s="136" t="s">
        <v>242</v>
      </c>
      <c r="H180" s="125" t="s">
        <v>178</v>
      </c>
      <c r="I180" s="126">
        <v>3</v>
      </c>
      <c r="J180" s="140" t="s">
        <v>177</v>
      </c>
      <c r="K180" s="127" t="s">
        <v>160</v>
      </c>
      <c r="L180" s="128">
        <v>2</v>
      </c>
      <c r="M180" s="129">
        <f t="shared" si="105"/>
        <v>6</v>
      </c>
      <c r="N180" s="249" t="s">
        <v>1548</v>
      </c>
      <c r="O180" s="70" t="s">
        <v>199</v>
      </c>
      <c r="P180" s="128">
        <v>3</v>
      </c>
      <c r="Q180" s="130">
        <f t="shared" si="106"/>
        <v>18</v>
      </c>
      <c r="R180" s="70" t="s">
        <v>1479</v>
      </c>
      <c r="S180" s="70" t="s">
        <v>101</v>
      </c>
      <c r="T180" s="138" t="s">
        <v>235</v>
      </c>
      <c r="U180" s="139"/>
      <c r="V180" s="131"/>
      <c r="W180" s="138"/>
      <c r="X180" s="139"/>
      <c r="Y180" s="139"/>
      <c r="Z180" s="131"/>
      <c r="AA180" s="132"/>
      <c r="AB180" s="112"/>
      <c r="AC180" s="79"/>
      <c r="AD180" s="122">
        <f t="shared" si="72"/>
        <v>-1393</v>
      </c>
    </row>
    <row r="181" spans="1:30" ht="370.5" outlineLevel="2" thickBot="1" x14ac:dyDescent="0.25">
      <c r="A181" s="118" t="s">
        <v>839</v>
      </c>
      <c r="B181" s="142"/>
      <c r="C181" s="315"/>
      <c r="D181" s="146"/>
      <c r="E181" s="136" t="s">
        <v>760</v>
      </c>
      <c r="F181" s="136" t="s">
        <v>263</v>
      </c>
      <c r="G181" s="136" t="s">
        <v>242</v>
      </c>
      <c r="H181" s="125" t="s">
        <v>178</v>
      </c>
      <c r="I181" s="126">
        <v>3</v>
      </c>
      <c r="J181" s="140" t="s">
        <v>177</v>
      </c>
      <c r="K181" s="127" t="s">
        <v>160</v>
      </c>
      <c r="L181" s="128">
        <v>2</v>
      </c>
      <c r="M181" s="129">
        <f t="shared" ref="M181" si="109">I181*L181</f>
        <v>6</v>
      </c>
      <c r="N181" s="249" t="s">
        <v>1548</v>
      </c>
      <c r="O181" s="70" t="s">
        <v>199</v>
      </c>
      <c r="P181" s="128">
        <v>3</v>
      </c>
      <c r="Q181" s="130">
        <f t="shared" ref="Q181" si="110">I181*L181*P181</f>
        <v>18</v>
      </c>
      <c r="R181" s="70" t="s">
        <v>1479</v>
      </c>
      <c r="S181" s="70" t="s">
        <v>101</v>
      </c>
      <c r="T181" s="138" t="s">
        <v>235</v>
      </c>
      <c r="U181" s="139"/>
      <c r="V181" s="131"/>
      <c r="W181" s="138"/>
      <c r="X181" s="139"/>
      <c r="Y181" s="139"/>
      <c r="Z181" s="131"/>
      <c r="AA181" s="132"/>
      <c r="AB181" s="112"/>
      <c r="AC181" s="79"/>
      <c r="AD181" s="122">
        <f t="shared" si="72"/>
        <v>-5122</v>
      </c>
    </row>
    <row r="182" spans="1:30" ht="230.25" outlineLevel="2" thickBot="1" x14ac:dyDescent="0.25">
      <c r="A182" s="118" t="s">
        <v>378</v>
      </c>
      <c r="B182" s="142" t="s">
        <v>622</v>
      </c>
      <c r="C182" s="314" t="s">
        <v>1086</v>
      </c>
      <c r="D182" s="146" t="s">
        <v>623</v>
      </c>
      <c r="E182" s="136" t="s">
        <v>163</v>
      </c>
      <c r="F182" s="136" t="s">
        <v>264</v>
      </c>
      <c r="G182" s="136" t="s">
        <v>242</v>
      </c>
      <c r="H182" s="125" t="s">
        <v>178</v>
      </c>
      <c r="I182" s="126">
        <v>1</v>
      </c>
      <c r="J182" s="140" t="s">
        <v>205</v>
      </c>
      <c r="K182" s="127" t="s">
        <v>160</v>
      </c>
      <c r="L182" s="128">
        <v>1</v>
      </c>
      <c r="M182" s="129">
        <f t="shared" si="105"/>
        <v>1</v>
      </c>
      <c r="N182" s="249" t="s">
        <v>1548</v>
      </c>
      <c r="O182" s="70" t="s">
        <v>101</v>
      </c>
      <c r="P182" s="128">
        <v>5</v>
      </c>
      <c r="Q182" s="130">
        <f t="shared" si="106"/>
        <v>5</v>
      </c>
      <c r="R182" s="70" t="s">
        <v>101</v>
      </c>
      <c r="S182" s="70" t="s">
        <v>101</v>
      </c>
      <c r="T182" s="138" t="s">
        <v>235</v>
      </c>
      <c r="U182" s="139"/>
      <c r="V182" s="131"/>
      <c r="W182" s="138"/>
      <c r="X182" s="139"/>
      <c r="Y182" s="139"/>
      <c r="Z182" s="131"/>
      <c r="AA182" s="132"/>
      <c r="AB182" s="112"/>
      <c r="AC182" s="79"/>
      <c r="AD182" s="122">
        <f t="shared" si="72"/>
        <v>-1394</v>
      </c>
    </row>
    <row r="183" spans="1:30" ht="230.25" outlineLevel="2" thickBot="1" x14ac:dyDescent="0.25">
      <c r="A183" s="118" t="s">
        <v>840</v>
      </c>
      <c r="B183" s="142"/>
      <c r="C183" s="315"/>
      <c r="D183" s="146"/>
      <c r="E183" s="136" t="s">
        <v>197</v>
      </c>
      <c r="F183" s="136" t="s">
        <v>770</v>
      </c>
      <c r="G183" s="136" t="s">
        <v>242</v>
      </c>
      <c r="H183" s="125" t="s">
        <v>178</v>
      </c>
      <c r="I183" s="126">
        <v>1</v>
      </c>
      <c r="J183" s="140" t="s">
        <v>205</v>
      </c>
      <c r="K183" s="127" t="s">
        <v>160</v>
      </c>
      <c r="L183" s="128">
        <v>1</v>
      </c>
      <c r="M183" s="129">
        <f t="shared" ref="M183" si="111">I183*L183</f>
        <v>1</v>
      </c>
      <c r="N183" s="249" t="s">
        <v>1548</v>
      </c>
      <c r="O183" s="70" t="s">
        <v>101</v>
      </c>
      <c r="P183" s="128">
        <v>5</v>
      </c>
      <c r="Q183" s="130">
        <f t="shared" ref="Q183" si="112">I183*L183*P183</f>
        <v>5</v>
      </c>
      <c r="R183" s="70" t="s">
        <v>101</v>
      </c>
      <c r="S183" s="70" t="s">
        <v>101</v>
      </c>
      <c r="T183" s="138" t="s">
        <v>235</v>
      </c>
      <c r="U183" s="139"/>
      <c r="V183" s="131"/>
      <c r="W183" s="138"/>
      <c r="X183" s="139"/>
      <c r="Y183" s="139"/>
      <c r="Z183" s="131"/>
      <c r="AA183" s="132"/>
      <c r="AB183" s="112"/>
      <c r="AC183" s="79"/>
      <c r="AD183" s="122">
        <f t="shared" si="72"/>
        <v>-5123</v>
      </c>
    </row>
    <row r="184" spans="1:30" ht="370.5" outlineLevel="2" thickBot="1" x14ac:dyDescent="0.25">
      <c r="A184" s="118" t="s">
        <v>379</v>
      </c>
      <c r="B184" s="142" t="s">
        <v>624</v>
      </c>
      <c r="C184" s="314" t="s">
        <v>1085</v>
      </c>
      <c r="D184" s="146" t="s">
        <v>625</v>
      </c>
      <c r="E184" s="136" t="s">
        <v>156</v>
      </c>
      <c r="F184" s="136" t="s">
        <v>263</v>
      </c>
      <c r="G184" s="136" t="s">
        <v>242</v>
      </c>
      <c r="H184" s="125" t="s">
        <v>178</v>
      </c>
      <c r="I184" s="126">
        <v>3</v>
      </c>
      <c r="J184" s="140" t="s">
        <v>177</v>
      </c>
      <c r="K184" s="127" t="s">
        <v>160</v>
      </c>
      <c r="L184" s="128">
        <v>1</v>
      </c>
      <c r="M184" s="129">
        <f t="shared" si="105"/>
        <v>3</v>
      </c>
      <c r="N184" s="249" t="s">
        <v>1548</v>
      </c>
      <c r="O184" s="70" t="s">
        <v>199</v>
      </c>
      <c r="P184" s="128">
        <v>3</v>
      </c>
      <c r="Q184" s="130">
        <f t="shared" si="106"/>
        <v>9</v>
      </c>
      <c r="R184" s="70" t="s">
        <v>1479</v>
      </c>
      <c r="S184" s="70" t="s">
        <v>101</v>
      </c>
      <c r="T184" s="138" t="s">
        <v>235</v>
      </c>
      <c r="U184" s="139"/>
      <c r="V184" s="131"/>
      <c r="W184" s="138"/>
      <c r="X184" s="139"/>
      <c r="Y184" s="139"/>
      <c r="Z184" s="131"/>
      <c r="AA184" s="132"/>
      <c r="AB184" s="112"/>
      <c r="AC184" s="79"/>
      <c r="AD184" s="122">
        <f t="shared" si="72"/>
        <v>-1395</v>
      </c>
    </row>
    <row r="185" spans="1:30" ht="370.5" outlineLevel="2" thickBot="1" x14ac:dyDescent="0.25">
      <c r="A185" s="118" t="s">
        <v>841</v>
      </c>
      <c r="B185" s="142"/>
      <c r="C185" s="315"/>
      <c r="D185" s="146"/>
      <c r="E185" s="136" t="s">
        <v>492</v>
      </c>
      <c r="F185" s="136" t="s">
        <v>779</v>
      </c>
      <c r="G185" s="136" t="s">
        <v>242</v>
      </c>
      <c r="H185" s="125" t="s">
        <v>178</v>
      </c>
      <c r="I185" s="126">
        <v>3</v>
      </c>
      <c r="J185" s="140" t="s">
        <v>177</v>
      </c>
      <c r="K185" s="127" t="s">
        <v>160</v>
      </c>
      <c r="L185" s="128">
        <v>1</v>
      </c>
      <c r="M185" s="129">
        <f t="shared" ref="M185" si="113">I185*L185</f>
        <v>3</v>
      </c>
      <c r="N185" s="249" t="s">
        <v>1548</v>
      </c>
      <c r="O185" s="70" t="s">
        <v>199</v>
      </c>
      <c r="P185" s="128">
        <v>3</v>
      </c>
      <c r="Q185" s="130">
        <f t="shared" ref="Q185" si="114">I185*L185*P185</f>
        <v>9</v>
      </c>
      <c r="R185" s="70" t="s">
        <v>1479</v>
      </c>
      <c r="S185" s="70" t="s">
        <v>101</v>
      </c>
      <c r="T185" s="138" t="s">
        <v>235</v>
      </c>
      <c r="U185" s="139"/>
      <c r="V185" s="131"/>
      <c r="W185" s="138"/>
      <c r="X185" s="139"/>
      <c r="Y185" s="139"/>
      <c r="Z185" s="131"/>
      <c r="AA185" s="132"/>
      <c r="AB185" s="112"/>
      <c r="AC185" s="79"/>
      <c r="AD185" s="122">
        <f t="shared" si="72"/>
        <v>-5124</v>
      </c>
    </row>
    <row r="186" spans="1:30" ht="370.5" outlineLevel="2" thickBot="1" x14ac:dyDescent="0.25">
      <c r="A186" s="118" t="s">
        <v>380</v>
      </c>
      <c r="B186" s="142" t="s">
        <v>626</v>
      </c>
      <c r="C186" s="314" t="s">
        <v>1084</v>
      </c>
      <c r="D186" s="146" t="s">
        <v>627</v>
      </c>
      <c r="E186" s="136" t="s">
        <v>156</v>
      </c>
      <c r="F186" s="136" t="s">
        <v>263</v>
      </c>
      <c r="G186" s="136" t="s">
        <v>242</v>
      </c>
      <c r="H186" s="125" t="s">
        <v>178</v>
      </c>
      <c r="I186" s="126">
        <v>3</v>
      </c>
      <c r="J186" s="140" t="s">
        <v>177</v>
      </c>
      <c r="K186" s="127" t="s">
        <v>160</v>
      </c>
      <c r="L186" s="128">
        <v>1</v>
      </c>
      <c r="M186" s="129">
        <f t="shared" si="105"/>
        <v>3</v>
      </c>
      <c r="N186" s="249" t="s">
        <v>1548</v>
      </c>
      <c r="O186" s="70" t="s">
        <v>199</v>
      </c>
      <c r="P186" s="128">
        <v>3</v>
      </c>
      <c r="Q186" s="130">
        <f t="shared" si="106"/>
        <v>9</v>
      </c>
      <c r="R186" s="70" t="s">
        <v>1479</v>
      </c>
      <c r="S186" s="70" t="s">
        <v>101</v>
      </c>
      <c r="T186" s="138" t="s">
        <v>235</v>
      </c>
      <c r="U186" s="139"/>
      <c r="V186" s="131"/>
      <c r="W186" s="138"/>
      <c r="X186" s="139"/>
      <c r="Y186" s="139"/>
      <c r="Z186" s="131"/>
      <c r="AA186" s="132"/>
      <c r="AB186" s="112"/>
      <c r="AC186" s="79"/>
      <c r="AD186" s="122">
        <f t="shared" si="72"/>
        <v>-1396</v>
      </c>
    </row>
    <row r="187" spans="1:30" s="121" customFormat="1" ht="370.5" outlineLevel="2" thickBot="1" x14ac:dyDescent="0.25">
      <c r="A187" s="118" t="s">
        <v>842</v>
      </c>
      <c r="B187" s="182"/>
      <c r="C187" s="315"/>
      <c r="D187" s="146"/>
      <c r="E187" s="136" t="s">
        <v>492</v>
      </c>
      <c r="F187" s="136" t="s">
        <v>966</v>
      </c>
      <c r="G187" s="136" t="s">
        <v>242</v>
      </c>
      <c r="H187" s="125" t="s">
        <v>178</v>
      </c>
      <c r="I187" s="126">
        <v>2</v>
      </c>
      <c r="J187" s="140" t="s">
        <v>177</v>
      </c>
      <c r="K187" s="127" t="s">
        <v>160</v>
      </c>
      <c r="L187" s="128">
        <v>1</v>
      </c>
      <c r="M187" s="174">
        <f t="shared" ref="M187" si="115">I187*L187</f>
        <v>2</v>
      </c>
      <c r="N187" s="249" t="s">
        <v>1548</v>
      </c>
      <c r="O187" s="175" t="s">
        <v>199</v>
      </c>
      <c r="P187" s="128">
        <v>3</v>
      </c>
      <c r="Q187" s="176">
        <f t="shared" ref="Q187" si="116">I187*L187*P187</f>
        <v>6</v>
      </c>
      <c r="R187" s="70" t="s">
        <v>1479</v>
      </c>
      <c r="S187" s="70" t="s">
        <v>101</v>
      </c>
      <c r="T187" s="135" t="s">
        <v>235</v>
      </c>
      <c r="U187" s="195" t="s">
        <v>967</v>
      </c>
      <c r="V187" s="178"/>
      <c r="W187" s="135"/>
      <c r="X187" s="136"/>
      <c r="Y187" s="136"/>
      <c r="Z187" s="178"/>
      <c r="AA187" s="179"/>
      <c r="AB187" s="180"/>
      <c r="AD187" s="122">
        <f t="shared" si="72"/>
        <v>-5125</v>
      </c>
    </row>
    <row r="188" spans="1:30" s="121" customFormat="1" ht="370.5" outlineLevel="2" thickBot="1" x14ac:dyDescent="0.25">
      <c r="A188" s="118" t="s">
        <v>381</v>
      </c>
      <c r="B188" s="182" t="s">
        <v>628</v>
      </c>
      <c r="C188" s="316" t="s">
        <v>1088</v>
      </c>
      <c r="D188" s="146" t="s">
        <v>629</v>
      </c>
      <c r="E188" s="136" t="s">
        <v>165</v>
      </c>
      <c r="F188" s="136" t="s">
        <v>964</v>
      </c>
      <c r="G188" s="136" t="s">
        <v>242</v>
      </c>
      <c r="H188" s="125" t="s">
        <v>178</v>
      </c>
      <c r="I188" s="126">
        <v>3</v>
      </c>
      <c r="J188" s="140" t="s">
        <v>177</v>
      </c>
      <c r="K188" s="127" t="s">
        <v>160</v>
      </c>
      <c r="L188" s="128">
        <v>2</v>
      </c>
      <c r="M188" s="174">
        <f t="shared" si="105"/>
        <v>6</v>
      </c>
      <c r="N188" s="249" t="s">
        <v>1548</v>
      </c>
      <c r="O188" s="175" t="s">
        <v>199</v>
      </c>
      <c r="P188" s="128">
        <v>3</v>
      </c>
      <c r="Q188" s="176">
        <f t="shared" si="106"/>
        <v>18</v>
      </c>
      <c r="R188" s="70" t="s">
        <v>1479</v>
      </c>
      <c r="S188" s="70" t="s">
        <v>101</v>
      </c>
      <c r="T188" s="135" t="s">
        <v>235</v>
      </c>
      <c r="U188" s="195" t="s">
        <v>968</v>
      </c>
      <c r="V188" s="178"/>
      <c r="W188" s="135"/>
      <c r="X188" s="136"/>
      <c r="Y188" s="136"/>
      <c r="Z188" s="178"/>
      <c r="AA188" s="179"/>
      <c r="AB188" s="180"/>
      <c r="AD188" s="122">
        <f t="shared" si="72"/>
        <v>-1397</v>
      </c>
    </row>
    <row r="189" spans="1:30" s="121" customFormat="1" ht="370.5" outlineLevel="2" thickBot="1" x14ac:dyDescent="0.25">
      <c r="A189" s="118" t="s">
        <v>843</v>
      </c>
      <c r="B189" s="182"/>
      <c r="C189" s="317"/>
      <c r="D189" s="146"/>
      <c r="E189" s="136" t="s">
        <v>494</v>
      </c>
      <c r="F189" s="136" t="s">
        <v>1476</v>
      </c>
      <c r="G189" s="136" t="s">
        <v>242</v>
      </c>
      <c r="H189" s="125" t="s">
        <v>178</v>
      </c>
      <c r="I189" s="126">
        <v>2</v>
      </c>
      <c r="J189" s="140" t="s">
        <v>177</v>
      </c>
      <c r="K189" s="127" t="s">
        <v>160</v>
      </c>
      <c r="L189" s="128">
        <v>2</v>
      </c>
      <c r="M189" s="174">
        <f t="shared" ref="M189" si="117">I189*L189</f>
        <v>4</v>
      </c>
      <c r="N189" s="249" t="s">
        <v>1548</v>
      </c>
      <c r="O189" s="175" t="s">
        <v>199</v>
      </c>
      <c r="P189" s="128">
        <v>3</v>
      </c>
      <c r="Q189" s="176">
        <f t="shared" ref="Q189" si="118">I189*L189*P189</f>
        <v>12</v>
      </c>
      <c r="R189" s="70" t="s">
        <v>1479</v>
      </c>
      <c r="S189" s="70" t="s">
        <v>101</v>
      </c>
      <c r="T189" s="135" t="s">
        <v>235</v>
      </c>
      <c r="U189" s="195" t="s">
        <v>969</v>
      </c>
      <c r="V189" s="178"/>
      <c r="W189" s="135"/>
      <c r="X189" s="136"/>
      <c r="Y189" s="136"/>
      <c r="Z189" s="178"/>
      <c r="AA189" s="179"/>
      <c r="AB189" s="180"/>
      <c r="AD189" s="122">
        <f t="shared" si="72"/>
        <v>-5126</v>
      </c>
    </row>
    <row r="190" spans="1:30" ht="230.25" outlineLevel="2" thickBot="1" x14ac:dyDescent="0.25">
      <c r="A190" s="118" t="s">
        <v>382</v>
      </c>
      <c r="B190" s="142" t="s">
        <v>630</v>
      </c>
      <c r="C190" s="314" t="s">
        <v>1087</v>
      </c>
      <c r="D190" s="146" t="s">
        <v>631</v>
      </c>
      <c r="E190" s="136" t="s">
        <v>165</v>
      </c>
      <c r="F190" s="136" t="s">
        <v>265</v>
      </c>
      <c r="G190" s="136" t="s">
        <v>242</v>
      </c>
      <c r="H190" s="125" t="s">
        <v>178</v>
      </c>
      <c r="I190" s="126">
        <v>1</v>
      </c>
      <c r="J190" s="140" t="s">
        <v>205</v>
      </c>
      <c r="K190" s="127" t="s">
        <v>160</v>
      </c>
      <c r="L190" s="128">
        <v>2</v>
      </c>
      <c r="M190" s="129">
        <f t="shared" si="105"/>
        <v>2</v>
      </c>
      <c r="N190" s="249" t="s">
        <v>1548</v>
      </c>
      <c r="O190" s="70" t="s">
        <v>101</v>
      </c>
      <c r="P190" s="128">
        <v>5</v>
      </c>
      <c r="Q190" s="130">
        <f t="shared" si="106"/>
        <v>10</v>
      </c>
      <c r="R190" s="70" t="s">
        <v>101</v>
      </c>
      <c r="S190" s="70" t="s">
        <v>101</v>
      </c>
      <c r="T190" s="135" t="s">
        <v>235</v>
      </c>
      <c r="U190" s="139"/>
      <c r="V190" s="131"/>
      <c r="W190" s="138"/>
      <c r="X190" s="139"/>
      <c r="Y190" s="139"/>
      <c r="Z190" s="131"/>
      <c r="AA190" s="132"/>
      <c r="AB190" s="112"/>
      <c r="AC190" s="79"/>
      <c r="AD190" s="122">
        <f t="shared" si="72"/>
        <v>-1398</v>
      </c>
    </row>
    <row r="191" spans="1:30" ht="230.25" outlineLevel="2" thickBot="1" x14ac:dyDescent="0.25">
      <c r="A191" s="118" t="s">
        <v>844</v>
      </c>
      <c r="B191" s="142"/>
      <c r="C191" s="315"/>
      <c r="D191" s="146"/>
      <c r="E191" s="136" t="s">
        <v>494</v>
      </c>
      <c r="F191" s="136" t="s">
        <v>780</v>
      </c>
      <c r="G191" s="136" t="s">
        <v>242</v>
      </c>
      <c r="H191" s="125" t="s">
        <v>178</v>
      </c>
      <c r="I191" s="126">
        <v>1</v>
      </c>
      <c r="J191" s="140" t="s">
        <v>205</v>
      </c>
      <c r="K191" s="127" t="s">
        <v>160</v>
      </c>
      <c r="L191" s="128">
        <v>2</v>
      </c>
      <c r="M191" s="129">
        <f t="shared" ref="M191" si="119">I191*L191</f>
        <v>2</v>
      </c>
      <c r="N191" s="249" t="s">
        <v>1548</v>
      </c>
      <c r="O191" s="70" t="s">
        <v>101</v>
      </c>
      <c r="P191" s="128">
        <v>5</v>
      </c>
      <c r="Q191" s="130">
        <f t="shared" ref="Q191" si="120">I191*L191*P191</f>
        <v>10</v>
      </c>
      <c r="R191" s="70" t="s">
        <v>101</v>
      </c>
      <c r="S191" s="70" t="s">
        <v>101</v>
      </c>
      <c r="T191" s="135" t="s">
        <v>235</v>
      </c>
      <c r="U191" s="139"/>
      <c r="V191" s="131"/>
      <c r="W191" s="138"/>
      <c r="X191" s="139"/>
      <c r="Y191" s="139"/>
      <c r="Z191" s="131"/>
      <c r="AA191" s="132"/>
      <c r="AB191" s="112"/>
      <c r="AC191" s="79"/>
      <c r="AD191" s="122">
        <f t="shared" si="72"/>
        <v>-5127</v>
      </c>
    </row>
    <row r="192" spans="1:30" ht="370.5" outlineLevel="2" thickBot="1" x14ac:dyDescent="0.25">
      <c r="A192" s="118" t="s">
        <v>383</v>
      </c>
      <c r="B192" s="142" t="s">
        <v>632</v>
      </c>
      <c r="C192" s="257" t="s">
        <v>1089</v>
      </c>
      <c r="D192" s="146" t="s">
        <v>194</v>
      </c>
      <c r="E192" s="136" t="s">
        <v>172</v>
      </c>
      <c r="F192" s="136" t="s">
        <v>263</v>
      </c>
      <c r="G192" s="136" t="s">
        <v>242</v>
      </c>
      <c r="H192" s="125" t="s">
        <v>178</v>
      </c>
      <c r="I192" s="126">
        <v>3</v>
      </c>
      <c r="J192" s="140" t="s">
        <v>177</v>
      </c>
      <c r="K192" s="127" t="s">
        <v>160</v>
      </c>
      <c r="L192" s="128">
        <v>2</v>
      </c>
      <c r="M192" s="129">
        <f t="shared" si="105"/>
        <v>6</v>
      </c>
      <c r="N192" s="249" t="s">
        <v>1548</v>
      </c>
      <c r="O192" s="70" t="s">
        <v>199</v>
      </c>
      <c r="P192" s="128">
        <v>3</v>
      </c>
      <c r="Q192" s="130">
        <f t="shared" si="106"/>
        <v>18</v>
      </c>
      <c r="R192" s="70" t="s">
        <v>1479</v>
      </c>
      <c r="S192" s="70" t="s">
        <v>101</v>
      </c>
      <c r="T192" s="138" t="s">
        <v>235</v>
      </c>
      <c r="U192" s="139"/>
      <c r="V192" s="131"/>
      <c r="W192" s="138"/>
      <c r="X192" s="139"/>
      <c r="Y192" s="139"/>
      <c r="Z192" s="131"/>
      <c r="AA192" s="132"/>
      <c r="AB192" s="112"/>
      <c r="AC192" s="79"/>
      <c r="AD192" s="122">
        <f t="shared" si="72"/>
        <v>-1399</v>
      </c>
    </row>
    <row r="193" spans="1:30" ht="370.5" outlineLevel="2" thickBot="1" x14ac:dyDescent="0.25">
      <c r="A193" s="160" t="s">
        <v>1338</v>
      </c>
      <c r="B193" s="374" t="s">
        <v>1128</v>
      </c>
      <c r="C193" s="375" t="s">
        <v>1125</v>
      </c>
      <c r="D193" s="363" t="s">
        <v>1126</v>
      </c>
      <c r="E193" s="136" t="s">
        <v>165</v>
      </c>
      <c r="F193" s="136" t="s">
        <v>1295</v>
      </c>
      <c r="G193" s="136" t="s">
        <v>1297</v>
      </c>
      <c r="H193" s="125" t="s">
        <v>178</v>
      </c>
      <c r="I193" s="126">
        <v>3</v>
      </c>
      <c r="J193" s="140" t="s">
        <v>177</v>
      </c>
      <c r="K193" s="127" t="s">
        <v>160</v>
      </c>
      <c r="L193" s="128">
        <v>2</v>
      </c>
      <c r="M193" s="129">
        <f t="shared" ref="M193:M195" si="121">I193*L193</f>
        <v>6</v>
      </c>
      <c r="N193" s="249" t="s">
        <v>1548</v>
      </c>
      <c r="O193" s="70" t="s">
        <v>199</v>
      </c>
      <c r="P193" s="128">
        <v>3</v>
      </c>
      <c r="Q193" s="130">
        <f t="shared" ref="Q193:Q195" si="122">I193*L193*P193</f>
        <v>18</v>
      </c>
      <c r="R193" s="70" t="s">
        <v>1479</v>
      </c>
      <c r="S193" s="70" t="s">
        <v>101</v>
      </c>
      <c r="T193" s="138"/>
      <c r="U193" s="139"/>
      <c r="V193" s="131"/>
      <c r="W193" s="138"/>
      <c r="X193" s="139"/>
      <c r="Y193" s="139"/>
      <c r="Z193" s="131"/>
      <c r="AA193" s="132"/>
      <c r="AB193" s="112"/>
      <c r="AC193" s="79"/>
      <c r="AD193" s="122">
        <f t="shared" si="72"/>
        <v>13680</v>
      </c>
    </row>
    <row r="194" spans="1:30" ht="370.5" outlineLevel="2" thickBot="1" x14ac:dyDescent="0.25">
      <c r="A194" s="160" t="s">
        <v>1339</v>
      </c>
      <c r="B194" s="374"/>
      <c r="C194" s="375"/>
      <c r="D194" s="363"/>
      <c r="E194" s="136" t="s">
        <v>494</v>
      </c>
      <c r="F194" s="136" t="s">
        <v>1296</v>
      </c>
      <c r="G194" s="136" t="s">
        <v>1297</v>
      </c>
      <c r="H194" s="125" t="s">
        <v>178</v>
      </c>
      <c r="I194" s="126">
        <v>3</v>
      </c>
      <c r="J194" s="140" t="s">
        <v>177</v>
      </c>
      <c r="K194" s="127" t="s">
        <v>160</v>
      </c>
      <c r="L194" s="128">
        <v>2</v>
      </c>
      <c r="M194" s="129">
        <f t="shared" si="121"/>
        <v>6</v>
      </c>
      <c r="N194" s="249" t="s">
        <v>1548</v>
      </c>
      <c r="O194" s="70" t="s">
        <v>199</v>
      </c>
      <c r="P194" s="128">
        <v>3</v>
      </c>
      <c r="Q194" s="130">
        <f t="shared" si="122"/>
        <v>18</v>
      </c>
      <c r="R194" s="70" t="s">
        <v>1479</v>
      </c>
      <c r="S194" s="70" t="s">
        <v>101</v>
      </c>
      <c r="T194" s="138"/>
      <c r="U194" s="139"/>
      <c r="V194" s="131"/>
      <c r="W194" s="138"/>
      <c r="X194" s="139"/>
      <c r="Y194" s="139"/>
      <c r="Z194" s="131"/>
      <c r="AA194" s="132"/>
      <c r="AB194" s="112"/>
      <c r="AC194" s="79"/>
      <c r="AD194" s="122">
        <f t="shared" si="72"/>
        <v>13681</v>
      </c>
    </row>
    <row r="195" spans="1:30" ht="230.25" outlineLevel="2" thickBot="1" x14ac:dyDescent="0.25">
      <c r="A195" s="160" t="s">
        <v>1340</v>
      </c>
      <c r="B195" s="376" t="s">
        <v>1127</v>
      </c>
      <c r="C195" s="316" t="s">
        <v>1129</v>
      </c>
      <c r="D195" s="351" t="s">
        <v>1130</v>
      </c>
      <c r="E195" s="136" t="s">
        <v>163</v>
      </c>
      <c r="F195" s="136" t="s">
        <v>1212</v>
      </c>
      <c r="G195" s="136" t="s">
        <v>242</v>
      </c>
      <c r="H195" s="125" t="s">
        <v>178</v>
      </c>
      <c r="I195" s="126">
        <v>1</v>
      </c>
      <c r="J195" s="140" t="s">
        <v>177</v>
      </c>
      <c r="K195" s="127" t="s">
        <v>160</v>
      </c>
      <c r="L195" s="128">
        <v>1</v>
      </c>
      <c r="M195" s="129">
        <f t="shared" si="121"/>
        <v>1</v>
      </c>
      <c r="N195" s="249" t="s">
        <v>1548</v>
      </c>
      <c r="O195" s="70" t="s">
        <v>101</v>
      </c>
      <c r="P195" s="128">
        <v>5</v>
      </c>
      <c r="Q195" s="130">
        <f t="shared" si="122"/>
        <v>5</v>
      </c>
      <c r="R195" s="70" t="s">
        <v>101</v>
      </c>
      <c r="S195" s="70" t="s">
        <v>101</v>
      </c>
      <c r="T195" s="138"/>
      <c r="U195" s="139"/>
      <c r="V195" s="131"/>
      <c r="W195" s="138"/>
      <c r="X195" s="139"/>
      <c r="Y195" s="139"/>
      <c r="Z195" s="131"/>
      <c r="AA195" s="132"/>
      <c r="AB195" s="112"/>
      <c r="AC195" s="79"/>
      <c r="AD195" s="122">
        <f t="shared" si="72"/>
        <v>13682</v>
      </c>
    </row>
    <row r="196" spans="1:30" ht="230.25" outlineLevel="2" thickBot="1" x14ac:dyDescent="0.25">
      <c r="A196" s="160" t="s">
        <v>1341</v>
      </c>
      <c r="B196" s="377"/>
      <c r="C196" s="317"/>
      <c r="D196" s="352"/>
      <c r="E196" s="136" t="s">
        <v>197</v>
      </c>
      <c r="F196" s="136" t="s">
        <v>1298</v>
      </c>
      <c r="G196" s="136" t="s">
        <v>242</v>
      </c>
      <c r="H196" s="125" t="s">
        <v>178</v>
      </c>
      <c r="I196" s="126">
        <v>2</v>
      </c>
      <c r="J196" s="140" t="s">
        <v>177</v>
      </c>
      <c r="K196" s="127" t="s">
        <v>160</v>
      </c>
      <c r="L196" s="128">
        <v>1</v>
      </c>
      <c r="M196" s="129">
        <f t="shared" ref="M196" si="123">I196*L196</f>
        <v>2</v>
      </c>
      <c r="N196" s="249" t="s">
        <v>1548</v>
      </c>
      <c r="O196" s="70" t="s">
        <v>101</v>
      </c>
      <c r="P196" s="128">
        <v>5</v>
      </c>
      <c r="Q196" s="130">
        <f t="shared" ref="Q196" si="124">I196*L196*P196</f>
        <v>10</v>
      </c>
      <c r="R196" s="70" t="s">
        <v>101</v>
      </c>
      <c r="S196" s="70" t="s">
        <v>101</v>
      </c>
      <c r="T196" s="138"/>
      <c r="U196" s="139"/>
      <c r="V196" s="131"/>
      <c r="W196" s="138"/>
      <c r="X196" s="139"/>
      <c r="Y196" s="139"/>
      <c r="Z196" s="131"/>
      <c r="AA196" s="132"/>
      <c r="AB196" s="112"/>
      <c r="AC196" s="79"/>
      <c r="AD196" s="122">
        <f t="shared" ref="AD196:AD259" si="125">VALUE(RIGHT((IF(A196="",0,A196)),5))</f>
        <v>13683</v>
      </c>
    </row>
    <row r="197" spans="1:30" ht="370.5" outlineLevel="2" thickBot="1" x14ac:dyDescent="0.25">
      <c r="A197" s="118" t="s">
        <v>384</v>
      </c>
      <c r="B197" s="142" t="s">
        <v>633</v>
      </c>
      <c r="C197" s="314" t="s">
        <v>1090</v>
      </c>
      <c r="D197" s="146" t="s">
        <v>621</v>
      </c>
      <c r="E197" s="136" t="s">
        <v>283</v>
      </c>
      <c r="F197" s="136" t="s">
        <v>263</v>
      </c>
      <c r="G197" s="136" t="s">
        <v>242</v>
      </c>
      <c r="H197" s="125" t="s">
        <v>178</v>
      </c>
      <c r="I197" s="126">
        <v>3</v>
      </c>
      <c r="J197" s="140" t="s">
        <v>177</v>
      </c>
      <c r="K197" s="127" t="s">
        <v>160</v>
      </c>
      <c r="L197" s="128">
        <v>2</v>
      </c>
      <c r="M197" s="129">
        <f t="shared" si="105"/>
        <v>6</v>
      </c>
      <c r="N197" s="249" t="s">
        <v>1548</v>
      </c>
      <c r="O197" s="70" t="s">
        <v>199</v>
      </c>
      <c r="P197" s="128">
        <v>3</v>
      </c>
      <c r="Q197" s="130">
        <f t="shared" si="106"/>
        <v>18</v>
      </c>
      <c r="R197" s="70" t="s">
        <v>1479</v>
      </c>
      <c r="S197" s="70" t="s">
        <v>101</v>
      </c>
      <c r="T197" s="138" t="s">
        <v>235</v>
      </c>
      <c r="U197" s="139"/>
      <c r="V197" s="131"/>
      <c r="W197" s="138"/>
      <c r="X197" s="139"/>
      <c r="Y197" s="139"/>
      <c r="Z197" s="131"/>
      <c r="AA197" s="132"/>
      <c r="AB197" s="112"/>
      <c r="AC197" s="79"/>
      <c r="AD197" s="122">
        <f t="shared" si="125"/>
        <v>-1400</v>
      </c>
    </row>
    <row r="198" spans="1:30" ht="370.5" outlineLevel="2" thickBot="1" x14ac:dyDescent="0.25">
      <c r="A198" s="118" t="s">
        <v>845</v>
      </c>
      <c r="B198" s="142"/>
      <c r="C198" s="315"/>
      <c r="D198" s="146"/>
      <c r="E198" s="136" t="s">
        <v>760</v>
      </c>
      <c r="F198" s="136" t="s">
        <v>781</v>
      </c>
      <c r="G198" s="136" t="s">
        <v>242</v>
      </c>
      <c r="H198" s="125" t="s">
        <v>178</v>
      </c>
      <c r="I198" s="126">
        <v>3</v>
      </c>
      <c r="J198" s="140" t="s">
        <v>177</v>
      </c>
      <c r="K198" s="127" t="s">
        <v>160</v>
      </c>
      <c r="L198" s="128">
        <v>2</v>
      </c>
      <c r="M198" s="129">
        <f t="shared" ref="M198" si="126">I198*L198</f>
        <v>6</v>
      </c>
      <c r="N198" s="249" t="s">
        <v>1548</v>
      </c>
      <c r="O198" s="70" t="s">
        <v>199</v>
      </c>
      <c r="P198" s="128">
        <v>3</v>
      </c>
      <c r="Q198" s="130">
        <f t="shared" ref="Q198" si="127">I198*L198*P198</f>
        <v>18</v>
      </c>
      <c r="R198" s="70" t="s">
        <v>1479</v>
      </c>
      <c r="S198" s="70" t="s">
        <v>101</v>
      </c>
      <c r="T198" s="138" t="s">
        <v>235</v>
      </c>
      <c r="U198" s="139"/>
      <c r="V198" s="131"/>
      <c r="W198" s="138"/>
      <c r="X198" s="139"/>
      <c r="Y198" s="139"/>
      <c r="Z198" s="131"/>
      <c r="AA198" s="132"/>
      <c r="AB198" s="112"/>
      <c r="AC198" s="79"/>
      <c r="AD198" s="122">
        <f t="shared" si="125"/>
        <v>-5128</v>
      </c>
    </row>
    <row r="199" spans="1:30" ht="370.5" outlineLevel="2" thickBot="1" x14ac:dyDescent="0.25">
      <c r="A199" s="118" t="s">
        <v>385</v>
      </c>
      <c r="B199" s="142" t="s">
        <v>634</v>
      </c>
      <c r="C199" s="314" t="s">
        <v>1092</v>
      </c>
      <c r="D199" s="146" t="s">
        <v>635</v>
      </c>
      <c r="E199" s="136" t="s">
        <v>156</v>
      </c>
      <c r="F199" s="136" t="s">
        <v>263</v>
      </c>
      <c r="G199" s="136" t="s">
        <v>242</v>
      </c>
      <c r="H199" s="125" t="s">
        <v>178</v>
      </c>
      <c r="I199" s="126">
        <v>3</v>
      </c>
      <c r="J199" s="140" t="s">
        <v>177</v>
      </c>
      <c r="K199" s="127" t="s">
        <v>160</v>
      </c>
      <c r="L199" s="128">
        <v>1</v>
      </c>
      <c r="M199" s="129">
        <f t="shared" si="105"/>
        <v>3</v>
      </c>
      <c r="N199" s="249" t="s">
        <v>1548</v>
      </c>
      <c r="O199" s="70" t="s">
        <v>199</v>
      </c>
      <c r="P199" s="128">
        <v>3</v>
      </c>
      <c r="Q199" s="130">
        <f t="shared" si="106"/>
        <v>9</v>
      </c>
      <c r="R199" s="70" t="s">
        <v>1479</v>
      </c>
      <c r="S199" s="70" t="s">
        <v>101</v>
      </c>
      <c r="T199" s="138" t="s">
        <v>235</v>
      </c>
      <c r="U199" s="139"/>
      <c r="V199" s="131"/>
      <c r="W199" s="138"/>
      <c r="X199" s="139"/>
      <c r="Y199" s="139"/>
      <c r="Z199" s="131"/>
      <c r="AA199" s="132"/>
      <c r="AB199" s="112"/>
      <c r="AC199" s="79"/>
      <c r="AD199" s="122">
        <f t="shared" si="125"/>
        <v>-1401</v>
      </c>
    </row>
    <row r="200" spans="1:30" ht="370.5" outlineLevel="2" thickBot="1" x14ac:dyDescent="0.25">
      <c r="A200" s="118" t="s">
        <v>846</v>
      </c>
      <c r="B200" s="142"/>
      <c r="C200" s="315"/>
      <c r="D200" s="146"/>
      <c r="E200" s="136" t="s">
        <v>492</v>
      </c>
      <c r="F200" s="136" t="s">
        <v>782</v>
      </c>
      <c r="G200" s="136" t="s">
        <v>242</v>
      </c>
      <c r="H200" s="125" t="s">
        <v>178</v>
      </c>
      <c r="I200" s="126">
        <v>3</v>
      </c>
      <c r="J200" s="140" t="s">
        <v>177</v>
      </c>
      <c r="K200" s="127" t="s">
        <v>160</v>
      </c>
      <c r="L200" s="128">
        <v>1</v>
      </c>
      <c r="M200" s="129">
        <f t="shared" ref="M200" si="128">I200*L200</f>
        <v>3</v>
      </c>
      <c r="N200" s="249" t="s">
        <v>1548</v>
      </c>
      <c r="O200" s="70" t="s">
        <v>199</v>
      </c>
      <c r="P200" s="128">
        <v>3</v>
      </c>
      <c r="Q200" s="130">
        <f t="shared" ref="Q200" si="129">I200*L200*P200</f>
        <v>9</v>
      </c>
      <c r="R200" s="70" t="s">
        <v>1479</v>
      </c>
      <c r="S200" s="70" t="s">
        <v>101</v>
      </c>
      <c r="T200" s="138" t="s">
        <v>235</v>
      </c>
      <c r="U200" s="139"/>
      <c r="V200" s="131"/>
      <c r="W200" s="138"/>
      <c r="X200" s="139"/>
      <c r="Y200" s="139"/>
      <c r="Z200" s="131"/>
      <c r="AA200" s="132"/>
      <c r="AB200" s="112"/>
      <c r="AC200" s="79"/>
      <c r="AD200" s="122">
        <f t="shared" si="125"/>
        <v>-5129</v>
      </c>
    </row>
    <row r="201" spans="1:30" ht="370.5" outlineLevel="2" thickBot="1" x14ac:dyDescent="0.25">
      <c r="A201" s="118" t="s">
        <v>386</v>
      </c>
      <c r="B201" s="142" t="s">
        <v>636</v>
      </c>
      <c r="C201" s="314" t="s">
        <v>1091</v>
      </c>
      <c r="D201" s="146" t="s">
        <v>625</v>
      </c>
      <c r="E201" s="136" t="s">
        <v>156</v>
      </c>
      <c r="F201" s="136" t="s">
        <v>263</v>
      </c>
      <c r="G201" s="136" t="s">
        <v>242</v>
      </c>
      <c r="H201" s="125" t="s">
        <v>178</v>
      </c>
      <c r="I201" s="126">
        <v>3</v>
      </c>
      <c r="J201" s="140" t="s">
        <v>177</v>
      </c>
      <c r="K201" s="127" t="s">
        <v>160</v>
      </c>
      <c r="L201" s="128">
        <v>1</v>
      </c>
      <c r="M201" s="129">
        <f t="shared" si="105"/>
        <v>3</v>
      </c>
      <c r="N201" s="249" t="s">
        <v>1548</v>
      </c>
      <c r="O201" s="70" t="s">
        <v>199</v>
      </c>
      <c r="P201" s="128">
        <v>3</v>
      </c>
      <c r="Q201" s="130">
        <f t="shared" si="106"/>
        <v>9</v>
      </c>
      <c r="R201" s="70" t="s">
        <v>1479</v>
      </c>
      <c r="S201" s="70" t="s">
        <v>101</v>
      </c>
      <c r="T201" s="138" t="s">
        <v>235</v>
      </c>
      <c r="U201" s="139"/>
      <c r="V201" s="131"/>
      <c r="W201" s="138"/>
      <c r="X201" s="139"/>
      <c r="Y201" s="139"/>
      <c r="Z201" s="131"/>
      <c r="AA201" s="132"/>
      <c r="AB201" s="112"/>
      <c r="AC201" s="79"/>
      <c r="AD201" s="122">
        <f t="shared" si="125"/>
        <v>-1402</v>
      </c>
    </row>
    <row r="202" spans="1:30" ht="370.5" outlineLevel="2" thickBot="1" x14ac:dyDescent="0.25">
      <c r="A202" s="118" t="s">
        <v>847</v>
      </c>
      <c r="B202" s="142"/>
      <c r="C202" s="315"/>
      <c r="D202" s="146"/>
      <c r="E202" s="136" t="s">
        <v>492</v>
      </c>
      <c r="F202" s="136" t="s">
        <v>783</v>
      </c>
      <c r="G202" s="136" t="s">
        <v>242</v>
      </c>
      <c r="H202" s="125" t="s">
        <v>178</v>
      </c>
      <c r="I202" s="126">
        <v>3</v>
      </c>
      <c r="J202" s="140" t="s">
        <v>177</v>
      </c>
      <c r="K202" s="127" t="s">
        <v>160</v>
      </c>
      <c r="L202" s="128">
        <v>1</v>
      </c>
      <c r="M202" s="129">
        <f t="shared" ref="M202" si="130">I202*L202</f>
        <v>3</v>
      </c>
      <c r="N202" s="249" t="s">
        <v>1548</v>
      </c>
      <c r="O202" s="70" t="s">
        <v>199</v>
      </c>
      <c r="P202" s="128">
        <v>3</v>
      </c>
      <c r="Q202" s="130">
        <f t="shared" ref="Q202" si="131">I202*L202*P202</f>
        <v>9</v>
      </c>
      <c r="R202" s="70" t="s">
        <v>1479</v>
      </c>
      <c r="S202" s="70" t="s">
        <v>101</v>
      </c>
      <c r="T202" s="138" t="s">
        <v>235</v>
      </c>
      <c r="U202" s="139"/>
      <c r="V202" s="131"/>
      <c r="W202" s="138"/>
      <c r="X202" s="139"/>
      <c r="Y202" s="139"/>
      <c r="Z202" s="131"/>
      <c r="AA202" s="132"/>
      <c r="AB202" s="112"/>
      <c r="AC202" s="79"/>
      <c r="AD202" s="122">
        <f t="shared" si="125"/>
        <v>-5130</v>
      </c>
    </row>
    <row r="203" spans="1:30" ht="370.5" outlineLevel="2" thickBot="1" x14ac:dyDescent="0.25">
      <c r="A203" s="118" t="s">
        <v>387</v>
      </c>
      <c r="B203" s="142" t="s">
        <v>637</v>
      </c>
      <c r="C203" s="314" t="s">
        <v>1093</v>
      </c>
      <c r="D203" s="146" t="s">
        <v>627</v>
      </c>
      <c r="E203" s="136" t="s">
        <v>156</v>
      </c>
      <c r="F203" s="136" t="s">
        <v>263</v>
      </c>
      <c r="G203" s="136" t="s">
        <v>242</v>
      </c>
      <c r="H203" s="125" t="s">
        <v>178</v>
      </c>
      <c r="I203" s="126">
        <v>3</v>
      </c>
      <c r="J203" s="140" t="s">
        <v>177</v>
      </c>
      <c r="K203" s="127" t="s">
        <v>160</v>
      </c>
      <c r="L203" s="128">
        <v>1</v>
      </c>
      <c r="M203" s="129">
        <f t="shared" si="105"/>
        <v>3</v>
      </c>
      <c r="N203" s="249" t="s">
        <v>1548</v>
      </c>
      <c r="O203" s="70" t="s">
        <v>199</v>
      </c>
      <c r="P203" s="128">
        <v>3</v>
      </c>
      <c r="Q203" s="130">
        <f t="shared" si="106"/>
        <v>9</v>
      </c>
      <c r="R203" s="70" t="s">
        <v>1479</v>
      </c>
      <c r="S203" s="70" t="s">
        <v>101</v>
      </c>
      <c r="T203" s="138" t="s">
        <v>235</v>
      </c>
      <c r="U203" s="139"/>
      <c r="V203" s="131"/>
      <c r="W203" s="138"/>
      <c r="X203" s="139"/>
      <c r="Y203" s="139"/>
      <c r="Z203" s="131"/>
      <c r="AA203" s="132"/>
      <c r="AB203" s="112"/>
      <c r="AC203" s="79"/>
      <c r="AD203" s="122">
        <f t="shared" si="125"/>
        <v>-1403</v>
      </c>
    </row>
    <row r="204" spans="1:30" s="121" customFormat="1" ht="110.25" customHeight="1" outlineLevel="2" thickBot="1" x14ac:dyDescent="0.25">
      <c r="A204" s="118" t="s">
        <v>848</v>
      </c>
      <c r="B204" s="182"/>
      <c r="C204" s="315"/>
      <c r="D204" s="146"/>
      <c r="E204" s="136" t="s">
        <v>492</v>
      </c>
      <c r="F204" s="136" t="s">
        <v>966</v>
      </c>
      <c r="G204" s="136" t="s">
        <v>242</v>
      </c>
      <c r="H204" s="125" t="s">
        <v>178</v>
      </c>
      <c r="I204" s="126">
        <v>2</v>
      </c>
      <c r="J204" s="140" t="s">
        <v>177</v>
      </c>
      <c r="K204" s="127" t="s">
        <v>160</v>
      </c>
      <c r="L204" s="128">
        <v>1</v>
      </c>
      <c r="M204" s="174">
        <f t="shared" ref="M204" si="132">I204*L204</f>
        <v>2</v>
      </c>
      <c r="N204" s="249" t="s">
        <v>1548</v>
      </c>
      <c r="O204" s="175" t="s">
        <v>101</v>
      </c>
      <c r="P204" s="128">
        <v>5</v>
      </c>
      <c r="Q204" s="176">
        <f t="shared" ref="Q204" si="133">I204*L204*P204</f>
        <v>10</v>
      </c>
      <c r="R204" s="175" t="s">
        <v>101</v>
      </c>
      <c r="S204" s="175" t="s">
        <v>101</v>
      </c>
      <c r="T204" s="135" t="s">
        <v>235</v>
      </c>
      <c r="U204" s="195" t="s">
        <v>967</v>
      </c>
      <c r="V204" s="178"/>
      <c r="W204" s="135"/>
      <c r="X204" s="136"/>
      <c r="Y204" s="136"/>
      <c r="Z204" s="178"/>
      <c r="AA204" s="179"/>
      <c r="AB204" s="180"/>
      <c r="AD204" s="122">
        <f t="shared" si="125"/>
        <v>-5131</v>
      </c>
    </row>
    <row r="205" spans="1:30" ht="230.25" outlineLevel="2" thickBot="1" x14ac:dyDescent="0.25">
      <c r="A205" s="118" t="s">
        <v>388</v>
      </c>
      <c r="B205" s="142" t="s">
        <v>638</v>
      </c>
      <c r="C205" s="314" t="s">
        <v>1094</v>
      </c>
      <c r="D205" s="146" t="s">
        <v>631</v>
      </c>
      <c r="E205" s="136" t="s">
        <v>165</v>
      </c>
      <c r="F205" s="136" t="s">
        <v>265</v>
      </c>
      <c r="G205" s="136" t="s">
        <v>242</v>
      </c>
      <c r="H205" s="125" t="s">
        <v>178</v>
      </c>
      <c r="I205" s="126">
        <v>1</v>
      </c>
      <c r="J205" s="140" t="s">
        <v>205</v>
      </c>
      <c r="K205" s="127" t="s">
        <v>160</v>
      </c>
      <c r="L205" s="128">
        <v>2</v>
      </c>
      <c r="M205" s="129">
        <f t="shared" si="105"/>
        <v>2</v>
      </c>
      <c r="N205" s="249" t="s">
        <v>1548</v>
      </c>
      <c r="O205" s="70" t="s">
        <v>101</v>
      </c>
      <c r="P205" s="128">
        <v>5</v>
      </c>
      <c r="Q205" s="130">
        <f t="shared" si="106"/>
        <v>10</v>
      </c>
      <c r="R205" s="70" t="s">
        <v>101</v>
      </c>
      <c r="S205" s="70" t="s">
        <v>101</v>
      </c>
      <c r="T205" s="138" t="s">
        <v>235</v>
      </c>
      <c r="U205" s="139"/>
      <c r="V205" s="131"/>
      <c r="W205" s="138"/>
      <c r="X205" s="139"/>
      <c r="Y205" s="139"/>
      <c r="Z205" s="131"/>
      <c r="AA205" s="132"/>
      <c r="AB205" s="112"/>
      <c r="AC205" s="79"/>
      <c r="AD205" s="122">
        <f t="shared" si="125"/>
        <v>-1404</v>
      </c>
    </row>
    <row r="206" spans="1:30" ht="230.25" outlineLevel="2" thickBot="1" x14ac:dyDescent="0.25">
      <c r="A206" s="118" t="s">
        <v>849</v>
      </c>
      <c r="B206" s="142"/>
      <c r="C206" s="315"/>
      <c r="D206" s="146"/>
      <c r="E206" s="136" t="s">
        <v>494</v>
      </c>
      <c r="F206" s="136" t="s">
        <v>784</v>
      </c>
      <c r="G206" s="136" t="s">
        <v>242</v>
      </c>
      <c r="H206" s="125" t="s">
        <v>178</v>
      </c>
      <c r="I206" s="126">
        <v>1</v>
      </c>
      <c r="J206" s="140" t="s">
        <v>205</v>
      </c>
      <c r="K206" s="127" t="s">
        <v>160</v>
      </c>
      <c r="L206" s="128">
        <v>1</v>
      </c>
      <c r="M206" s="129">
        <f t="shared" ref="M206" si="134">I206*L206</f>
        <v>1</v>
      </c>
      <c r="N206" s="249" t="s">
        <v>1548</v>
      </c>
      <c r="O206" s="70" t="s">
        <v>101</v>
      </c>
      <c r="P206" s="128">
        <v>5</v>
      </c>
      <c r="Q206" s="130">
        <f t="shared" ref="Q206" si="135">I206*L206*P206</f>
        <v>5</v>
      </c>
      <c r="R206" s="70" t="s">
        <v>101</v>
      </c>
      <c r="S206" s="70" t="s">
        <v>101</v>
      </c>
      <c r="T206" s="138" t="s">
        <v>235</v>
      </c>
      <c r="U206" s="139"/>
      <c r="V206" s="131"/>
      <c r="W206" s="138"/>
      <c r="X206" s="139"/>
      <c r="Y206" s="139"/>
      <c r="Z206" s="131"/>
      <c r="AA206" s="132"/>
      <c r="AB206" s="112"/>
      <c r="AC206" s="79"/>
      <c r="AD206" s="122">
        <f t="shared" si="125"/>
        <v>-5132</v>
      </c>
    </row>
    <row r="207" spans="1:30" ht="230.25" outlineLevel="2" thickBot="1" x14ac:dyDescent="0.25">
      <c r="A207" s="118" t="s">
        <v>389</v>
      </c>
      <c r="B207" s="142" t="s">
        <v>639</v>
      </c>
      <c r="C207" s="314" t="s">
        <v>1095</v>
      </c>
      <c r="D207" s="146" t="s">
        <v>623</v>
      </c>
      <c r="E207" s="136" t="s">
        <v>163</v>
      </c>
      <c r="F207" s="136" t="s">
        <v>264</v>
      </c>
      <c r="G207" s="136" t="s">
        <v>242</v>
      </c>
      <c r="H207" s="125" t="s">
        <v>178</v>
      </c>
      <c r="I207" s="126">
        <v>1</v>
      </c>
      <c r="J207" s="140" t="s">
        <v>205</v>
      </c>
      <c r="K207" s="127" t="s">
        <v>160</v>
      </c>
      <c r="L207" s="128">
        <v>1</v>
      </c>
      <c r="M207" s="129">
        <f t="shared" si="105"/>
        <v>1</v>
      </c>
      <c r="N207" s="249" t="s">
        <v>1548</v>
      </c>
      <c r="O207" s="70" t="s">
        <v>101</v>
      </c>
      <c r="P207" s="128">
        <v>5</v>
      </c>
      <c r="Q207" s="130">
        <f t="shared" si="106"/>
        <v>5</v>
      </c>
      <c r="R207" s="70" t="s">
        <v>101</v>
      </c>
      <c r="S207" s="70" t="s">
        <v>101</v>
      </c>
      <c r="T207" s="138" t="s">
        <v>235</v>
      </c>
      <c r="U207" s="139"/>
      <c r="V207" s="131"/>
      <c r="W207" s="138"/>
      <c r="X207" s="139"/>
      <c r="Y207" s="139"/>
      <c r="Z207" s="131"/>
      <c r="AA207" s="132"/>
      <c r="AB207" s="112"/>
      <c r="AC207" s="79"/>
      <c r="AD207" s="122">
        <f t="shared" si="125"/>
        <v>-1405</v>
      </c>
    </row>
    <row r="208" spans="1:30" s="121" customFormat="1" ht="370.5" outlineLevel="2" thickBot="1" x14ac:dyDescent="0.25">
      <c r="A208" s="118" t="s">
        <v>850</v>
      </c>
      <c r="B208" s="182"/>
      <c r="C208" s="315"/>
      <c r="D208" s="146"/>
      <c r="E208" s="136" t="s">
        <v>197</v>
      </c>
      <c r="F208" s="136" t="s">
        <v>900</v>
      </c>
      <c r="G208" s="136" t="s">
        <v>242</v>
      </c>
      <c r="H208" s="125" t="s">
        <v>178</v>
      </c>
      <c r="I208" s="126">
        <v>1</v>
      </c>
      <c r="J208" s="140" t="s">
        <v>205</v>
      </c>
      <c r="K208" s="127" t="s">
        <v>160</v>
      </c>
      <c r="L208" s="128">
        <v>1</v>
      </c>
      <c r="M208" s="174">
        <f t="shared" ref="M208" si="136">I208*L208</f>
        <v>1</v>
      </c>
      <c r="N208" s="249" t="s">
        <v>1548</v>
      </c>
      <c r="O208" s="175"/>
      <c r="P208" s="128">
        <v>3</v>
      </c>
      <c r="Q208" s="176">
        <f t="shared" ref="Q208" si="137">I208*L208*P208</f>
        <v>3</v>
      </c>
      <c r="R208" s="70" t="s">
        <v>1479</v>
      </c>
      <c r="S208" s="70" t="s">
        <v>101</v>
      </c>
      <c r="T208" s="135" t="s">
        <v>235</v>
      </c>
      <c r="U208" s="195" t="s">
        <v>901</v>
      </c>
      <c r="V208" s="178"/>
      <c r="W208" s="135"/>
      <c r="X208" s="136"/>
      <c r="Y208" s="136"/>
      <c r="Z208" s="178"/>
      <c r="AA208" s="179"/>
      <c r="AB208" s="180"/>
      <c r="AD208" s="122">
        <f t="shared" si="125"/>
        <v>-5133</v>
      </c>
    </row>
    <row r="209" spans="1:30" ht="230.25" outlineLevel="2" thickBot="1" x14ac:dyDescent="0.25">
      <c r="A209" s="118" t="s">
        <v>390</v>
      </c>
      <c r="B209" s="142" t="s">
        <v>640</v>
      </c>
      <c r="C209" s="314" t="s">
        <v>1097</v>
      </c>
      <c r="D209" s="146" t="s">
        <v>162</v>
      </c>
      <c r="E209" s="136" t="s">
        <v>163</v>
      </c>
      <c r="F209" s="136" t="s">
        <v>264</v>
      </c>
      <c r="G209" s="136" t="s">
        <v>242</v>
      </c>
      <c r="H209" s="125" t="s">
        <v>178</v>
      </c>
      <c r="I209" s="126">
        <v>1</v>
      </c>
      <c r="J209" s="140" t="s">
        <v>205</v>
      </c>
      <c r="K209" s="127" t="s">
        <v>160</v>
      </c>
      <c r="L209" s="128">
        <v>1</v>
      </c>
      <c r="M209" s="129">
        <f t="shared" si="105"/>
        <v>1</v>
      </c>
      <c r="N209" s="249" t="s">
        <v>1548</v>
      </c>
      <c r="O209" s="70" t="s">
        <v>101</v>
      </c>
      <c r="P209" s="128">
        <v>5</v>
      </c>
      <c r="Q209" s="130">
        <f t="shared" si="106"/>
        <v>5</v>
      </c>
      <c r="R209" s="70" t="s">
        <v>101</v>
      </c>
      <c r="S209" s="70" t="s">
        <v>101</v>
      </c>
      <c r="T209" s="138" t="s">
        <v>235</v>
      </c>
      <c r="U209" s="139"/>
      <c r="V209" s="131"/>
      <c r="W209" s="138"/>
      <c r="X209" s="139"/>
      <c r="Y209" s="139"/>
      <c r="Z209" s="131"/>
      <c r="AA209" s="132"/>
      <c r="AB209" s="112"/>
      <c r="AC209" s="79"/>
      <c r="AD209" s="122">
        <f t="shared" si="125"/>
        <v>-1406</v>
      </c>
    </row>
    <row r="210" spans="1:30" s="121" customFormat="1" ht="370.5" outlineLevel="2" thickBot="1" x14ac:dyDescent="0.25">
      <c r="A210" s="118" t="s">
        <v>851</v>
      </c>
      <c r="B210" s="182"/>
      <c r="C210" s="315"/>
      <c r="D210" s="146"/>
      <c r="E210" s="136" t="s">
        <v>197</v>
      </c>
      <c r="F210" s="136" t="s">
        <v>900</v>
      </c>
      <c r="G210" s="136" t="s">
        <v>242</v>
      </c>
      <c r="H210" s="125" t="s">
        <v>178</v>
      </c>
      <c r="I210" s="126">
        <v>1</v>
      </c>
      <c r="J210" s="140" t="s">
        <v>205</v>
      </c>
      <c r="K210" s="127" t="s">
        <v>160</v>
      </c>
      <c r="L210" s="128">
        <v>1</v>
      </c>
      <c r="M210" s="174">
        <f t="shared" si="105"/>
        <v>1</v>
      </c>
      <c r="N210" s="249" t="s">
        <v>1548</v>
      </c>
      <c r="O210" s="175"/>
      <c r="P210" s="128">
        <v>3</v>
      </c>
      <c r="Q210" s="176">
        <f t="shared" si="106"/>
        <v>3</v>
      </c>
      <c r="R210" s="70" t="s">
        <v>1479</v>
      </c>
      <c r="S210" s="70" t="s">
        <v>101</v>
      </c>
      <c r="T210" s="135" t="s">
        <v>235</v>
      </c>
      <c r="U210" s="195" t="s">
        <v>901</v>
      </c>
      <c r="V210" s="178"/>
      <c r="W210" s="135"/>
      <c r="X210" s="136"/>
      <c r="Y210" s="136"/>
      <c r="Z210" s="178"/>
      <c r="AA210" s="179"/>
      <c r="AB210" s="180"/>
      <c r="AD210" s="122">
        <f t="shared" si="125"/>
        <v>-5134</v>
      </c>
    </row>
    <row r="211" spans="1:30" ht="230.25" outlineLevel="2" thickBot="1" x14ac:dyDescent="0.25">
      <c r="A211" s="118" t="s">
        <v>391</v>
      </c>
      <c r="B211" s="142" t="s">
        <v>641</v>
      </c>
      <c r="C211" s="314" t="s">
        <v>1098</v>
      </c>
      <c r="D211" s="146" t="s">
        <v>162</v>
      </c>
      <c r="E211" s="136" t="s">
        <v>163</v>
      </c>
      <c r="F211" s="136" t="s">
        <v>264</v>
      </c>
      <c r="G211" s="136" t="s">
        <v>242</v>
      </c>
      <c r="H211" s="125" t="s">
        <v>178</v>
      </c>
      <c r="I211" s="126">
        <v>1</v>
      </c>
      <c r="J211" s="140" t="s">
        <v>205</v>
      </c>
      <c r="K211" s="127" t="s">
        <v>160</v>
      </c>
      <c r="L211" s="128">
        <v>1</v>
      </c>
      <c r="M211" s="129">
        <f t="shared" si="105"/>
        <v>1</v>
      </c>
      <c r="N211" s="249" t="s">
        <v>1548</v>
      </c>
      <c r="O211" s="70" t="s">
        <v>101</v>
      </c>
      <c r="P211" s="128">
        <v>5</v>
      </c>
      <c r="Q211" s="130">
        <f t="shared" si="106"/>
        <v>5</v>
      </c>
      <c r="R211" s="70" t="s">
        <v>101</v>
      </c>
      <c r="S211" s="70" t="s">
        <v>101</v>
      </c>
      <c r="T211" s="138" t="s">
        <v>235</v>
      </c>
      <c r="U211" s="139"/>
      <c r="V211" s="131"/>
      <c r="W211" s="138"/>
      <c r="X211" s="139"/>
      <c r="Y211" s="139"/>
      <c r="Z211" s="131"/>
      <c r="AA211" s="132"/>
      <c r="AB211" s="112"/>
      <c r="AC211" s="79"/>
      <c r="AD211" s="122">
        <f t="shared" si="125"/>
        <v>-1407</v>
      </c>
    </row>
    <row r="212" spans="1:30" s="121" customFormat="1" ht="370.5" outlineLevel="2" thickBot="1" x14ac:dyDescent="0.25">
      <c r="A212" s="118" t="s">
        <v>852</v>
      </c>
      <c r="B212" s="182"/>
      <c r="C212" s="315"/>
      <c r="D212" s="146"/>
      <c r="E212" s="136" t="s">
        <v>197</v>
      </c>
      <c r="F212" s="136" t="s">
        <v>902</v>
      </c>
      <c r="G212" s="136" t="s">
        <v>242</v>
      </c>
      <c r="H212" s="125" t="s">
        <v>178</v>
      </c>
      <c r="I212" s="126">
        <v>1</v>
      </c>
      <c r="J212" s="140" t="s">
        <v>205</v>
      </c>
      <c r="K212" s="127" t="s">
        <v>160</v>
      </c>
      <c r="L212" s="128">
        <v>1</v>
      </c>
      <c r="M212" s="174">
        <f t="shared" ref="M212" si="138">I212*L212</f>
        <v>1</v>
      </c>
      <c r="N212" s="249" t="s">
        <v>1548</v>
      </c>
      <c r="O212" s="175"/>
      <c r="P212" s="128">
        <v>3</v>
      </c>
      <c r="Q212" s="176">
        <f t="shared" ref="Q212" si="139">I212*L212*P212</f>
        <v>3</v>
      </c>
      <c r="R212" s="70" t="s">
        <v>1479</v>
      </c>
      <c r="S212" s="70" t="s">
        <v>101</v>
      </c>
      <c r="T212" s="135" t="s">
        <v>235</v>
      </c>
      <c r="U212" s="195" t="s">
        <v>903</v>
      </c>
      <c r="V212" s="178"/>
      <c r="W212" s="135"/>
      <c r="X212" s="136"/>
      <c r="Y212" s="136"/>
      <c r="Z212" s="178"/>
      <c r="AA212" s="179"/>
      <c r="AB212" s="180"/>
      <c r="AD212" s="122">
        <f t="shared" si="125"/>
        <v>-5135</v>
      </c>
    </row>
    <row r="213" spans="1:30" ht="370.5" outlineLevel="2" thickBot="1" x14ac:dyDescent="0.25">
      <c r="A213" s="118" t="s">
        <v>392</v>
      </c>
      <c r="B213" s="142" t="s">
        <v>642</v>
      </c>
      <c r="C213" s="257" t="s">
        <v>1096</v>
      </c>
      <c r="D213" s="146" t="s">
        <v>643</v>
      </c>
      <c r="E213" s="136" t="s">
        <v>644</v>
      </c>
      <c r="F213" s="136" t="s">
        <v>266</v>
      </c>
      <c r="G213" s="136" t="s">
        <v>242</v>
      </c>
      <c r="H213" s="125" t="s">
        <v>178</v>
      </c>
      <c r="I213" s="126">
        <v>3</v>
      </c>
      <c r="J213" s="140" t="s">
        <v>255</v>
      </c>
      <c r="K213" s="127" t="s">
        <v>246</v>
      </c>
      <c r="L213" s="128">
        <v>2</v>
      </c>
      <c r="M213" s="129">
        <f t="shared" si="105"/>
        <v>6</v>
      </c>
      <c r="N213" s="249" t="s">
        <v>1548</v>
      </c>
      <c r="O213" s="70" t="s">
        <v>199</v>
      </c>
      <c r="P213" s="128">
        <v>3</v>
      </c>
      <c r="Q213" s="130">
        <f t="shared" si="106"/>
        <v>18</v>
      </c>
      <c r="R213" s="70" t="s">
        <v>1479</v>
      </c>
      <c r="S213" s="70" t="s">
        <v>101</v>
      </c>
      <c r="T213" s="138"/>
      <c r="U213" s="139"/>
      <c r="V213" s="131"/>
      <c r="W213" s="138"/>
      <c r="X213" s="139"/>
      <c r="Y213" s="139"/>
      <c r="Z213" s="131"/>
      <c r="AA213" s="132"/>
      <c r="AB213" s="112"/>
      <c r="AC213" s="79"/>
      <c r="AD213" s="122">
        <f t="shared" si="125"/>
        <v>-1408</v>
      </c>
    </row>
    <row r="214" spans="1:30" ht="370.5" outlineLevel="2" thickBot="1" x14ac:dyDescent="0.25">
      <c r="A214" s="118" t="s">
        <v>393</v>
      </c>
      <c r="B214" s="380" t="s">
        <v>1047</v>
      </c>
      <c r="C214" s="314" t="s">
        <v>1046</v>
      </c>
      <c r="D214" s="351" t="s">
        <v>645</v>
      </c>
      <c r="E214" s="136" t="s">
        <v>165</v>
      </c>
      <c r="F214" s="136" t="s">
        <v>267</v>
      </c>
      <c r="G214" s="136" t="s">
        <v>242</v>
      </c>
      <c r="H214" s="125" t="s">
        <v>178</v>
      </c>
      <c r="I214" s="126">
        <v>3</v>
      </c>
      <c r="J214" s="140" t="s">
        <v>255</v>
      </c>
      <c r="K214" s="127" t="s">
        <v>246</v>
      </c>
      <c r="L214" s="128">
        <v>2</v>
      </c>
      <c r="M214" s="129">
        <f t="shared" si="105"/>
        <v>6</v>
      </c>
      <c r="N214" s="249" t="s">
        <v>1548</v>
      </c>
      <c r="O214" s="70" t="s">
        <v>199</v>
      </c>
      <c r="P214" s="128">
        <v>3</v>
      </c>
      <c r="Q214" s="130">
        <f t="shared" si="106"/>
        <v>18</v>
      </c>
      <c r="R214" s="70" t="s">
        <v>1479</v>
      </c>
      <c r="S214" s="70" t="s">
        <v>101</v>
      </c>
      <c r="T214" s="138"/>
      <c r="U214" s="139"/>
      <c r="V214" s="131"/>
      <c r="W214" s="138"/>
      <c r="X214" s="139"/>
      <c r="Y214" s="139"/>
      <c r="Z214" s="131"/>
      <c r="AA214" s="132"/>
      <c r="AB214" s="112"/>
      <c r="AC214" s="79"/>
      <c r="AD214" s="122">
        <f t="shared" si="125"/>
        <v>-1409</v>
      </c>
    </row>
    <row r="215" spans="1:30" ht="370.5" outlineLevel="2" thickBot="1" x14ac:dyDescent="0.25">
      <c r="A215" s="118" t="s">
        <v>853</v>
      </c>
      <c r="B215" s="381"/>
      <c r="C215" s="315"/>
      <c r="D215" s="352"/>
      <c r="E215" s="136" t="s">
        <v>494</v>
      </c>
      <c r="F215" s="136" t="s">
        <v>787</v>
      </c>
      <c r="G215" s="136" t="s">
        <v>242</v>
      </c>
      <c r="H215" s="125" t="s">
        <v>178</v>
      </c>
      <c r="I215" s="126">
        <v>3</v>
      </c>
      <c r="J215" s="140" t="s">
        <v>255</v>
      </c>
      <c r="K215" s="127" t="s">
        <v>246</v>
      </c>
      <c r="L215" s="128">
        <v>2</v>
      </c>
      <c r="M215" s="129">
        <f t="shared" ref="M215" si="140">I215*L215</f>
        <v>6</v>
      </c>
      <c r="N215" s="249" t="s">
        <v>1548</v>
      </c>
      <c r="O215" s="70" t="s">
        <v>199</v>
      </c>
      <c r="P215" s="128">
        <v>3</v>
      </c>
      <c r="Q215" s="130">
        <f t="shared" ref="Q215" si="141">I215*L215*P215</f>
        <v>18</v>
      </c>
      <c r="R215" s="70" t="s">
        <v>1479</v>
      </c>
      <c r="S215" s="70" t="s">
        <v>101</v>
      </c>
      <c r="T215" s="138"/>
      <c r="U215" s="139"/>
      <c r="V215" s="131"/>
      <c r="W215" s="138"/>
      <c r="X215" s="139"/>
      <c r="Y215" s="139"/>
      <c r="Z215" s="131"/>
      <c r="AA215" s="132"/>
      <c r="AB215" s="112"/>
      <c r="AC215" s="79"/>
      <c r="AD215" s="122">
        <f t="shared" si="125"/>
        <v>-5137</v>
      </c>
    </row>
    <row r="216" spans="1:30" ht="370.5" outlineLevel="2" thickBot="1" x14ac:dyDescent="0.25">
      <c r="A216" s="118" t="s">
        <v>394</v>
      </c>
      <c r="B216" s="380" t="s">
        <v>646</v>
      </c>
      <c r="C216" s="314" t="s">
        <v>1100</v>
      </c>
      <c r="D216" s="351" t="s">
        <v>647</v>
      </c>
      <c r="E216" s="136" t="s">
        <v>157</v>
      </c>
      <c r="F216" s="136" t="s">
        <v>267</v>
      </c>
      <c r="G216" s="136" t="s">
        <v>242</v>
      </c>
      <c r="H216" s="125" t="s">
        <v>178</v>
      </c>
      <c r="I216" s="126">
        <v>3</v>
      </c>
      <c r="J216" s="140" t="s">
        <v>255</v>
      </c>
      <c r="K216" s="127" t="s">
        <v>246</v>
      </c>
      <c r="L216" s="128">
        <v>1</v>
      </c>
      <c r="M216" s="129">
        <f t="shared" si="105"/>
        <v>3</v>
      </c>
      <c r="N216" s="249" t="s">
        <v>1548</v>
      </c>
      <c r="O216" s="70" t="s">
        <v>199</v>
      </c>
      <c r="P216" s="128">
        <v>3</v>
      </c>
      <c r="Q216" s="130">
        <f t="shared" si="106"/>
        <v>9</v>
      </c>
      <c r="R216" s="70" t="s">
        <v>1479</v>
      </c>
      <c r="S216" s="70" t="s">
        <v>101</v>
      </c>
      <c r="T216" s="138"/>
      <c r="U216" s="139"/>
      <c r="V216" s="131"/>
      <c r="W216" s="138"/>
      <c r="X216" s="139"/>
      <c r="Y216" s="139"/>
      <c r="Z216" s="131"/>
      <c r="AA216" s="132"/>
      <c r="AB216" s="112"/>
      <c r="AC216" s="79"/>
      <c r="AD216" s="122">
        <f t="shared" si="125"/>
        <v>-1410</v>
      </c>
    </row>
    <row r="217" spans="1:30" ht="370.5" outlineLevel="2" thickBot="1" x14ac:dyDescent="0.25">
      <c r="A217" s="118" t="s">
        <v>854</v>
      </c>
      <c r="B217" s="381"/>
      <c r="C217" s="315"/>
      <c r="D217" s="352"/>
      <c r="E217" s="136" t="s">
        <v>492</v>
      </c>
      <c r="F217" s="136" t="s">
        <v>786</v>
      </c>
      <c r="G217" s="136" t="s">
        <v>242</v>
      </c>
      <c r="H217" s="125" t="s">
        <v>178</v>
      </c>
      <c r="I217" s="126">
        <v>3</v>
      </c>
      <c r="J217" s="140" t="s">
        <v>255</v>
      </c>
      <c r="K217" s="127" t="s">
        <v>246</v>
      </c>
      <c r="L217" s="128">
        <v>1</v>
      </c>
      <c r="M217" s="129">
        <f t="shared" ref="M217" si="142">I217*L217</f>
        <v>3</v>
      </c>
      <c r="N217" s="249" t="s">
        <v>1548</v>
      </c>
      <c r="O217" s="70" t="s">
        <v>199</v>
      </c>
      <c r="P217" s="128">
        <v>3</v>
      </c>
      <c r="Q217" s="130">
        <f t="shared" ref="Q217" si="143">I217*L217*P217</f>
        <v>9</v>
      </c>
      <c r="R217" s="70" t="s">
        <v>1479</v>
      </c>
      <c r="S217" s="70" t="s">
        <v>101</v>
      </c>
      <c r="T217" s="138"/>
      <c r="U217" s="139"/>
      <c r="V217" s="131"/>
      <c r="W217" s="138"/>
      <c r="X217" s="139"/>
      <c r="Y217" s="139"/>
      <c r="Z217" s="131"/>
      <c r="AA217" s="132"/>
      <c r="AB217" s="112"/>
      <c r="AC217" s="79"/>
      <c r="AD217" s="122">
        <f t="shared" si="125"/>
        <v>-5138</v>
      </c>
    </row>
    <row r="218" spans="1:30" ht="370.5" outlineLevel="2" thickBot="1" x14ac:dyDescent="0.25">
      <c r="A218" s="118" t="s">
        <v>395</v>
      </c>
      <c r="B218" s="143" t="s">
        <v>648</v>
      </c>
      <c r="C218" s="314" t="s">
        <v>1099</v>
      </c>
      <c r="D218" s="146" t="s">
        <v>528</v>
      </c>
      <c r="E218" s="136" t="s">
        <v>165</v>
      </c>
      <c r="F218" s="136" t="s">
        <v>267</v>
      </c>
      <c r="G218" s="136" t="s">
        <v>242</v>
      </c>
      <c r="H218" s="125" t="s">
        <v>178</v>
      </c>
      <c r="I218" s="126">
        <v>3</v>
      </c>
      <c r="J218" s="140" t="s">
        <v>255</v>
      </c>
      <c r="K218" s="127" t="s">
        <v>246</v>
      </c>
      <c r="L218" s="128">
        <v>2</v>
      </c>
      <c r="M218" s="129">
        <f t="shared" si="105"/>
        <v>6</v>
      </c>
      <c r="N218" s="249" t="s">
        <v>1548</v>
      </c>
      <c r="O218" s="70" t="s">
        <v>199</v>
      </c>
      <c r="P218" s="128">
        <v>3</v>
      </c>
      <c r="Q218" s="130">
        <f t="shared" si="106"/>
        <v>18</v>
      </c>
      <c r="R218" s="70" t="s">
        <v>1479</v>
      </c>
      <c r="S218" s="70" t="s">
        <v>101</v>
      </c>
      <c r="T218" s="138"/>
      <c r="U218" s="139"/>
      <c r="V218" s="131"/>
      <c r="W218" s="138"/>
      <c r="X218" s="139"/>
      <c r="Y218" s="139"/>
      <c r="Z218" s="131"/>
      <c r="AA218" s="132"/>
      <c r="AB218" s="112"/>
      <c r="AC218" s="79"/>
      <c r="AD218" s="122">
        <f t="shared" si="125"/>
        <v>-1411</v>
      </c>
    </row>
    <row r="219" spans="1:30" ht="370.5" outlineLevel="2" thickBot="1" x14ac:dyDescent="0.25">
      <c r="A219" s="118" t="s">
        <v>855</v>
      </c>
      <c r="B219" s="141"/>
      <c r="C219" s="315"/>
      <c r="D219" s="200"/>
      <c r="E219" s="136" t="s">
        <v>494</v>
      </c>
      <c r="F219" s="136" t="s">
        <v>785</v>
      </c>
      <c r="G219" s="136" t="s">
        <v>242</v>
      </c>
      <c r="H219" s="125" t="s">
        <v>178</v>
      </c>
      <c r="I219" s="126">
        <v>3</v>
      </c>
      <c r="J219" s="140" t="s">
        <v>255</v>
      </c>
      <c r="K219" s="127" t="s">
        <v>246</v>
      </c>
      <c r="L219" s="128">
        <v>2</v>
      </c>
      <c r="M219" s="129">
        <f t="shared" ref="M219" si="144">I219*L219</f>
        <v>6</v>
      </c>
      <c r="N219" s="249" t="s">
        <v>1548</v>
      </c>
      <c r="O219" s="70" t="s">
        <v>199</v>
      </c>
      <c r="P219" s="128">
        <v>3</v>
      </c>
      <c r="Q219" s="130">
        <f t="shared" ref="Q219" si="145">I219*L219*P219</f>
        <v>18</v>
      </c>
      <c r="R219" s="70" t="s">
        <v>1479</v>
      </c>
      <c r="S219" s="70" t="s">
        <v>101</v>
      </c>
      <c r="T219" s="138"/>
      <c r="U219" s="139"/>
      <c r="V219" s="131"/>
      <c r="W219" s="138"/>
      <c r="X219" s="139"/>
      <c r="Y219" s="139"/>
      <c r="Z219" s="131"/>
      <c r="AA219" s="132"/>
      <c r="AB219" s="112"/>
      <c r="AC219" s="79"/>
      <c r="AD219" s="122">
        <f t="shared" si="125"/>
        <v>-5139</v>
      </c>
    </row>
    <row r="220" spans="1:30" ht="230.25" outlineLevel="2" thickBot="1" x14ac:dyDescent="0.25">
      <c r="A220" s="118" t="s">
        <v>396</v>
      </c>
      <c r="B220" s="141" t="s">
        <v>649</v>
      </c>
      <c r="C220" s="314" t="s">
        <v>1103</v>
      </c>
      <c r="D220" s="351" t="s">
        <v>650</v>
      </c>
      <c r="E220" s="136" t="s">
        <v>167</v>
      </c>
      <c r="F220" s="136" t="s">
        <v>268</v>
      </c>
      <c r="G220" s="136" t="s">
        <v>242</v>
      </c>
      <c r="H220" s="125" t="s">
        <v>178</v>
      </c>
      <c r="I220" s="126">
        <v>1</v>
      </c>
      <c r="J220" s="140" t="s">
        <v>205</v>
      </c>
      <c r="K220" s="127" t="s">
        <v>160</v>
      </c>
      <c r="L220" s="128">
        <v>1</v>
      </c>
      <c r="M220" s="129">
        <f t="shared" si="105"/>
        <v>1</v>
      </c>
      <c r="N220" s="249" t="s">
        <v>1548</v>
      </c>
      <c r="O220" s="70" t="s">
        <v>101</v>
      </c>
      <c r="P220" s="128">
        <v>5</v>
      </c>
      <c r="Q220" s="130">
        <f t="shared" si="106"/>
        <v>5</v>
      </c>
      <c r="R220" s="70" t="s">
        <v>101</v>
      </c>
      <c r="S220" s="70" t="s">
        <v>101</v>
      </c>
      <c r="T220" s="138" t="s">
        <v>235</v>
      </c>
      <c r="U220" s="139"/>
      <c r="V220" s="131"/>
      <c r="W220" s="138"/>
      <c r="X220" s="139"/>
      <c r="Y220" s="139"/>
      <c r="Z220" s="131"/>
      <c r="AA220" s="132"/>
      <c r="AB220" s="112"/>
      <c r="AC220" s="79"/>
      <c r="AD220" s="122">
        <f t="shared" si="125"/>
        <v>-1412</v>
      </c>
    </row>
    <row r="221" spans="1:30" ht="370.5" outlineLevel="2" thickBot="1" x14ac:dyDescent="0.25">
      <c r="A221" s="118" t="s">
        <v>397</v>
      </c>
      <c r="B221" s="142"/>
      <c r="C221" s="315"/>
      <c r="D221" s="352"/>
      <c r="E221" s="136" t="s">
        <v>269</v>
      </c>
      <c r="F221" s="136" t="s">
        <v>267</v>
      </c>
      <c r="G221" s="136" t="s">
        <v>242</v>
      </c>
      <c r="H221" s="125" t="s">
        <v>178</v>
      </c>
      <c r="I221" s="126">
        <v>3</v>
      </c>
      <c r="J221" s="140" t="s">
        <v>255</v>
      </c>
      <c r="K221" s="127" t="s">
        <v>246</v>
      </c>
      <c r="L221" s="128">
        <v>2</v>
      </c>
      <c r="M221" s="129">
        <f t="shared" si="105"/>
        <v>6</v>
      </c>
      <c r="N221" s="249" t="s">
        <v>1548</v>
      </c>
      <c r="O221" s="70" t="s">
        <v>199</v>
      </c>
      <c r="P221" s="128">
        <v>3</v>
      </c>
      <c r="Q221" s="130">
        <f t="shared" si="106"/>
        <v>18</v>
      </c>
      <c r="R221" s="70" t="s">
        <v>1479</v>
      </c>
      <c r="S221" s="70" t="s">
        <v>101</v>
      </c>
      <c r="T221" s="138"/>
      <c r="U221" s="139"/>
      <c r="V221" s="131"/>
      <c r="W221" s="138"/>
      <c r="X221" s="139"/>
      <c r="Y221" s="139"/>
      <c r="Z221" s="131"/>
      <c r="AA221" s="132"/>
      <c r="AB221" s="112"/>
      <c r="AC221" s="79"/>
      <c r="AD221" s="122">
        <f t="shared" si="125"/>
        <v>-1413</v>
      </c>
    </row>
    <row r="222" spans="1:30" ht="370.5" outlineLevel="2" thickBot="1" x14ac:dyDescent="0.25">
      <c r="A222" s="118" t="s">
        <v>398</v>
      </c>
      <c r="B222" s="141" t="s">
        <v>651</v>
      </c>
      <c r="C222" s="314" t="s">
        <v>1102</v>
      </c>
      <c r="D222" s="351" t="s">
        <v>652</v>
      </c>
      <c r="E222" s="136" t="s">
        <v>653</v>
      </c>
      <c r="F222" s="136" t="s">
        <v>267</v>
      </c>
      <c r="G222" s="136" t="s">
        <v>242</v>
      </c>
      <c r="H222" s="125" t="s">
        <v>178</v>
      </c>
      <c r="I222" s="126">
        <v>3</v>
      </c>
      <c r="J222" s="140" t="s">
        <v>255</v>
      </c>
      <c r="K222" s="127" t="s">
        <v>246</v>
      </c>
      <c r="L222" s="128">
        <v>2</v>
      </c>
      <c r="M222" s="129">
        <f t="shared" si="105"/>
        <v>6</v>
      </c>
      <c r="N222" s="249" t="s">
        <v>1548</v>
      </c>
      <c r="O222" s="70"/>
      <c r="P222" s="128">
        <v>3</v>
      </c>
      <c r="Q222" s="130">
        <f>I222*L222*P222</f>
        <v>18</v>
      </c>
      <c r="R222" s="70" t="s">
        <v>1479</v>
      </c>
      <c r="S222" s="70" t="s">
        <v>101</v>
      </c>
      <c r="T222" s="138"/>
      <c r="U222" s="139"/>
      <c r="V222" s="131"/>
      <c r="W222" s="138"/>
      <c r="X222" s="139"/>
      <c r="Y222" s="139"/>
      <c r="Z222" s="131"/>
      <c r="AA222" s="132"/>
      <c r="AB222" s="112"/>
      <c r="AC222" s="79"/>
      <c r="AD222" s="122">
        <f t="shared" si="125"/>
        <v>-1414</v>
      </c>
    </row>
    <row r="223" spans="1:30" ht="230.25" outlineLevel="2" thickBot="1" x14ac:dyDescent="0.25">
      <c r="A223" s="118" t="s">
        <v>399</v>
      </c>
      <c r="B223" s="142" t="s">
        <v>505</v>
      </c>
      <c r="C223" s="315"/>
      <c r="D223" s="352"/>
      <c r="E223" s="136" t="s">
        <v>283</v>
      </c>
      <c r="F223" s="136" t="s">
        <v>270</v>
      </c>
      <c r="G223" s="136" t="s">
        <v>242</v>
      </c>
      <c r="H223" s="125" t="s">
        <v>178</v>
      </c>
      <c r="I223" s="126">
        <v>3</v>
      </c>
      <c r="J223" s="140" t="s">
        <v>255</v>
      </c>
      <c r="K223" s="127" t="s">
        <v>246</v>
      </c>
      <c r="L223" s="128">
        <v>2</v>
      </c>
      <c r="M223" s="129">
        <f t="shared" si="105"/>
        <v>6</v>
      </c>
      <c r="N223" s="249" t="s">
        <v>1548</v>
      </c>
      <c r="O223" s="70" t="s">
        <v>101</v>
      </c>
      <c r="P223" s="128">
        <v>5</v>
      </c>
      <c r="Q223" s="130">
        <f t="shared" ref="Q223:Q225" si="146">I223*L223*P223</f>
        <v>30</v>
      </c>
      <c r="R223" s="70" t="s">
        <v>101</v>
      </c>
      <c r="S223" s="70" t="s">
        <v>101</v>
      </c>
      <c r="T223" s="138"/>
      <c r="U223" s="139"/>
      <c r="V223" s="131"/>
      <c r="W223" s="138"/>
      <c r="X223" s="139"/>
      <c r="Y223" s="139"/>
      <c r="Z223" s="131"/>
      <c r="AA223" s="132"/>
      <c r="AB223" s="112"/>
      <c r="AC223" s="79"/>
      <c r="AD223" s="122">
        <f t="shared" si="125"/>
        <v>-1415</v>
      </c>
    </row>
    <row r="224" spans="1:30" ht="230.25" outlineLevel="2" thickBot="1" x14ac:dyDescent="0.25">
      <c r="A224" s="118" t="s">
        <v>400</v>
      </c>
      <c r="B224" s="142" t="s">
        <v>654</v>
      </c>
      <c r="C224" s="314" t="s">
        <v>1101</v>
      </c>
      <c r="D224" s="146" t="s">
        <v>655</v>
      </c>
      <c r="E224" s="136" t="s">
        <v>283</v>
      </c>
      <c r="F224" s="136" t="s">
        <v>271</v>
      </c>
      <c r="G224" s="136" t="s">
        <v>242</v>
      </c>
      <c r="H224" s="125" t="s">
        <v>178</v>
      </c>
      <c r="I224" s="126">
        <v>3</v>
      </c>
      <c r="J224" s="140" t="s">
        <v>255</v>
      </c>
      <c r="K224" s="127" t="s">
        <v>244</v>
      </c>
      <c r="L224" s="128">
        <v>2</v>
      </c>
      <c r="M224" s="129">
        <f t="shared" si="105"/>
        <v>6</v>
      </c>
      <c r="N224" s="249" t="s">
        <v>1548</v>
      </c>
      <c r="O224" s="70" t="s">
        <v>101</v>
      </c>
      <c r="P224" s="128">
        <v>5</v>
      </c>
      <c r="Q224" s="130">
        <f t="shared" si="146"/>
        <v>30</v>
      </c>
      <c r="R224" s="70" t="s">
        <v>101</v>
      </c>
      <c r="S224" s="70" t="s">
        <v>101</v>
      </c>
      <c r="T224" s="138"/>
      <c r="U224" s="139"/>
      <c r="V224" s="131"/>
      <c r="W224" s="138"/>
      <c r="X224" s="139"/>
      <c r="Y224" s="139"/>
      <c r="Z224" s="131"/>
      <c r="AA224" s="132"/>
      <c r="AB224" s="112"/>
      <c r="AC224" s="79"/>
      <c r="AD224" s="122">
        <f t="shared" si="125"/>
        <v>-1416</v>
      </c>
    </row>
    <row r="225" spans="1:30" ht="230.25" outlineLevel="2" thickBot="1" x14ac:dyDescent="0.25">
      <c r="A225" s="118" t="s">
        <v>856</v>
      </c>
      <c r="B225" s="144"/>
      <c r="C225" s="315"/>
      <c r="D225" s="200"/>
      <c r="E225" s="136" t="s">
        <v>760</v>
      </c>
      <c r="F225" s="136" t="s">
        <v>271</v>
      </c>
      <c r="G225" s="136" t="s">
        <v>242</v>
      </c>
      <c r="H225" s="125" t="s">
        <v>178</v>
      </c>
      <c r="I225" s="126">
        <v>3</v>
      </c>
      <c r="J225" s="140" t="s">
        <v>255</v>
      </c>
      <c r="K225" s="127" t="s">
        <v>244</v>
      </c>
      <c r="L225" s="128">
        <v>2</v>
      </c>
      <c r="M225" s="129">
        <f t="shared" ref="M225" si="147">I225*L225</f>
        <v>6</v>
      </c>
      <c r="N225" s="249" t="s">
        <v>1548</v>
      </c>
      <c r="O225" s="70" t="s">
        <v>101</v>
      </c>
      <c r="P225" s="128">
        <v>5</v>
      </c>
      <c r="Q225" s="130">
        <f t="shared" si="146"/>
        <v>30</v>
      </c>
      <c r="R225" s="70" t="s">
        <v>101</v>
      </c>
      <c r="S225" s="70" t="s">
        <v>101</v>
      </c>
      <c r="T225" s="138"/>
      <c r="U225" s="139"/>
      <c r="V225" s="131"/>
      <c r="W225" s="138"/>
      <c r="X225" s="139"/>
      <c r="Y225" s="139"/>
      <c r="Z225" s="131"/>
      <c r="AA225" s="132"/>
      <c r="AB225" s="112"/>
      <c r="AC225" s="79"/>
      <c r="AD225" s="122">
        <f t="shared" si="125"/>
        <v>-5140</v>
      </c>
    </row>
    <row r="226" spans="1:30" ht="370.5" outlineLevel="2" thickBot="1" x14ac:dyDescent="0.25">
      <c r="A226" s="118" t="s">
        <v>401</v>
      </c>
      <c r="B226" s="141" t="s">
        <v>656</v>
      </c>
      <c r="C226" s="314" t="s">
        <v>1105</v>
      </c>
      <c r="D226" s="351" t="s">
        <v>657</v>
      </c>
      <c r="E226" s="136" t="s">
        <v>658</v>
      </c>
      <c r="F226" s="136" t="s">
        <v>290</v>
      </c>
      <c r="G226" s="136" t="s">
        <v>291</v>
      </c>
      <c r="H226" s="125" t="s">
        <v>178</v>
      </c>
      <c r="I226" s="126">
        <v>3</v>
      </c>
      <c r="J226" s="140" t="s">
        <v>177</v>
      </c>
      <c r="K226" s="127" t="s">
        <v>260</v>
      </c>
      <c r="L226" s="128">
        <v>2</v>
      </c>
      <c r="M226" s="129">
        <f t="shared" si="105"/>
        <v>6</v>
      </c>
      <c r="N226" s="249" t="s">
        <v>1548</v>
      </c>
      <c r="O226" s="70" t="s">
        <v>199</v>
      </c>
      <c r="P226" s="128">
        <v>3</v>
      </c>
      <c r="Q226" s="130">
        <f>I226*L226*P226</f>
        <v>18</v>
      </c>
      <c r="R226" s="70" t="s">
        <v>1479</v>
      </c>
      <c r="S226" s="70" t="s">
        <v>101</v>
      </c>
      <c r="T226" s="138" t="s">
        <v>235</v>
      </c>
      <c r="U226" s="139"/>
      <c r="V226" s="131"/>
      <c r="W226" s="138"/>
      <c r="X226" s="139"/>
      <c r="Y226" s="139"/>
      <c r="Z226" s="131"/>
      <c r="AA226" s="132"/>
      <c r="AB226" s="112"/>
      <c r="AC226" s="79"/>
      <c r="AD226" s="122">
        <f t="shared" si="125"/>
        <v>-1417</v>
      </c>
    </row>
    <row r="227" spans="1:30" s="121" customFormat="1" ht="370.5" outlineLevel="2" thickBot="1" x14ac:dyDescent="0.25">
      <c r="A227" s="118" t="s">
        <v>402</v>
      </c>
      <c r="B227" s="182" t="s">
        <v>505</v>
      </c>
      <c r="C227" s="315"/>
      <c r="D227" s="352"/>
      <c r="E227" s="136" t="s">
        <v>659</v>
      </c>
      <c r="F227" s="136" t="s">
        <v>920</v>
      </c>
      <c r="G227" s="136" t="s">
        <v>1555</v>
      </c>
      <c r="H227" s="125" t="s">
        <v>1556</v>
      </c>
      <c r="I227" s="126">
        <v>3</v>
      </c>
      <c r="J227" s="140" t="s">
        <v>177</v>
      </c>
      <c r="K227" s="127" t="s">
        <v>260</v>
      </c>
      <c r="L227" s="128">
        <v>1</v>
      </c>
      <c r="M227" s="174">
        <f t="shared" si="105"/>
        <v>3</v>
      </c>
      <c r="N227" s="249" t="s">
        <v>1548</v>
      </c>
      <c r="O227" s="175" t="s">
        <v>199</v>
      </c>
      <c r="P227" s="128">
        <v>3</v>
      </c>
      <c r="Q227" s="176">
        <f t="shared" ref="Q227:Q231" si="148">I227*L227*P227</f>
        <v>9</v>
      </c>
      <c r="R227" s="70" t="s">
        <v>1479</v>
      </c>
      <c r="S227" s="70" t="s">
        <v>101</v>
      </c>
      <c r="T227" s="135" t="s">
        <v>235</v>
      </c>
      <c r="U227" s="172" t="s">
        <v>921</v>
      </c>
      <c r="V227" s="178"/>
      <c r="W227" s="135"/>
      <c r="X227" s="136"/>
      <c r="Y227" s="136"/>
      <c r="Z227" s="178"/>
      <c r="AA227" s="179"/>
      <c r="AB227" s="180"/>
      <c r="AD227" s="122">
        <f t="shared" si="125"/>
        <v>-1418</v>
      </c>
    </row>
    <row r="228" spans="1:30" ht="370.5" outlineLevel="2" thickBot="1" x14ac:dyDescent="0.25">
      <c r="A228" s="118" t="s">
        <v>403</v>
      </c>
      <c r="B228" s="141" t="s">
        <v>660</v>
      </c>
      <c r="C228" s="314" t="s">
        <v>1104</v>
      </c>
      <c r="D228" s="351" t="s">
        <v>655</v>
      </c>
      <c r="E228" s="136" t="s">
        <v>658</v>
      </c>
      <c r="F228" s="136" t="s">
        <v>661</v>
      </c>
      <c r="G228" s="136" t="s">
        <v>242</v>
      </c>
      <c r="H228" s="125" t="s">
        <v>178</v>
      </c>
      <c r="I228" s="126">
        <v>3</v>
      </c>
      <c r="J228" s="140" t="s">
        <v>177</v>
      </c>
      <c r="K228" s="127" t="s">
        <v>244</v>
      </c>
      <c r="L228" s="128">
        <v>2</v>
      </c>
      <c r="M228" s="129">
        <f t="shared" si="105"/>
        <v>6</v>
      </c>
      <c r="N228" s="249" t="s">
        <v>1548</v>
      </c>
      <c r="O228" s="70"/>
      <c r="P228" s="128">
        <v>3</v>
      </c>
      <c r="Q228" s="130">
        <f t="shared" si="148"/>
        <v>18</v>
      </c>
      <c r="R228" s="70" t="s">
        <v>1479</v>
      </c>
      <c r="S228" s="70" t="s">
        <v>101</v>
      </c>
      <c r="T228" s="138"/>
      <c r="U228" s="139"/>
      <c r="V228" s="131"/>
      <c r="W228" s="138"/>
      <c r="X228" s="139"/>
      <c r="Y228" s="139"/>
      <c r="Z228" s="131"/>
      <c r="AA228" s="132"/>
      <c r="AB228" s="112"/>
      <c r="AC228" s="79"/>
      <c r="AD228" s="122">
        <f t="shared" si="125"/>
        <v>-1419</v>
      </c>
    </row>
    <row r="229" spans="1:30" ht="230.25" outlineLevel="2" thickBot="1" x14ac:dyDescent="0.25">
      <c r="A229" s="118" t="s">
        <v>404</v>
      </c>
      <c r="B229" s="142" t="s">
        <v>505</v>
      </c>
      <c r="C229" s="315"/>
      <c r="D229" s="352"/>
      <c r="E229" s="136" t="s">
        <v>659</v>
      </c>
      <c r="F229" s="136" t="s">
        <v>271</v>
      </c>
      <c r="G229" s="136" t="s">
        <v>242</v>
      </c>
      <c r="H229" s="125" t="s">
        <v>178</v>
      </c>
      <c r="I229" s="126">
        <v>3</v>
      </c>
      <c r="J229" s="140" t="s">
        <v>255</v>
      </c>
      <c r="K229" s="127" t="s">
        <v>244</v>
      </c>
      <c r="L229" s="128">
        <v>2</v>
      </c>
      <c r="M229" s="129">
        <f t="shared" si="105"/>
        <v>6</v>
      </c>
      <c r="N229" s="249" t="s">
        <v>1548</v>
      </c>
      <c r="O229" s="70" t="s">
        <v>101</v>
      </c>
      <c r="P229" s="128">
        <v>5</v>
      </c>
      <c r="Q229" s="130">
        <f t="shared" si="148"/>
        <v>30</v>
      </c>
      <c r="R229" s="70" t="s">
        <v>101</v>
      </c>
      <c r="S229" s="70" t="s">
        <v>101</v>
      </c>
      <c r="T229" s="138"/>
      <c r="U229" s="139"/>
      <c r="V229" s="131"/>
      <c r="W229" s="138"/>
      <c r="X229" s="139"/>
      <c r="Y229" s="139"/>
      <c r="Z229" s="131"/>
      <c r="AA229" s="132"/>
      <c r="AB229" s="112"/>
      <c r="AC229" s="79"/>
      <c r="AD229" s="122">
        <f t="shared" si="125"/>
        <v>-1420</v>
      </c>
    </row>
    <row r="230" spans="1:30" ht="230.25" outlineLevel="2" thickBot="1" x14ac:dyDescent="0.25">
      <c r="A230" s="118" t="s">
        <v>405</v>
      </c>
      <c r="B230" s="141" t="s">
        <v>662</v>
      </c>
      <c r="C230" s="314" t="s">
        <v>1108</v>
      </c>
      <c r="D230" s="351" t="s">
        <v>655</v>
      </c>
      <c r="E230" s="136" t="s">
        <v>470</v>
      </c>
      <c r="F230" s="136" t="s">
        <v>271</v>
      </c>
      <c r="G230" s="136" t="s">
        <v>242</v>
      </c>
      <c r="H230" s="125" t="s">
        <v>178</v>
      </c>
      <c r="I230" s="126">
        <v>3</v>
      </c>
      <c r="J230" s="140" t="s">
        <v>255</v>
      </c>
      <c r="K230" s="127" t="s">
        <v>244</v>
      </c>
      <c r="L230" s="128">
        <v>2</v>
      </c>
      <c r="M230" s="129">
        <f t="shared" si="105"/>
        <v>6</v>
      </c>
      <c r="N230" s="249" t="s">
        <v>1548</v>
      </c>
      <c r="O230" s="70" t="s">
        <v>101</v>
      </c>
      <c r="P230" s="128">
        <v>5</v>
      </c>
      <c r="Q230" s="130">
        <f t="shared" si="148"/>
        <v>30</v>
      </c>
      <c r="R230" s="70" t="s">
        <v>101</v>
      </c>
      <c r="S230" s="70" t="s">
        <v>101</v>
      </c>
      <c r="T230" s="138"/>
      <c r="U230" s="139"/>
      <c r="V230" s="131"/>
      <c r="W230" s="138"/>
      <c r="X230" s="139"/>
      <c r="Y230" s="139"/>
      <c r="Z230" s="131"/>
      <c r="AA230" s="132"/>
      <c r="AB230" s="112"/>
      <c r="AC230" s="79"/>
      <c r="AD230" s="122">
        <f t="shared" si="125"/>
        <v>-1421</v>
      </c>
    </row>
    <row r="231" spans="1:30" ht="370.5" outlineLevel="2" thickBot="1" x14ac:dyDescent="0.25">
      <c r="A231" s="118" t="s">
        <v>406</v>
      </c>
      <c r="B231" s="142" t="s">
        <v>505</v>
      </c>
      <c r="C231" s="315"/>
      <c r="D231" s="352"/>
      <c r="E231" s="136" t="s">
        <v>251</v>
      </c>
      <c r="F231" s="136" t="s">
        <v>661</v>
      </c>
      <c r="G231" s="136" t="s">
        <v>242</v>
      </c>
      <c r="H231" s="125" t="s">
        <v>178</v>
      </c>
      <c r="I231" s="126">
        <v>3</v>
      </c>
      <c r="J231" s="140" t="s">
        <v>177</v>
      </c>
      <c r="K231" s="127" t="s">
        <v>244</v>
      </c>
      <c r="L231" s="128">
        <v>2</v>
      </c>
      <c r="M231" s="129">
        <f t="shared" si="105"/>
        <v>6</v>
      </c>
      <c r="N231" s="249" t="s">
        <v>1548</v>
      </c>
      <c r="O231" s="70"/>
      <c r="P231" s="128">
        <v>3</v>
      </c>
      <c r="Q231" s="130">
        <f t="shared" si="148"/>
        <v>18</v>
      </c>
      <c r="R231" s="70" t="s">
        <v>1479</v>
      </c>
      <c r="S231" s="70" t="s">
        <v>101</v>
      </c>
      <c r="T231" s="138"/>
      <c r="U231" s="139"/>
      <c r="V231" s="131"/>
      <c r="W231" s="138"/>
      <c r="X231" s="139"/>
      <c r="Y231" s="139"/>
      <c r="Z231" s="131"/>
      <c r="AA231" s="132"/>
      <c r="AB231" s="112"/>
      <c r="AC231" s="79"/>
      <c r="AD231" s="122">
        <f t="shared" si="125"/>
        <v>-1422</v>
      </c>
    </row>
    <row r="232" spans="1:30" ht="370.5" outlineLevel="2" thickBot="1" x14ac:dyDescent="0.25">
      <c r="A232" s="118" t="s">
        <v>407</v>
      </c>
      <c r="B232" s="141" t="s">
        <v>663</v>
      </c>
      <c r="C232" s="314" t="s">
        <v>1107</v>
      </c>
      <c r="D232" s="351" t="s">
        <v>664</v>
      </c>
      <c r="E232" s="136" t="s">
        <v>665</v>
      </c>
      <c r="F232" s="136" t="s">
        <v>463</v>
      </c>
      <c r="G232" s="136" t="s">
        <v>259</v>
      </c>
      <c r="H232" s="125" t="s">
        <v>188</v>
      </c>
      <c r="I232" s="126">
        <v>4</v>
      </c>
      <c r="J232" s="140" t="s">
        <v>177</v>
      </c>
      <c r="K232" s="127" t="s">
        <v>260</v>
      </c>
      <c r="L232" s="128">
        <v>2</v>
      </c>
      <c r="M232" s="129">
        <f t="shared" si="105"/>
        <v>8</v>
      </c>
      <c r="N232" s="249" t="s">
        <v>1548</v>
      </c>
      <c r="O232" s="70" t="s">
        <v>199</v>
      </c>
      <c r="P232" s="128">
        <v>3</v>
      </c>
      <c r="Q232" s="130">
        <f t="shared" ref="Q232:Q246" si="149">I232*L232*P232</f>
        <v>24</v>
      </c>
      <c r="R232" s="70" t="s">
        <v>1479</v>
      </c>
      <c r="S232" s="70" t="s">
        <v>101</v>
      </c>
      <c r="T232" s="138" t="s">
        <v>235</v>
      </c>
      <c r="U232" s="139"/>
      <c r="V232" s="131"/>
      <c r="W232" s="138"/>
      <c r="X232" s="139"/>
      <c r="Y232" s="139"/>
      <c r="Z232" s="131"/>
      <c r="AA232" s="132"/>
      <c r="AB232" s="112"/>
      <c r="AC232" s="79"/>
      <c r="AD232" s="122">
        <f t="shared" si="125"/>
        <v>-1423</v>
      </c>
    </row>
    <row r="233" spans="1:30" ht="370.5" outlineLevel="2" thickBot="1" x14ac:dyDescent="0.25">
      <c r="A233" s="118" t="s">
        <v>408</v>
      </c>
      <c r="B233" s="142" t="s">
        <v>505</v>
      </c>
      <c r="C233" s="315"/>
      <c r="D233" s="352"/>
      <c r="E233" s="136" t="s">
        <v>666</v>
      </c>
      <c r="F233" s="136" t="s">
        <v>261</v>
      </c>
      <c r="G233" s="136" t="s">
        <v>242</v>
      </c>
      <c r="H233" s="125" t="s">
        <v>178</v>
      </c>
      <c r="I233" s="126">
        <v>3</v>
      </c>
      <c r="J233" s="140" t="s">
        <v>177</v>
      </c>
      <c r="K233" s="127" t="s">
        <v>246</v>
      </c>
      <c r="L233" s="128">
        <v>2</v>
      </c>
      <c r="M233" s="129">
        <f t="shared" si="105"/>
        <v>6</v>
      </c>
      <c r="N233" s="249" t="s">
        <v>1548</v>
      </c>
      <c r="O233" s="70" t="s">
        <v>199</v>
      </c>
      <c r="P233" s="128">
        <v>3</v>
      </c>
      <c r="Q233" s="130">
        <f t="shared" si="149"/>
        <v>18</v>
      </c>
      <c r="R233" s="70" t="s">
        <v>1479</v>
      </c>
      <c r="S233" s="70" t="s">
        <v>101</v>
      </c>
      <c r="T233" s="138"/>
      <c r="U233" s="139"/>
      <c r="V233" s="131"/>
      <c r="W233" s="138"/>
      <c r="X233" s="139"/>
      <c r="Y233" s="139"/>
      <c r="Z233" s="131"/>
      <c r="AA233" s="132"/>
      <c r="AB233" s="112"/>
      <c r="AC233" s="79"/>
      <c r="AD233" s="122">
        <f t="shared" si="125"/>
        <v>-1424</v>
      </c>
    </row>
    <row r="234" spans="1:30" ht="370.5" outlineLevel="2" thickBot="1" x14ac:dyDescent="0.25">
      <c r="A234" s="118" t="s">
        <v>409</v>
      </c>
      <c r="B234" s="141" t="s">
        <v>667</v>
      </c>
      <c r="C234" s="314" t="s">
        <v>1106</v>
      </c>
      <c r="D234" s="351" t="s">
        <v>668</v>
      </c>
      <c r="E234" s="136" t="s">
        <v>665</v>
      </c>
      <c r="F234" s="136" t="s">
        <v>661</v>
      </c>
      <c r="G234" s="136" t="s">
        <v>242</v>
      </c>
      <c r="H234" s="125" t="s">
        <v>178</v>
      </c>
      <c r="I234" s="126">
        <v>3</v>
      </c>
      <c r="J234" s="140" t="s">
        <v>177</v>
      </c>
      <c r="K234" s="127" t="s">
        <v>244</v>
      </c>
      <c r="L234" s="128">
        <v>2</v>
      </c>
      <c r="M234" s="129">
        <f t="shared" si="105"/>
        <v>6</v>
      </c>
      <c r="N234" s="249" t="s">
        <v>1548</v>
      </c>
      <c r="O234" s="70" t="s">
        <v>199</v>
      </c>
      <c r="P234" s="128">
        <v>3</v>
      </c>
      <c r="Q234" s="130">
        <f t="shared" si="149"/>
        <v>18</v>
      </c>
      <c r="R234" s="70" t="s">
        <v>1479</v>
      </c>
      <c r="S234" s="70" t="s">
        <v>101</v>
      </c>
      <c r="T234" s="138" t="s">
        <v>235</v>
      </c>
      <c r="U234" s="139"/>
      <c r="V234" s="131"/>
      <c r="W234" s="138"/>
      <c r="X234" s="139"/>
      <c r="Y234" s="139"/>
      <c r="Z234" s="131"/>
      <c r="AA234" s="132"/>
      <c r="AB234" s="112"/>
      <c r="AC234" s="79"/>
      <c r="AD234" s="122">
        <f t="shared" si="125"/>
        <v>-1425</v>
      </c>
    </row>
    <row r="235" spans="1:30" ht="370.5" outlineLevel="2" thickBot="1" x14ac:dyDescent="0.25">
      <c r="A235" s="204" t="s">
        <v>410</v>
      </c>
      <c r="B235" s="142" t="s">
        <v>505</v>
      </c>
      <c r="C235" s="315"/>
      <c r="D235" s="352"/>
      <c r="E235" s="136" t="s">
        <v>666</v>
      </c>
      <c r="F235" s="136" t="s">
        <v>1294</v>
      </c>
      <c r="G235" s="136" t="s">
        <v>242</v>
      </c>
      <c r="H235" s="125" t="s">
        <v>178</v>
      </c>
      <c r="I235" s="126">
        <v>3</v>
      </c>
      <c r="J235" s="140" t="s">
        <v>177</v>
      </c>
      <c r="K235" s="127" t="s">
        <v>244</v>
      </c>
      <c r="L235" s="128">
        <v>2</v>
      </c>
      <c r="M235" s="129">
        <f t="shared" si="105"/>
        <v>6</v>
      </c>
      <c r="N235" s="249" t="s">
        <v>1548</v>
      </c>
      <c r="O235" s="70" t="s">
        <v>199</v>
      </c>
      <c r="P235" s="128">
        <v>3</v>
      </c>
      <c r="Q235" s="130">
        <f t="shared" si="149"/>
        <v>18</v>
      </c>
      <c r="R235" s="70" t="s">
        <v>1479</v>
      </c>
      <c r="S235" s="70" t="s">
        <v>101</v>
      </c>
      <c r="T235" s="138" t="s">
        <v>235</v>
      </c>
      <c r="U235" s="139"/>
      <c r="V235" s="131"/>
      <c r="W235" s="138"/>
      <c r="X235" s="139"/>
      <c r="Y235" s="139"/>
      <c r="Z235" s="131"/>
      <c r="AA235" s="132"/>
      <c r="AB235" s="112"/>
      <c r="AC235" s="79"/>
      <c r="AD235" s="122">
        <f t="shared" si="125"/>
        <v>-1426</v>
      </c>
    </row>
    <row r="236" spans="1:30" ht="370.5" outlineLevel="2" thickBot="1" x14ac:dyDescent="0.25">
      <c r="A236" s="232" t="s">
        <v>1342</v>
      </c>
      <c r="B236" s="233" t="s">
        <v>1426</v>
      </c>
      <c r="C236" s="258" t="s">
        <v>1131</v>
      </c>
      <c r="D236" s="146" t="s">
        <v>1286</v>
      </c>
      <c r="E236" s="136" t="s">
        <v>1293</v>
      </c>
      <c r="F236" s="136" t="s">
        <v>1427</v>
      </c>
      <c r="G236" s="136" t="s">
        <v>242</v>
      </c>
      <c r="H236" s="125" t="s">
        <v>178</v>
      </c>
      <c r="I236" s="126">
        <v>3</v>
      </c>
      <c r="J236" s="140" t="s">
        <v>177</v>
      </c>
      <c r="K236" s="127" t="s">
        <v>244</v>
      </c>
      <c r="L236" s="128">
        <v>2</v>
      </c>
      <c r="M236" s="129">
        <f t="shared" ref="M236" si="150">I236*L236</f>
        <v>6</v>
      </c>
      <c r="N236" s="249" t="s">
        <v>1548</v>
      </c>
      <c r="O236" s="70" t="s">
        <v>199</v>
      </c>
      <c r="P236" s="128">
        <v>3</v>
      </c>
      <c r="Q236" s="130">
        <f t="shared" ref="Q236" si="151">I236*L236*P236</f>
        <v>18</v>
      </c>
      <c r="R236" s="70" t="s">
        <v>1479</v>
      </c>
      <c r="S236" s="70" t="s">
        <v>101</v>
      </c>
      <c r="T236" s="138"/>
      <c r="U236" s="139"/>
      <c r="V236" s="131"/>
      <c r="W236" s="138"/>
      <c r="X236" s="139"/>
      <c r="Y236" s="139"/>
      <c r="Z236" s="131"/>
      <c r="AA236" s="132"/>
      <c r="AB236" s="112"/>
      <c r="AC236" s="79"/>
      <c r="AD236" s="122">
        <f t="shared" si="125"/>
        <v>13684</v>
      </c>
    </row>
    <row r="237" spans="1:30" ht="370.5" outlineLevel="2" thickBot="1" x14ac:dyDescent="0.25">
      <c r="A237" s="118" t="s">
        <v>1343</v>
      </c>
      <c r="B237" s="378" t="s">
        <v>1428</v>
      </c>
      <c r="C237" s="316" t="s">
        <v>1132</v>
      </c>
      <c r="D237" s="367" t="s">
        <v>1429</v>
      </c>
      <c r="E237" s="136" t="s">
        <v>1117</v>
      </c>
      <c r="F237" s="136" t="s">
        <v>1475</v>
      </c>
      <c r="G237" s="136" t="s">
        <v>242</v>
      </c>
      <c r="H237" s="125" t="s">
        <v>178</v>
      </c>
      <c r="I237" s="126">
        <v>3</v>
      </c>
      <c r="J237" s="140" t="s">
        <v>177</v>
      </c>
      <c r="K237" s="127" t="s">
        <v>244</v>
      </c>
      <c r="L237" s="128">
        <v>1</v>
      </c>
      <c r="M237" s="129">
        <f t="shared" ref="M237" si="152">I237*L237</f>
        <v>3</v>
      </c>
      <c r="N237" s="249" t="s">
        <v>1548</v>
      </c>
      <c r="O237" s="70" t="s">
        <v>199</v>
      </c>
      <c r="P237" s="128">
        <v>3</v>
      </c>
      <c r="Q237" s="130">
        <f t="shared" ref="Q237" si="153">I237*L237*P237</f>
        <v>9</v>
      </c>
      <c r="R237" s="70" t="s">
        <v>1479</v>
      </c>
      <c r="S237" s="70" t="s">
        <v>101</v>
      </c>
      <c r="T237" s="138"/>
      <c r="U237" s="139"/>
      <c r="V237" s="131"/>
      <c r="W237" s="138"/>
      <c r="X237" s="139"/>
      <c r="Y237" s="139"/>
      <c r="Z237" s="131"/>
      <c r="AA237" s="132"/>
      <c r="AB237" s="112"/>
      <c r="AC237" s="79"/>
      <c r="AD237" s="122">
        <f t="shared" si="125"/>
        <v>13685</v>
      </c>
    </row>
    <row r="238" spans="1:30" ht="230.25" outlineLevel="2" thickBot="1" x14ac:dyDescent="0.25">
      <c r="A238" s="204" t="s">
        <v>1344</v>
      </c>
      <c r="B238" s="379"/>
      <c r="C238" s="317"/>
      <c r="D238" s="368"/>
      <c r="E238" s="136" t="s">
        <v>1118</v>
      </c>
      <c r="F238" s="136" t="s">
        <v>1212</v>
      </c>
      <c r="G238" s="136" t="s">
        <v>242</v>
      </c>
      <c r="H238" s="125" t="s">
        <v>178</v>
      </c>
      <c r="I238" s="126">
        <v>1</v>
      </c>
      <c r="J238" s="140" t="s">
        <v>177</v>
      </c>
      <c r="K238" s="127" t="s">
        <v>260</v>
      </c>
      <c r="L238" s="128">
        <v>1</v>
      </c>
      <c r="M238" s="129">
        <f t="shared" ref="M238" si="154">I238*L238</f>
        <v>1</v>
      </c>
      <c r="N238" s="249" t="s">
        <v>1548</v>
      </c>
      <c r="O238" s="70" t="s">
        <v>101</v>
      </c>
      <c r="P238" s="128">
        <v>5</v>
      </c>
      <c r="Q238" s="130">
        <f t="shared" ref="Q238" si="155">I238*L238*P238</f>
        <v>5</v>
      </c>
      <c r="R238" s="70" t="s">
        <v>101</v>
      </c>
      <c r="S238" s="70" t="s">
        <v>101</v>
      </c>
      <c r="T238" s="138"/>
      <c r="U238" s="139"/>
      <c r="V238" s="131"/>
      <c r="W238" s="138"/>
      <c r="X238" s="139"/>
      <c r="Y238" s="139"/>
      <c r="Z238" s="131"/>
      <c r="AA238" s="132"/>
      <c r="AB238" s="112"/>
      <c r="AC238" s="79"/>
      <c r="AD238" s="122">
        <f t="shared" si="125"/>
        <v>13686</v>
      </c>
    </row>
    <row r="239" spans="1:30" ht="230.25" outlineLevel="2" thickBot="1" x14ac:dyDescent="0.25">
      <c r="A239" s="234" t="s">
        <v>1345</v>
      </c>
      <c r="B239" s="378" t="s">
        <v>1430</v>
      </c>
      <c r="C239" s="316" t="s">
        <v>1133</v>
      </c>
      <c r="D239" s="363" t="s">
        <v>1287</v>
      </c>
      <c r="E239" s="136" t="s">
        <v>1117</v>
      </c>
      <c r="F239" s="136" t="s">
        <v>1212</v>
      </c>
      <c r="G239" s="136" t="s">
        <v>242</v>
      </c>
      <c r="H239" s="125" t="s">
        <v>178</v>
      </c>
      <c r="I239" s="126">
        <v>1</v>
      </c>
      <c r="J239" s="140" t="s">
        <v>177</v>
      </c>
      <c r="K239" s="127" t="s">
        <v>260</v>
      </c>
      <c r="L239" s="128">
        <v>1</v>
      </c>
      <c r="M239" s="129">
        <f t="shared" ref="M239" si="156">I239*L239</f>
        <v>1</v>
      </c>
      <c r="N239" s="249" t="s">
        <v>1548</v>
      </c>
      <c r="O239" s="70" t="s">
        <v>101</v>
      </c>
      <c r="P239" s="128">
        <v>5</v>
      </c>
      <c r="Q239" s="130">
        <f t="shared" ref="Q239" si="157">I239*L239*P239</f>
        <v>5</v>
      </c>
      <c r="R239" s="70" t="s">
        <v>101</v>
      </c>
      <c r="S239" s="70" t="s">
        <v>101</v>
      </c>
      <c r="T239" s="138"/>
      <c r="U239" s="139"/>
      <c r="V239" s="131"/>
      <c r="W239" s="138"/>
      <c r="X239" s="139"/>
      <c r="Y239" s="139"/>
      <c r="Z239" s="131"/>
      <c r="AA239" s="132"/>
      <c r="AB239" s="112"/>
      <c r="AC239" s="79"/>
      <c r="AD239" s="122">
        <f t="shared" si="125"/>
        <v>13687</v>
      </c>
    </row>
    <row r="240" spans="1:30" ht="370.5" outlineLevel="2" thickBot="1" x14ac:dyDescent="0.25">
      <c r="A240" s="234" t="s">
        <v>1346</v>
      </c>
      <c r="B240" s="379"/>
      <c r="C240" s="317"/>
      <c r="D240" s="363"/>
      <c r="E240" s="136" t="s">
        <v>1118</v>
      </c>
      <c r="F240" s="136" t="s">
        <v>1474</v>
      </c>
      <c r="G240" s="136" t="s">
        <v>242</v>
      </c>
      <c r="H240" s="125" t="s">
        <v>178</v>
      </c>
      <c r="I240" s="126">
        <v>3</v>
      </c>
      <c r="J240" s="140" t="s">
        <v>177</v>
      </c>
      <c r="K240" s="127" t="s">
        <v>244</v>
      </c>
      <c r="L240" s="128">
        <v>1</v>
      </c>
      <c r="M240" s="129">
        <f t="shared" ref="M240" si="158">I240*L240</f>
        <v>3</v>
      </c>
      <c r="N240" s="249" t="s">
        <v>1548</v>
      </c>
      <c r="O240" s="70" t="s">
        <v>199</v>
      </c>
      <c r="P240" s="128">
        <v>3</v>
      </c>
      <c r="Q240" s="130">
        <f t="shared" ref="Q240" si="159">I240*L240*P240</f>
        <v>9</v>
      </c>
      <c r="R240" s="70" t="s">
        <v>1479</v>
      </c>
      <c r="S240" s="70" t="s">
        <v>101</v>
      </c>
      <c r="T240" s="138"/>
      <c r="U240" s="139"/>
      <c r="V240" s="131"/>
      <c r="W240" s="138"/>
      <c r="X240" s="139"/>
      <c r="Y240" s="139"/>
      <c r="Z240" s="131"/>
      <c r="AA240" s="132"/>
      <c r="AB240" s="112"/>
      <c r="AC240" s="79"/>
      <c r="AD240" s="122">
        <f t="shared" si="125"/>
        <v>13688</v>
      </c>
    </row>
    <row r="241" spans="1:30" ht="370.5" outlineLevel="2" thickBot="1" x14ac:dyDescent="0.25">
      <c r="A241" s="235" t="s">
        <v>1347</v>
      </c>
      <c r="B241" s="374" t="s">
        <v>549</v>
      </c>
      <c r="C241" s="316" t="s">
        <v>1134</v>
      </c>
      <c r="D241" s="363" t="s">
        <v>1288</v>
      </c>
      <c r="E241" s="136" t="s">
        <v>1289</v>
      </c>
      <c r="F241" s="136" t="s">
        <v>1291</v>
      </c>
      <c r="G241" s="136" t="s">
        <v>242</v>
      </c>
      <c r="H241" s="125" t="s">
        <v>178</v>
      </c>
      <c r="I241" s="126">
        <v>3</v>
      </c>
      <c r="J241" s="140" t="s">
        <v>177</v>
      </c>
      <c r="K241" s="127" t="s">
        <v>244</v>
      </c>
      <c r="L241" s="128">
        <v>2</v>
      </c>
      <c r="M241" s="129">
        <f t="shared" ref="M241:M242" si="160">I241*L241</f>
        <v>6</v>
      </c>
      <c r="N241" s="249" t="s">
        <v>1548</v>
      </c>
      <c r="O241" s="70" t="s">
        <v>199</v>
      </c>
      <c r="P241" s="128">
        <v>3</v>
      </c>
      <c r="Q241" s="130">
        <f t="shared" ref="Q241:Q242" si="161">I241*L241*P241</f>
        <v>18</v>
      </c>
      <c r="R241" s="70" t="s">
        <v>1479</v>
      </c>
      <c r="S241" s="70" t="s">
        <v>101</v>
      </c>
      <c r="T241" s="138"/>
      <c r="U241" s="139"/>
      <c r="V241" s="131"/>
      <c r="W241" s="138"/>
      <c r="X241" s="139"/>
      <c r="Y241" s="139"/>
      <c r="Z241" s="131"/>
      <c r="AA241" s="132"/>
      <c r="AB241" s="112"/>
      <c r="AC241" s="79"/>
      <c r="AD241" s="122">
        <f t="shared" si="125"/>
        <v>13689</v>
      </c>
    </row>
    <row r="242" spans="1:30" ht="268.5" outlineLevel="2" thickBot="1" x14ac:dyDescent="0.25">
      <c r="A242" s="235" t="s">
        <v>1348</v>
      </c>
      <c r="B242" s="374"/>
      <c r="C242" s="317"/>
      <c r="D242" s="363"/>
      <c r="E242" s="136" t="s">
        <v>1290</v>
      </c>
      <c r="F242" s="136" t="s">
        <v>1292</v>
      </c>
      <c r="G242" s="231" t="s">
        <v>1467</v>
      </c>
      <c r="H242" s="125" t="s">
        <v>188</v>
      </c>
      <c r="I242" s="126">
        <v>4</v>
      </c>
      <c r="J242" s="140" t="s">
        <v>177</v>
      </c>
      <c r="K242" s="127" t="s">
        <v>260</v>
      </c>
      <c r="L242" s="128">
        <v>2</v>
      </c>
      <c r="M242" s="129">
        <f t="shared" si="160"/>
        <v>8</v>
      </c>
      <c r="N242" s="249" t="s">
        <v>1548</v>
      </c>
      <c r="O242" s="175" t="s">
        <v>230</v>
      </c>
      <c r="P242" s="128">
        <v>2</v>
      </c>
      <c r="Q242" s="130">
        <f t="shared" si="161"/>
        <v>16</v>
      </c>
      <c r="R242" s="238" t="s">
        <v>1478</v>
      </c>
      <c r="S242" s="240" t="s">
        <v>1564</v>
      </c>
      <c r="T242" s="138"/>
      <c r="U242" s="139"/>
      <c r="V242" s="131"/>
      <c r="W242" s="138"/>
      <c r="X242" s="139"/>
      <c r="Y242" s="139"/>
      <c r="Z242" s="131"/>
      <c r="AA242" s="132"/>
      <c r="AB242" s="112"/>
      <c r="AC242" s="79"/>
      <c r="AD242" s="122">
        <f t="shared" si="125"/>
        <v>13690</v>
      </c>
    </row>
    <row r="243" spans="1:30" ht="82.5" customHeight="1" outlineLevel="2" thickBot="1" x14ac:dyDescent="0.25">
      <c r="A243" s="235" t="s">
        <v>1349</v>
      </c>
      <c r="B243" s="351" t="s">
        <v>1113</v>
      </c>
      <c r="C243" s="321" t="s">
        <v>1135</v>
      </c>
      <c r="D243" s="351" t="s">
        <v>1110</v>
      </c>
      <c r="E243" s="136" t="s">
        <v>163</v>
      </c>
      <c r="F243" s="136" t="s">
        <v>264</v>
      </c>
      <c r="G243" s="136" t="s">
        <v>242</v>
      </c>
      <c r="H243" s="125" t="s">
        <v>178</v>
      </c>
      <c r="I243" s="126">
        <v>1</v>
      </c>
      <c r="J243" s="140" t="s">
        <v>205</v>
      </c>
      <c r="K243" s="127" t="s">
        <v>160</v>
      </c>
      <c r="L243" s="128">
        <v>1</v>
      </c>
      <c r="M243" s="129">
        <f t="shared" ref="M243:M244" si="162">I243*L243</f>
        <v>1</v>
      </c>
      <c r="N243" s="249" t="s">
        <v>1548</v>
      </c>
      <c r="O243" s="70" t="s">
        <v>101</v>
      </c>
      <c r="P243" s="128">
        <v>5</v>
      </c>
      <c r="Q243" s="130">
        <f t="shared" ref="Q243:Q244" si="163">I243*L243*P243</f>
        <v>5</v>
      </c>
      <c r="R243" s="70" t="s">
        <v>101</v>
      </c>
      <c r="S243" s="70" t="s">
        <v>101</v>
      </c>
      <c r="T243" s="138"/>
      <c r="U243" s="139"/>
      <c r="V243" s="131"/>
      <c r="W243" s="138"/>
      <c r="X243" s="139"/>
      <c r="Y243" s="139"/>
      <c r="Z243" s="131"/>
      <c r="AA243" s="132"/>
      <c r="AB243" s="112"/>
      <c r="AC243" s="79"/>
      <c r="AD243" s="122">
        <f t="shared" si="125"/>
        <v>13691</v>
      </c>
    </row>
    <row r="244" spans="1:30" ht="93" customHeight="1" outlineLevel="2" thickBot="1" x14ac:dyDescent="0.25">
      <c r="A244" s="235" t="s">
        <v>1350</v>
      </c>
      <c r="B244" s="352"/>
      <c r="C244" s="321"/>
      <c r="D244" s="352"/>
      <c r="E244" s="136" t="s">
        <v>197</v>
      </c>
      <c r="F244" s="136" t="s">
        <v>1111</v>
      </c>
      <c r="G244" s="136" t="s">
        <v>242</v>
      </c>
      <c r="H244" s="125" t="s">
        <v>178</v>
      </c>
      <c r="I244" s="126">
        <v>1</v>
      </c>
      <c r="J244" s="140" t="s">
        <v>205</v>
      </c>
      <c r="K244" s="127" t="s">
        <v>160</v>
      </c>
      <c r="L244" s="128">
        <v>1</v>
      </c>
      <c r="M244" s="129">
        <f t="shared" si="162"/>
        <v>1</v>
      </c>
      <c r="N244" s="249" t="s">
        <v>1548</v>
      </c>
      <c r="O244" s="175" t="s">
        <v>101</v>
      </c>
      <c r="P244" s="128">
        <v>5</v>
      </c>
      <c r="Q244" s="130">
        <f t="shared" si="163"/>
        <v>5</v>
      </c>
      <c r="R244" s="70" t="s">
        <v>101</v>
      </c>
      <c r="S244" s="70" t="s">
        <v>101</v>
      </c>
      <c r="T244" s="138"/>
      <c r="U244" s="139"/>
      <c r="V244" s="131"/>
      <c r="W244" s="138"/>
      <c r="X244" s="139"/>
      <c r="Y244" s="139"/>
      <c r="Z244" s="131"/>
      <c r="AA244" s="132"/>
      <c r="AB244" s="112"/>
      <c r="AC244" s="79"/>
      <c r="AD244" s="122">
        <f t="shared" si="125"/>
        <v>13692</v>
      </c>
    </row>
    <row r="245" spans="1:30" ht="370.5" outlineLevel="2" thickBot="1" x14ac:dyDescent="0.25">
      <c r="A245" s="205" t="s">
        <v>411</v>
      </c>
      <c r="B245" s="141" t="s">
        <v>880</v>
      </c>
      <c r="C245" s="314" t="s">
        <v>1109</v>
      </c>
      <c r="D245" s="351" t="s">
        <v>669</v>
      </c>
      <c r="E245" s="136" t="s">
        <v>670</v>
      </c>
      <c r="F245" s="136" t="s">
        <v>272</v>
      </c>
      <c r="G245" s="136" t="s">
        <v>242</v>
      </c>
      <c r="H245" s="125" t="s">
        <v>178</v>
      </c>
      <c r="I245" s="126">
        <v>3</v>
      </c>
      <c r="J245" s="140" t="s">
        <v>177</v>
      </c>
      <c r="K245" s="127" t="s">
        <v>246</v>
      </c>
      <c r="L245" s="128">
        <v>2</v>
      </c>
      <c r="M245" s="129">
        <f t="shared" si="105"/>
        <v>6</v>
      </c>
      <c r="N245" s="249" t="s">
        <v>1548</v>
      </c>
      <c r="O245" s="70" t="s">
        <v>199</v>
      </c>
      <c r="P245" s="128">
        <v>3</v>
      </c>
      <c r="Q245" s="130">
        <f t="shared" si="149"/>
        <v>18</v>
      </c>
      <c r="R245" s="70" t="s">
        <v>1479</v>
      </c>
      <c r="S245" s="70" t="s">
        <v>101</v>
      </c>
      <c r="T245" s="138" t="s">
        <v>235</v>
      </c>
      <c r="U245" s="139"/>
      <c r="V245" s="131"/>
      <c r="W245" s="138"/>
      <c r="X245" s="139"/>
      <c r="Y245" s="139"/>
      <c r="Z245" s="131"/>
      <c r="AA245" s="132"/>
      <c r="AB245" s="112"/>
      <c r="AC245" s="79"/>
      <c r="AD245" s="122">
        <f t="shared" si="125"/>
        <v>-1427</v>
      </c>
    </row>
    <row r="246" spans="1:30" ht="230.25" outlineLevel="2" thickBot="1" x14ac:dyDescent="0.25">
      <c r="A246" s="118" t="s">
        <v>412</v>
      </c>
      <c r="B246" s="145" t="s">
        <v>505</v>
      </c>
      <c r="C246" s="320"/>
      <c r="D246" s="366"/>
      <c r="E246" s="136" t="s">
        <v>196</v>
      </c>
      <c r="F246" s="136" t="s">
        <v>904</v>
      </c>
      <c r="G246" s="243" t="s">
        <v>1555</v>
      </c>
      <c r="H246" s="125" t="s">
        <v>1556</v>
      </c>
      <c r="I246" s="126">
        <v>3</v>
      </c>
      <c r="J246" s="140" t="s">
        <v>177</v>
      </c>
      <c r="K246" s="127" t="s">
        <v>260</v>
      </c>
      <c r="L246" s="128">
        <v>1</v>
      </c>
      <c r="M246" s="174">
        <f t="shared" ref="M246" si="164">I246*L246</f>
        <v>3</v>
      </c>
      <c r="N246" s="249" t="s">
        <v>1548</v>
      </c>
      <c r="O246" s="175" t="s">
        <v>101</v>
      </c>
      <c r="P246" s="128">
        <v>5</v>
      </c>
      <c r="Q246" s="176">
        <f t="shared" si="149"/>
        <v>15</v>
      </c>
      <c r="R246" s="175" t="s">
        <v>101</v>
      </c>
      <c r="S246" s="175" t="s">
        <v>101</v>
      </c>
      <c r="T246" s="135" t="s">
        <v>235</v>
      </c>
      <c r="U246" s="172" t="s">
        <v>921</v>
      </c>
      <c r="V246" s="131"/>
      <c r="W246" s="138"/>
      <c r="X246" s="139"/>
      <c r="Y246" s="139"/>
      <c r="Z246" s="131"/>
      <c r="AA246" s="132"/>
      <c r="AB246" s="112"/>
      <c r="AC246" s="79"/>
      <c r="AD246" s="122">
        <f t="shared" si="125"/>
        <v>-1428</v>
      </c>
    </row>
    <row r="247" spans="1:30" ht="21" outlineLevel="1" thickBot="1" x14ac:dyDescent="0.25">
      <c r="A247" s="118"/>
      <c r="B247" s="80" t="s">
        <v>1569</v>
      </c>
      <c r="C247" s="252"/>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2"/>
      <c r="AC247" s="79"/>
      <c r="AD247" s="122">
        <f t="shared" si="125"/>
        <v>0</v>
      </c>
    </row>
    <row r="248" spans="1:30" ht="230.25" outlineLevel="2" thickBot="1" x14ac:dyDescent="0.25">
      <c r="A248" s="118" t="s">
        <v>413</v>
      </c>
      <c r="B248" s="136" t="s">
        <v>671</v>
      </c>
      <c r="C248" s="250" t="s">
        <v>1008</v>
      </c>
      <c r="D248" s="136" t="s">
        <v>672</v>
      </c>
      <c r="E248" s="136" t="s">
        <v>186</v>
      </c>
      <c r="F248" s="136" t="s">
        <v>273</v>
      </c>
      <c r="G248" s="243" t="s">
        <v>242</v>
      </c>
      <c r="H248" s="125" t="s">
        <v>178</v>
      </c>
      <c r="I248" s="126">
        <v>3</v>
      </c>
      <c r="J248" s="140" t="s">
        <v>274</v>
      </c>
      <c r="K248" s="127" t="s">
        <v>159</v>
      </c>
      <c r="L248" s="128">
        <v>1</v>
      </c>
      <c r="M248" s="129">
        <f t="shared" ref="M248:M294" si="165">I248*L248</f>
        <v>3</v>
      </c>
      <c r="N248" s="249" t="s">
        <v>1548</v>
      </c>
      <c r="O248" s="70" t="s">
        <v>101</v>
      </c>
      <c r="P248" s="128">
        <v>5</v>
      </c>
      <c r="Q248" s="130">
        <f t="shared" ref="Q248:Q294" si="166">I248*L248*P248</f>
        <v>15</v>
      </c>
      <c r="R248" s="70" t="s">
        <v>101</v>
      </c>
      <c r="S248" s="70" t="s">
        <v>101</v>
      </c>
      <c r="T248" s="138"/>
      <c r="U248" s="139"/>
      <c r="V248" s="131"/>
      <c r="W248" s="138"/>
      <c r="X248" s="139"/>
      <c r="Y248" s="139"/>
      <c r="Z248" s="131"/>
      <c r="AA248" s="132">
        <f>X248*Y248*Z248</f>
        <v>0</v>
      </c>
      <c r="AB248" s="112" t="s">
        <v>106</v>
      </c>
      <c r="AC248" s="79"/>
      <c r="AD248" s="122">
        <f t="shared" si="125"/>
        <v>-1430</v>
      </c>
    </row>
    <row r="249" spans="1:30" ht="230.25" outlineLevel="2" thickBot="1" x14ac:dyDescent="0.25">
      <c r="A249" s="118" t="s">
        <v>414</v>
      </c>
      <c r="B249" s="348" t="s">
        <v>673</v>
      </c>
      <c r="C249" s="310" t="s">
        <v>1009</v>
      </c>
      <c r="D249" s="351" t="s">
        <v>162</v>
      </c>
      <c r="E249" s="136" t="s">
        <v>163</v>
      </c>
      <c r="F249" s="239" t="s">
        <v>1553</v>
      </c>
      <c r="G249" s="243" t="s">
        <v>242</v>
      </c>
      <c r="H249" s="125" t="s">
        <v>178</v>
      </c>
      <c r="I249" s="126">
        <v>3</v>
      </c>
      <c r="J249" s="140" t="s">
        <v>177</v>
      </c>
      <c r="K249" s="127" t="s">
        <v>160</v>
      </c>
      <c r="L249" s="128">
        <v>1</v>
      </c>
      <c r="M249" s="129">
        <f t="shared" si="165"/>
        <v>3</v>
      </c>
      <c r="N249" s="249" t="s">
        <v>1548</v>
      </c>
      <c r="O249" s="70" t="s">
        <v>101</v>
      </c>
      <c r="P249" s="128">
        <v>5</v>
      </c>
      <c r="Q249" s="130">
        <f t="shared" si="166"/>
        <v>15</v>
      </c>
      <c r="R249" s="70" t="s">
        <v>101</v>
      </c>
      <c r="S249" s="70" t="s">
        <v>101</v>
      </c>
      <c r="T249" s="138"/>
      <c r="U249" s="139"/>
      <c r="V249" s="131"/>
      <c r="W249" s="138"/>
      <c r="X249" s="139"/>
      <c r="Y249" s="139"/>
      <c r="Z249" s="131"/>
      <c r="AA249" s="132"/>
      <c r="AB249" s="112"/>
      <c r="AC249" s="79"/>
      <c r="AD249" s="122">
        <f t="shared" si="125"/>
        <v>-1431</v>
      </c>
    </row>
    <row r="250" spans="1:30" s="121" customFormat="1" ht="230.25" outlineLevel="2" thickBot="1" x14ac:dyDescent="0.25">
      <c r="A250" s="118" t="s">
        <v>857</v>
      </c>
      <c r="B250" s="309"/>
      <c r="C250" s="313"/>
      <c r="D250" s="352"/>
      <c r="E250" s="136" t="s">
        <v>197</v>
      </c>
      <c r="F250" s="136" t="s">
        <v>273</v>
      </c>
      <c r="G250" s="243" t="s">
        <v>242</v>
      </c>
      <c r="H250" s="125" t="s">
        <v>178</v>
      </c>
      <c r="I250" s="126">
        <v>3</v>
      </c>
      <c r="J250" s="140" t="s">
        <v>274</v>
      </c>
      <c r="K250" s="127" t="s">
        <v>160</v>
      </c>
      <c r="L250" s="128">
        <v>1</v>
      </c>
      <c r="M250" s="129">
        <f t="shared" ref="M250" si="167">I250*L250</f>
        <v>3</v>
      </c>
      <c r="N250" s="249" t="s">
        <v>1548</v>
      </c>
      <c r="O250" s="70" t="s">
        <v>101</v>
      </c>
      <c r="P250" s="128">
        <v>5</v>
      </c>
      <c r="Q250" s="130">
        <f t="shared" ref="Q250" si="168">I250*L250*P250</f>
        <v>15</v>
      </c>
      <c r="R250" s="70" t="s">
        <v>101</v>
      </c>
      <c r="S250" s="70" t="s">
        <v>101</v>
      </c>
      <c r="T250" s="135"/>
      <c r="U250" s="172" t="s">
        <v>922</v>
      </c>
      <c r="V250" s="178"/>
      <c r="W250" s="135"/>
      <c r="X250" s="136"/>
      <c r="Y250" s="136"/>
      <c r="Z250" s="178"/>
      <c r="AA250" s="179"/>
      <c r="AB250" s="180"/>
      <c r="AD250" s="122">
        <f t="shared" si="125"/>
        <v>-5141</v>
      </c>
    </row>
    <row r="251" spans="1:30" ht="230.25" outlineLevel="2" thickBot="1" x14ac:dyDescent="0.25">
      <c r="A251" s="118" t="s">
        <v>415</v>
      </c>
      <c r="B251" s="348" t="s">
        <v>674</v>
      </c>
      <c r="C251" s="310" t="s">
        <v>1010</v>
      </c>
      <c r="D251" s="351" t="s">
        <v>571</v>
      </c>
      <c r="E251" s="136" t="s">
        <v>165</v>
      </c>
      <c r="F251" s="136" t="s">
        <v>1553</v>
      </c>
      <c r="G251" s="243" t="s">
        <v>242</v>
      </c>
      <c r="H251" s="125" t="s">
        <v>178</v>
      </c>
      <c r="I251" s="126">
        <v>3</v>
      </c>
      <c r="J251" s="140" t="s">
        <v>177</v>
      </c>
      <c r="K251" s="127" t="s">
        <v>160</v>
      </c>
      <c r="L251" s="128">
        <v>2</v>
      </c>
      <c r="M251" s="129">
        <f t="shared" si="165"/>
        <v>6</v>
      </c>
      <c r="N251" s="249" t="s">
        <v>1548</v>
      </c>
      <c r="O251" s="70" t="s">
        <v>101</v>
      </c>
      <c r="P251" s="128">
        <v>5</v>
      </c>
      <c r="Q251" s="130">
        <f t="shared" si="166"/>
        <v>30</v>
      </c>
      <c r="R251" s="70" t="s">
        <v>101</v>
      </c>
      <c r="S251" s="70" t="s">
        <v>101</v>
      </c>
      <c r="T251" s="138"/>
      <c r="U251" s="139"/>
      <c r="V251" s="131"/>
      <c r="W251" s="138"/>
      <c r="X251" s="139"/>
      <c r="Y251" s="139"/>
      <c r="Z251" s="131"/>
      <c r="AA251" s="132"/>
      <c r="AB251" s="112"/>
      <c r="AC251" s="79"/>
      <c r="AD251" s="122">
        <f t="shared" si="125"/>
        <v>-1432</v>
      </c>
    </row>
    <row r="252" spans="1:30" s="121" customFormat="1" ht="230.25" outlineLevel="2" thickBot="1" x14ac:dyDescent="0.25">
      <c r="A252" s="118" t="s">
        <v>858</v>
      </c>
      <c r="B252" s="309"/>
      <c r="C252" s="313"/>
      <c r="D252" s="352"/>
      <c r="E252" s="136" t="s">
        <v>494</v>
      </c>
      <c r="F252" s="136" t="s">
        <v>273</v>
      </c>
      <c r="G252" s="243" t="s">
        <v>242</v>
      </c>
      <c r="H252" s="125" t="s">
        <v>178</v>
      </c>
      <c r="I252" s="126">
        <v>3</v>
      </c>
      <c r="J252" s="140" t="s">
        <v>274</v>
      </c>
      <c r="K252" s="127" t="s">
        <v>160</v>
      </c>
      <c r="L252" s="128">
        <v>1</v>
      </c>
      <c r="M252" s="129">
        <f t="shared" si="165"/>
        <v>3</v>
      </c>
      <c r="N252" s="249" t="s">
        <v>1548</v>
      </c>
      <c r="O252" s="70" t="s">
        <v>101</v>
      </c>
      <c r="P252" s="128">
        <v>5</v>
      </c>
      <c r="Q252" s="130">
        <f t="shared" si="166"/>
        <v>15</v>
      </c>
      <c r="R252" s="70" t="s">
        <v>101</v>
      </c>
      <c r="S252" s="70" t="s">
        <v>101</v>
      </c>
      <c r="T252" s="135"/>
      <c r="U252" s="172" t="s">
        <v>922</v>
      </c>
      <c r="V252" s="178"/>
      <c r="W252" s="135"/>
      <c r="X252" s="136"/>
      <c r="Y252" s="136"/>
      <c r="Z252" s="178"/>
      <c r="AA252" s="179"/>
      <c r="AB252" s="180"/>
      <c r="AD252" s="122">
        <f t="shared" si="125"/>
        <v>-5142</v>
      </c>
    </row>
    <row r="253" spans="1:30" ht="230.25" outlineLevel="2" thickBot="1" x14ac:dyDescent="0.25">
      <c r="A253" s="118" t="s">
        <v>416</v>
      </c>
      <c r="B253" s="348" t="s">
        <v>675</v>
      </c>
      <c r="C253" s="310" t="s">
        <v>1011</v>
      </c>
      <c r="D253" s="351" t="s">
        <v>559</v>
      </c>
      <c r="E253" s="136" t="s">
        <v>170</v>
      </c>
      <c r="F253" s="136" t="s">
        <v>273</v>
      </c>
      <c r="G253" s="243" t="s">
        <v>242</v>
      </c>
      <c r="H253" s="125" t="s">
        <v>178</v>
      </c>
      <c r="I253" s="126">
        <v>3</v>
      </c>
      <c r="J253" s="140" t="s">
        <v>274</v>
      </c>
      <c r="K253" s="127" t="s">
        <v>160</v>
      </c>
      <c r="L253" s="128">
        <v>1</v>
      </c>
      <c r="M253" s="129">
        <f t="shared" si="165"/>
        <v>3</v>
      </c>
      <c r="N253" s="249" t="s">
        <v>1548</v>
      </c>
      <c r="O253" s="70" t="s">
        <v>101</v>
      </c>
      <c r="P253" s="128">
        <v>5</v>
      </c>
      <c r="Q253" s="130">
        <f t="shared" si="166"/>
        <v>15</v>
      </c>
      <c r="R253" s="70" t="s">
        <v>101</v>
      </c>
      <c r="S253" s="70" t="s">
        <v>101</v>
      </c>
      <c r="T253" s="138"/>
      <c r="U253" s="139"/>
      <c r="V253" s="131"/>
      <c r="W253" s="138"/>
      <c r="X253" s="139"/>
      <c r="Y253" s="139"/>
      <c r="Z253" s="131"/>
      <c r="AA253" s="132"/>
      <c r="AB253" s="112"/>
      <c r="AC253" s="79"/>
      <c r="AD253" s="122">
        <f t="shared" si="125"/>
        <v>-1433</v>
      </c>
    </row>
    <row r="254" spans="1:30" ht="230.25" outlineLevel="2" thickBot="1" x14ac:dyDescent="0.25">
      <c r="A254" s="118" t="s">
        <v>859</v>
      </c>
      <c r="B254" s="309"/>
      <c r="C254" s="313"/>
      <c r="D254" s="352"/>
      <c r="E254" s="136" t="s">
        <v>764</v>
      </c>
      <c r="F254" s="136" t="s">
        <v>273</v>
      </c>
      <c r="G254" s="243" t="s">
        <v>242</v>
      </c>
      <c r="H254" s="125" t="s">
        <v>178</v>
      </c>
      <c r="I254" s="126">
        <v>3</v>
      </c>
      <c r="J254" s="140" t="s">
        <v>274</v>
      </c>
      <c r="K254" s="127" t="s">
        <v>160</v>
      </c>
      <c r="L254" s="128">
        <v>1</v>
      </c>
      <c r="M254" s="129">
        <f t="shared" ref="M254:M256" si="169">I254*L254</f>
        <v>3</v>
      </c>
      <c r="N254" s="249" t="s">
        <v>1548</v>
      </c>
      <c r="O254" s="70" t="s">
        <v>101</v>
      </c>
      <c r="P254" s="128">
        <v>5</v>
      </c>
      <c r="Q254" s="130">
        <f t="shared" ref="Q254:Q256" si="170">I254*L254*P254</f>
        <v>15</v>
      </c>
      <c r="R254" s="70" t="s">
        <v>101</v>
      </c>
      <c r="S254" s="70" t="s">
        <v>101</v>
      </c>
      <c r="T254" s="138"/>
      <c r="U254" s="139"/>
      <c r="V254" s="131"/>
      <c r="W254" s="138"/>
      <c r="X254" s="139"/>
      <c r="Y254" s="139"/>
      <c r="Z254" s="131"/>
      <c r="AA254" s="132"/>
      <c r="AB254" s="112"/>
      <c r="AC254" s="79"/>
      <c r="AD254" s="122">
        <f t="shared" si="125"/>
        <v>-5143</v>
      </c>
    </row>
    <row r="255" spans="1:30" s="121" customFormat="1" ht="230.25" outlineLevel="2" thickBot="1" x14ac:dyDescent="0.25">
      <c r="A255" s="118" t="s">
        <v>942</v>
      </c>
      <c r="B255" s="348" t="s">
        <v>905</v>
      </c>
      <c r="C255" s="310" t="s">
        <v>1012</v>
      </c>
      <c r="D255" s="351" t="s">
        <v>906</v>
      </c>
      <c r="E255" s="136" t="s">
        <v>907</v>
      </c>
      <c r="F255" s="136" t="s">
        <v>273</v>
      </c>
      <c r="G255" s="243" t="s">
        <v>242</v>
      </c>
      <c r="H255" s="125" t="s">
        <v>178</v>
      </c>
      <c r="I255" s="126">
        <v>3</v>
      </c>
      <c r="J255" s="140" t="s">
        <v>274</v>
      </c>
      <c r="K255" s="127" t="s">
        <v>160</v>
      </c>
      <c r="L255" s="128">
        <v>2</v>
      </c>
      <c r="M255" s="174">
        <f t="shared" si="169"/>
        <v>6</v>
      </c>
      <c r="N255" s="249" t="s">
        <v>1548</v>
      </c>
      <c r="O255" s="175" t="s">
        <v>101</v>
      </c>
      <c r="P255" s="128">
        <v>5</v>
      </c>
      <c r="Q255" s="176">
        <f t="shared" si="170"/>
        <v>30</v>
      </c>
      <c r="R255" s="70" t="s">
        <v>101</v>
      </c>
      <c r="S255" s="70" t="s">
        <v>101</v>
      </c>
      <c r="T255" s="135"/>
      <c r="U255" s="364" t="s">
        <v>909</v>
      </c>
      <c r="V255" s="178"/>
      <c r="W255" s="135"/>
      <c r="X255" s="136"/>
      <c r="Y255" s="136"/>
      <c r="Z255" s="178"/>
      <c r="AA255" s="179"/>
      <c r="AB255" s="180"/>
      <c r="AD255" s="122">
        <f t="shared" si="125"/>
        <v>-9789</v>
      </c>
    </row>
    <row r="256" spans="1:30" s="121" customFormat="1" ht="268.5" outlineLevel="2" thickBot="1" x14ac:dyDescent="0.25">
      <c r="A256" s="118" t="s">
        <v>943</v>
      </c>
      <c r="B256" s="309"/>
      <c r="C256" s="313"/>
      <c r="D256" s="352"/>
      <c r="E256" s="136" t="s">
        <v>908</v>
      </c>
      <c r="F256" s="136" t="s">
        <v>1465</v>
      </c>
      <c r="G256" s="136" t="s">
        <v>1467</v>
      </c>
      <c r="H256" s="125" t="s">
        <v>188</v>
      </c>
      <c r="I256" s="126">
        <v>4</v>
      </c>
      <c r="J256" s="140" t="s">
        <v>177</v>
      </c>
      <c r="K256" s="127" t="s">
        <v>160</v>
      </c>
      <c r="L256" s="128">
        <v>2</v>
      </c>
      <c r="M256" s="174">
        <f t="shared" si="169"/>
        <v>8</v>
      </c>
      <c r="N256" s="249" t="s">
        <v>1548</v>
      </c>
      <c r="O256" s="175" t="s">
        <v>230</v>
      </c>
      <c r="P256" s="128">
        <v>2</v>
      </c>
      <c r="Q256" s="176">
        <f t="shared" si="170"/>
        <v>16</v>
      </c>
      <c r="R256" s="238" t="s">
        <v>1478</v>
      </c>
      <c r="S256" s="240" t="s">
        <v>1564</v>
      </c>
      <c r="T256" s="135"/>
      <c r="U256" s="365"/>
      <c r="V256" s="178"/>
      <c r="W256" s="135"/>
      <c r="X256" s="136"/>
      <c r="Y256" s="136"/>
      <c r="Z256" s="178"/>
      <c r="AA256" s="179"/>
      <c r="AB256" s="180"/>
      <c r="AD256" s="122">
        <f t="shared" si="125"/>
        <v>-9790</v>
      </c>
    </row>
    <row r="257" spans="1:30" s="121" customFormat="1" ht="230.25" outlineLevel="2" thickBot="1" x14ac:dyDescent="0.25">
      <c r="A257" s="160" t="s">
        <v>1351</v>
      </c>
      <c r="B257" s="363" t="s">
        <v>1188</v>
      </c>
      <c r="C257" s="321" t="s">
        <v>1190</v>
      </c>
      <c r="D257" s="351" t="s">
        <v>1282</v>
      </c>
      <c r="E257" s="136" t="s">
        <v>1118</v>
      </c>
      <c r="F257" s="136" t="s">
        <v>1285</v>
      </c>
      <c r="G257" s="243" t="s">
        <v>242</v>
      </c>
      <c r="H257" s="125" t="s">
        <v>178</v>
      </c>
      <c r="I257" s="126">
        <v>3</v>
      </c>
      <c r="J257" s="140" t="s">
        <v>177</v>
      </c>
      <c r="K257" s="127" t="s">
        <v>160</v>
      </c>
      <c r="L257" s="128">
        <v>1</v>
      </c>
      <c r="M257" s="174">
        <f t="shared" ref="M257" si="171">I257*L257</f>
        <v>3</v>
      </c>
      <c r="N257" s="249" t="s">
        <v>1548</v>
      </c>
      <c r="O257" s="175" t="s">
        <v>101</v>
      </c>
      <c r="P257" s="128">
        <v>5</v>
      </c>
      <c r="Q257" s="176">
        <f t="shared" ref="Q257" si="172">I257*L257*P257</f>
        <v>15</v>
      </c>
      <c r="R257" s="70" t="s">
        <v>101</v>
      </c>
      <c r="S257" s="70" t="s">
        <v>101</v>
      </c>
      <c r="T257" s="135"/>
      <c r="U257" s="136"/>
      <c r="V257" s="178"/>
      <c r="W257" s="135"/>
      <c r="X257" s="136"/>
      <c r="Y257" s="136"/>
      <c r="Z257" s="178"/>
      <c r="AA257" s="179"/>
      <c r="AB257" s="180"/>
      <c r="AD257" s="122">
        <f t="shared" si="125"/>
        <v>13693</v>
      </c>
    </row>
    <row r="258" spans="1:30" s="121" customFormat="1" ht="230.25" outlineLevel="2" thickBot="1" x14ac:dyDescent="0.25">
      <c r="A258" s="160" t="s">
        <v>1352</v>
      </c>
      <c r="B258" s="363"/>
      <c r="C258" s="321"/>
      <c r="D258" s="352"/>
      <c r="E258" s="136" t="s">
        <v>1117</v>
      </c>
      <c r="F258" s="136" t="s">
        <v>1285</v>
      </c>
      <c r="G258" s="243" t="s">
        <v>242</v>
      </c>
      <c r="H258" s="125" t="s">
        <v>178</v>
      </c>
      <c r="I258" s="126">
        <v>3</v>
      </c>
      <c r="J258" s="140" t="s">
        <v>177</v>
      </c>
      <c r="K258" s="127" t="s">
        <v>160</v>
      </c>
      <c r="L258" s="128">
        <v>1</v>
      </c>
      <c r="M258" s="174">
        <f t="shared" ref="M258:M259" si="173">I258*L258</f>
        <v>3</v>
      </c>
      <c r="N258" s="249" t="s">
        <v>1548</v>
      </c>
      <c r="O258" s="175" t="s">
        <v>101</v>
      </c>
      <c r="P258" s="128">
        <v>5</v>
      </c>
      <c r="Q258" s="176">
        <f t="shared" ref="Q258:Q259" si="174">I258*L258*P258</f>
        <v>15</v>
      </c>
      <c r="R258" s="70" t="s">
        <v>101</v>
      </c>
      <c r="S258" s="70" t="s">
        <v>101</v>
      </c>
      <c r="T258" s="135"/>
      <c r="U258" s="136"/>
      <c r="V258" s="178"/>
      <c r="W258" s="135"/>
      <c r="X258" s="136"/>
      <c r="Y258" s="136"/>
      <c r="Z258" s="178"/>
      <c r="AA258" s="179"/>
      <c r="AB258" s="180"/>
      <c r="AD258" s="122">
        <f t="shared" si="125"/>
        <v>13694</v>
      </c>
    </row>
    <row r="259" spans="1:30" s="121" customFormat="1" ht="230.25" outlineLevel="2" thickBot="1" x14ac:dyDescent="0.25">
      <c r="A259" s="118" t="s">
        <v>1353</v>
      </c>
      <c r="B259" s="348" t="s">
        <v>1189</v>
      </c>
      <c r="C259" s="310" t="s">
        <v>1191</v>
      </c>
      <c r="D259" s="351" t="s">
        <v>1283</v>
      </c>
      <c r="E259" s="136" t="s">
        <v>1284</v>
      </c>
      <c r="F259" s="136" t="s">
        <v>1304</v>
      </c>
      <c r="G259" s="243" t="s">
        <v>242</v>
      </c>
      <c r="H259" s="125" t="s">
        <v>178</v>
      </c>
      <c r="I259" s="126">
        <v>3</v>
      </c>
      <c r="J259" s="140" t="s">
        <v>177</v>
      </c>
      <c r="K259" s="127" t="s">
        <v>160</v>
      </c>
      <c r="L259" s="128">
        <v>1</v>
      </c>
      <c r="M259" s="174">
        <f t="shared" si="173"/>
        <v>3</v>
      </c>
      <c r="N259" s="249" t="s">
        <v>1548</v>
      </c>
      <c r="O259" s="175" t="s">
        <v>101</v>
      </c>
      <c r="P259" s="128">
        <v>5</v>
      </c>
      <c r="Q259" s="176">
        <f t="shared" si="174"/>
        <v>15</v>
      </c>
      <c r="R259" s="70" t="s">
        <v>101</v>
      </c>
      <c r="S259" s="70" t="s">
        <v>101</v>
      </c>
      <c r="T259" s="135"/>
      <c r="U259" s="136"/>
      <c r="V259" s="178"/>
      <c r="W259" s="135"/>
      <c r="X259" s="136"/>
      <c r="Y259" s="136"/>
      <c r="Z259" s="178"/>
      <c r="AA259" s="179"/>
      <c r="AB259" s="180"/>
      <c r="AD259" s="122">
        <f t="shared" si="125"/>
        <v>13695</v>
      </c>
    </row>
    <row r="260" spans="1:30" s="121" customFormat="1" ht="230.25" outlineLevel="2" thickBot="1" x14ac:dyDescent="0.25">
      <c r="A260" s="118" t="s">
        <v>1354</v>
      </c>
      <c r="B260" s="309"/>
      <c r="C260" s="313"/>
      <c r="D260" s="352"/>
      <c r="E260" s="136" t="s">
        <v>1274</v>
      </c>
      <c r="F260" s="136" t="s">
        <v>1212</v>
      </c>
      <c r="G260" s="243" t="s">
        <v>242</v>
      </c>
      <c r="H260" s="125" t="s">
        <v>178</v>
      </c>
      <c r="I260" s="126">
        <v>1</v>
      </c>
      <c r="J260" s="140" t="s">
        <v>177</v>
      </c>
      <c r="K260" s="127" t="s">
        <v>160</v>
      </c>
      <c r="L260" s="128">
        <v>1</v>
      </c>
      <c r="M260" s="174">
        <f t="shared" ref="M260" si="175">I260*L260</f>
        <v>1</v>
      </c>
      <c r="N260" s="249" t="s">
        <v>1548</v>
      </c>
      <c r="O260" s="175" t="s">
        <v>101</v>
      </c>
      <c r="P260" s="128">
        <v>5</v>
      </c>
      <c r="Q260" s="176">
        <f t="shared" ref="Q260" si="176">I260*L260*P260</f>
        <v>5</v>
      </c>
      <c r="R260" s="70" t="s">
        <v>101</v>
      </c>
      <c r="S260" s="70" t="s">
        <v>101</v>
      </c>
      <c r="T260" s="135"/>
      <c r="U260" s="136"/>
      <c r="V260" s="178"/>
      <c r="W260" s="135"/>
      <c r="X260" s="136"/>
      <c r="Y260" s="136"/>
      <c r="Z260" s="178"/>
      <c r="AA260" s="179"/>
      <c r="AB260" s="180"/>
      <c r="AD260" s="122">
        <f t="shared" ref="AD260:AD323" si="177">VALUE(RIGHT((IF(A260="",0,A260)),5))</f>
        <v>13696</v>
      </c>
    </row>
    <row r="261" spans="1:30" ht="230.25" outlineLevel="2" thickBot="1" x14ac:dyDescent="0.25">
      <c r="A261" s="118" t="s">
        <v>417</v>
      </c>
      <c r="B261" s="136" t="s">
        <v>676</v>
      </c>
      <c r="C261" s="310" t="s">
        <v>1013</v>
      </c>
      <c r="D261" s="136" t="s">
        <v>677</v>
      </c>
      <c r="E261" s="136" t="s">
        <v>156</v>
      </c>
      <c r="F261" s="136" t="s">
        <v>273</v>
      </c>
      <c r="G261" s="243" t="s">
        <v>242</v>
      </c>
      <c r="H261" s="125" t="s">
        <v>178</v>
      </c>
      <c r="I261" s="126">
        <v>3</v>
      </c>
      <c r="J261" s="140" t="s">
        <v>274</v>
      </c>
      <c r="K261" s="127" t="s">
        <v>160</v>
      </c>
      <c r="L261" s="128">
        <v>1</v>
      </c>
      <c r="M261" s="129">
        <f t="shared" si="165"/>
        <v>3</v>
      </c>
      <c r="N261" s="249" t="s">
        <v>1548</v>
      </c>
      <c r="O261" s="70" t="s">
        <v>101</v>
      </c>
      <c r="P261" s="128">
        <v>5</v>
      </c>
      <c r="Q261" s="130">
        <f t="shared" si="166"/>
        <v>15</v>
      </c>
      <c r="R261" s="70" t="s">
        <v>101</v>
      </c>
      <c r="S261" s="70" t="s">
        <v>101</v>
      </c>
      <c r="T261" s="138"/>
      <c r="U261" s="139"/>
      <c r="V261" s="131"/>
      <c r="W261" s="138"/>
      <c r="X261" s="139"/>
      <c r="Y261" s="139"/>
      <c r="Z261" s="131"/>
      <c r="AA261" s="132"/>
      <c r="AB261" s="112"/>
      <c r="AC261" s="79"/>
      <c r="AD261" s="122">
        <f t="shared" si="177"/>
        <v>-1434</v>
      </c>
    </row>
    <row r="262" spans="1:30" ht="230.25" outlineLevel="2" thickBot="1" x14ac:dyDescent="0.25">
      <c r="A262" s="118" t="s">
        <v>860</v>
      </c>
      <c r="B262" s="136"/>
      <c r="C262" s="313"/>
      <c r="D262" s="136"/>
      <c r="E262" s="136" t="s">
        <v>492</v>
      </c>
      <c r="F262" s="136" t="s">
        <v>273</v>
      </c>
      <c r="G262" s="243" t="s">
        <v>242</v>
      </c>
      <c r="H262" s="125" t="s">
        <v>178</v>
      </c>
      <c r="I262" s="126">
        <v>3</v>
      </c>
      <c r="J262" s="140" t="s">
        <v>274</v>
      </c>
      <c r="K262" s="127" t="s">
        <v>160</v>
      </c>
      <c r="L262" s="128">
        <v>1</v>
      </c>
      <c r="M262" s="129">
        <f t="shared" ref="M262" si="178">I262*L262</f>
        <v>3</v>
      </c>
      <c r="N262" s="249" t="s">
        <v>1548</v>
      </c>
      <c r="O262" s="70" t="s">
        <v>101</v>
      </c>
      <c r="P262" s="128">
        <v>5</v>
      </c>
      <c r="Q262" s="130">
        <f t="shared" ref="Q262" si="179">I262*L262*P262</f>
        <v>15</v>
      </c>
      <c r="R262" s="70" t="s">
        <v>101</v>
      </c>
      <c r="S262" s="70" t="s">
        <v>101</v>
      </c>
      <c r="T262" s="138"/>
      <c r="U262" s="136"/>
      <c r="V262" s="131"/>
      <c r="W262" s="138"/>
      <c r="X262" s="139"/>
      <c r="Y262" s="139"/>
      <c r="Z262" s="131"/>
      <c r="AA262" s="132"/>
      <c r="AB262" s="112"/>
      <c r="AC262" s="79"/>
      <c r="AD262" s="122">
        <f t="shared" si="177"/>
        <v>-5144</v>
      </c>
    </row>
    <row r="263" spans="1:30" ht="230.25" outlineLevel="2" thickBot="1" x14ac:dyDescent="0.25">
      <c r="A263" s="118" t="s">
        <v>418</v>
      </c>
      <c r="B263" s="136" t="s">
        <v>678</v>
      </c>
      <c r="C263" s="250" t="s">
        <v>1014</v>
      </c>
      <c r="D263" s="136" t="s">
        <v>173</v>
      </c>
      <c r="E263" s="136" t="s">
        <v>154</v>
      </c>
      <c r="F263" s="136" t="s">
        <v>273</v>
      </c>
      <c r="G263" s="243" t="s">
        <v>242</v>
      </c>
      <c r="H263" s="125" t="s">
        <v>178</v>
      </c>
      <c r="I263" s="126">
        <v>3</v>
      </c>
      <c r="J263" s="140" t="s">
        <v>274</v>
      </c>
      <c r="K263" s="127" t="s">
        <v>160</v>
      </c>
      <c r="L263" s="128">
        <v>2</v>
      </c>
      <c r="M263" s="129">
        <f t="shared" si="165"/>
        <v>6</v>
      </c>
      <c r="N263" s="249" t="s">
        <v>1548</v>
      </c>
      <c r="O263" s="70" t="s">
        <v>101</v>
      </c>
      <c r="P263" s="128">
        <v>5</v>
      </c>
      <c r="Q263" s="130">
        <f t="shared" si="166"/>
        <v>30</v>
      </c>
      <c r="R263" s="70" t="s">
        <v>101</v>
      </c>
      <c r="S263" s="70" t="s">
        <v>101</v>
      </c>
      <c r="T263" s="138"/>
      <c r="U263" s="139"/>
      <c r="V263" s="131"/>
      <c r="W263" s="138"/>
      <c r="X263" s="139"/>
      <c r="Y263" s="139"/>
      <c r="Z263" s="131"/>
      <c r="AA263" s="132"/>
      <c r="AB263" s="112"/>
      <c r="AC263" s="79"/>
      <c r="AD263" s="122">
        <f t="shared" si="177"/>
        <v>-1435</v>
      </c>
    </row>
    <row r="264" spans="1:30" ht="268.5" outlineLevel="2" thickBot="1" x14ac:dyDescent="0.25">
      <c r="A264" s="118" t="s">
        <v>419</v>
      </c>
      <c r="B264" s="136" t="s">
        <v>679</v>
      </c>
      <c r="C264" s="310" t="s">
        <v>1015</v>
      </c>
      <c r="D264" s="136" t="s">
        <v>171</v>
      </c>
      <c r="E264" s="136" t="s">
        <v>156</v>
      </c>
      <c r="F264" s="136" t="s">
        <v>765</v>
      </c>
      <c r="G264" s="243" t="s">
        <v>242</v>
      </c>
      <c r="H264" s="125" t="s">
        <v>178</v>
      </c>
      <c r="I264" s="126">
        <v>3</v>
      </c>
      <c r="J264" s="140" t="s">
        <v>175</v>
      </c>
      <c r="K264" s="127" t="s">
        <v>176</v>
      </c>
      <c r="L264" s="128">
        <v>1</v>
      </c>
      <c r="M264" s="129">
        <f t="shared" si="165"/>
        <v>3</v>
      </c>
      <c r="N264" s="249" t="s">
        <v>1548</v>
      </c>
      <c r="O264" s="70" t="s">
        <v>199</v>
      </c>
      <c r="P264" s="128">
        <v>4</v>
      </c>
      <c r="Q264" s="130">
        <f t="shared" si="166"/>
        <v>12</v>
      </c>
      <c r="R264" s="70" t="s">
        <v>1483</v>
      </c>
      <c r="S264" s="70" t="s">
        <v>101</v>
      </c>
      <c r="T264" s="138"/>
      <c r="U264" s="139"/>
      <c r="V264" s="131"/>
      <c r="W264" s="138"/>
      <c r="X264" s="139"/>
      <c r="Y264" s="139"/>
      <c r="Z264" s="131"/>
      <c r="AA264" s="132"/>
      <c r="AB264" s="112"/>
      <c r="AC264" s="79"/>
      <c r="AD264" s="122">
        <f t="shared" si="177"/>
        <v>-1436</v>
      </c>
    </row>
    <row r="265" spans="1:30" ht="268.5" outlineLevel="2" thickBot="1" x14ac:dyDescent="0.25">
      <c r="A265" s="118" t="s">
        <v>861</v>
      </c>
      <c r="B265" s="136"/>
      <c r="C265" s="313"/>
      <c r="D265" s="136"/>
      <c r="E265" s="136" t="s">
        <v>492</v>
      </c>
      <c r="F265" s="136" t="s">
        <v>766</v>
      </c>
      <c r="G265" s="243" t="s">
        <v>242</v>
      </c>
      <c r="H265" s="125" t="s">
        <v>178</v>
      </c>
      <c r="I265" s="126">
        <v>3</v>
      </c>
      <c r="J265" s="140" t="s">
        <v>175</v>
      </c>
      <c r="K265" s="127" t="s">
        <v>176</v>
      </c>
      <c r="L265" s="128">
        <v>1</v>
      </c>
      <c r="M265" s="129">
        <f t="shared" ref="M265" si="180">I265*L265</f>
        <v>3</v>
      </c>
      <c r="N265" s="249" t="s">
        <v>1548</v>
      </c>
      <c r="O265" s="70" t="s">
        <v>199</v>
      </c>
      <c r="P265" s="128">
        <v>4</v>
      </c>
      <c r="Q265" s="130">
        <f t="shared" ref="Q265" si="181">I265*L265*P265</f>
        <v>12</v>
      </c>
      <c r="R265" s="70" t="s">
        <v>1483</v>
      </c>
      <c r="S265" s="70" t="s">
        <v>101</v>
      </c>
      <c r="T265" s="138"/>
      <c r="U265" s="139"/>
      <c r="V265" s="131"/>
      <c r="W265" s="138"/>
      <c r="X265" s="139"/>
      <c r="Y265" s="139"/>
      <c r="Z265" s="131"/>
      <c r="AA265" s="132"/>
      <c r="AB265" s="112"/>
      <c r="AC265" s="79"/>
      <c r="AD265" s="122">
        <f t="shared" si="177"/>
        <v>-5145</v>
      </c>
    </row>
    <row r="266" spans="1:30" ht="268.5" outlineLevel="2" thickBot="1" x14ac:dyDescent="0.25">
      <c r="A266" s="118" t="s">
        <v>420</v>
      </c>
      <c r="B266" s="136" t="s">
        <v>680</v>
      </c>
      <c r="C266" s="250" t="s">
        <v>1016</v>
      </c>
      <c r="D266" s="136" t="s">
        <v>171</v>
      </c>
      <c r="E266" s="136" t="s">
        <v>163</v>
      </c>
      <c r="F266" s="136" t="s">
        <v>765</v>
      </c>
      <c r="G266" s="243" t="s">
        <v>242</v>
      </c>
      <c r="H266" s="125" t="s">
        <v>178</v>
      </c>
      <c r="I266" s="126">
        <v>3</v>
      </c>
      <c r="J266" s="140" t="s">
        <v>175</v>
      </c>
      <c r="K266" s="127" t="s">
        <v>176</v>
      </c>
      <c r="L266" s="128">
        <v>1</v>
      </c>
      <c r="M266" s="129">
        <f t="shared" si="165"/>
        <v>3</v>
      </c>
      <c r="N266" s="249" t="s">
        <v>1548</v>
      </c>
      <c r="O266" s="70" t="s">
        <v>199</v>
      </c>
      <c r="P266" s="128">
        <v>4</v>
      </c>
      <c r="Q266" s="130">
        <f t="shared" si="166"/>
        <v>12</v>
      </c>
      <c r="R266" s="70" t="s">
        <v>1483</v>
      </c>
      <c r="S266" s="70" t="s">
        <v>101</v>
      </c>
      <c r="T266" s="138"/>
      <c r="U266" s="139"/>
      <c r="V266" s="131"/>
      <c r="W266" s="138"/>
      <c r="X266" s="139"/>
      <c r="Y266" s="139"/>
      <c r="Z266" s="131"/>
      <c r="AA266" s="132"/>
      <c r="AB266" s="112"/>
      <c r="AC266" s="79"/>
      <c r="AD266" s="122">
        <f t="shared" si="177"/>
        <v>-1437</v>
      </c>
    </row>
    <row r="267" spans="1:30" ht="230.25" outlineLevel="2" thickBot="1" x14ac:dyDescent="0.25">
      <c r="A267" s="118" t="s">
        <v>421</v>
      </c>
      <c r="B267" s="134" t="s">
        <v>681</v>
      </c>
      <c r="C267" s="310" t="s">
        <v>1017</v>
      </c>
      <c r="D267" s="351" t="s">
        <v>179</v>
      </c>
      <c r="E267" s="136" t="s">
        <v>180</v>
      </c>
      <c r="F267" s="136" t="s">
        <v>288</v>
      </c>
      <c r="G267" s="136" t="s">
        <v>185</v>
      </c>
      <c r="H267" s="125" t="s">
        <v>178</v>
      </c>
      <c r="I267" s="126">
        <v>3</v>
      </c>
      <c r="J267" s="140" t="s">
        <v>181</v>
      </c>
      <c r="K267" s="127" t="s">
        <v>1530</v>
      </c>
      <c r="L267" s="128">
        <v>2</v>
      </c>
      <c r="M267" s="129">
        <f t="shared" si="165"/>
        <v>6</v>
      </c>
      <c r="N267" s="249" t="s">
        <v>1548</v>
      </c>
      <c r="O267" s="70" t="s">
        <v>101</v>
      </c>
      <c r="P267" s="128">
        <v>5</v>
      </c>
      <c r="Q267" s="130">
        <f t="shared" si="166"/>
        <v>30</v>
      </c>
      <c r="R267" s="70" t="s">
        <v>101</v>
      </c>
      <c r="S267" s="70" t="s">
        <v>101</v>
      </c>
      <c r="T267" s="138"/>
      <c r="U267" s="139"/>
      <c r="V267" s="131"/>
      <c r="W267" s="138"/>
      <c r="X267" s="139"/>
      <c r="Y267" s="139"/>
      <c r="Z267" s="131"/>
      <c r="AA267" s="132"/>
      <c r="AB267" s="112"/>
      <c r="AC267" s="79"/>
      <c r="AD267" s="122">
        <f t="shared" si="177"/>
        <v>-1438</v>
      </c>
    </row>
    <row r="268" spans="1:30" s="121" customFormat="1" ht="268.5" outlineLevel="2" thickBot="1" x14ac:dyDescent="0.25">
      <c r="A268" s="118" t="s">
        <v>422</v>
      </c>
      <c r="B268" s="135" t="s">
        <v>505</v>
      </c>
      <c r="C268" s="313"/>
      <c r="D268" s="352"/>
      <c r="E268" s="136" t="s">
        <v>182</v>
      </c>
      <c r="F268" s="236" t="s">
        <v>1465</v>
      </c>
      <c r="G268" s="227" t="s">
        <v>1467</v>
      </c>
      <c r="H268" s="125" t="s">
        <v>188</v>
      </c>
      <c r="I268" s="126">
        <v>4</v>
      </c>
      <c r="J268" s="140" t="s">
        <v>177</v>
      </c>
      <c r="K268" s="127" t="s">
        <v>160</v>
      </c>
      <c r="L268" s="128">
        <v>2</v>
      </c>
      <c r="M268" s="174">
        <f t="shared" si="165"/>
        <v>8</v>
      </c>
      <c r="N268" s="249" t="s">
        <v>1548</v>
      </c>
      <c r="O268" s="175" t="s">
        <v>230</v>
      </c>
      <c r="P268" s="128">
        <v>2</v>
      </c>
      <c r="Q268" s="176">
        <f t="shared" ref="Q268:Q269" si="182">I268*L268*P268</f>
        <v>16</v>
      </c>
      <c r="R268" s="238" t="s">
        <v>1478</v>
      </c>
      <c r="S268" s="240" t="s">
        <v>1564</v>
      </c>
      <c r="T268" s="135"/>
      <c r="U268" s="195" t="s">
        <v>910</v>
      </c>
      <c r="V268" s="178"/>
      <c r="W268" s="135"/>
      <c r="X268" s="136"/>
      <c r="Y268" s="136"/>
      <c r="Z268" s="178"/>
      <c r="AA268" s="179"/>
      <c r="AB268" s="180"/>
      <c r="AD268" s="122">
        <f t="shared" si="177"/>
        <v>-1439</v>
      </c>
    </row>
    <row r="269" spans="1:30" ht="141" customHeight="1" outlineLevel="2" thickBot="1" x14ac:dyDescent="0.25">
      <c r="A269" s="118" t="s">
        <v>423</v>
      </c>
      <c r="B269" s="134" t="s">
        <v>682</v>
      </c>
      <c r="C269" s="310" t="s">
        <v>1018</v>
      </c>
      <c r="D269" s="351" t="s">
        <v>183</v>
      </c>
      <c r="E269" s="136" t="s">
        <v>180</v>
      </c>
      <c r="F269" s="136" t="s">
        <v>289</v>
      </c>
      <c r="G269" s="136" t="s">
        <v>185</v>
      </c>
      <c r="H269" s="125" t="s">
        <v>178</v>
      </c>
      <c r="I269" s="126">
        <v>3</v>
      </c>
      <c r="J269" s="140" t="s">
        <v>181</v>
      </c>
      <c r="K269" s="127" t="s">
        <v>1530</v>
      </c>
      <c r="L269" s="128">
        <v>2</v>
      </c>
      <c r="M269" s="129">
        <f t="shared" si="165"/>
        <v>6</v>
      </c>
      <c r="N269" s="249" t="s">
        <v>1548</v>
      </c>
      <c r="O269" s="70" t="s">
        <v>101</v>
      </c>
      <c r="P269" s="128">
        <v>5</v>
      </c>
      <c r="Q269" s="176">
        <f t="shared" si="182"/>
        <v>30</v>
      </c>
      <c r="R269" s="70" t="s">
        <v>101</v>
      </c>
      <c r="S269" s="70" t="s">
        <v>101</v>
      </c>
      <c r="T269" s="138"/>
      <c r="U269" s="139"/>
      <c r="V269" s="131"/>
      <c r="W269" s="138"/>
      <c r="X269" s="139"/>
      <c r="Y269" s="139"/>
      <c r="Z269" s="131"/>
      <c r="AA269" s="132"/>
      <c r="AB269" s="112"/>
      <c r="AC269" s="79"/>
      <c r="AD269" s="122">
        <f t="shared" si="177"/>
        <v>-1440</v>
      </c>
    </row>
    <row r="270" spans="1:30" s="121" customFormat="1" ht="268.5" outlineLevel="2" thickBot="1" x14ac:dyDescent="0.25">
      <c r="A270" s="118" t="s">
        <v>424</v>
      </c>
      <c r="B270" s="135" t="s">
        <v>505</v>
      </c>
      <c r="C270" s="313"/>
      <c r="D270" s="352"/>
      <c r="E270" s="136" t="s">
        <v>182</v>
      </c>
      <c r="F270" s="236" t="s">
        <v>1465</v>
      </c>
      <c r="G270" s="227" t="s">
        <v>1467</v>
      </c>
      <c r="H270" s="125" t="s">
        <v>188</v>
      </c>
      <c r="I270" s="126">
        <v>4</v>
      </c>
      <c r="J270" s="140" t="s">
        <v>177</v>
      </c>
      <c r="K270" s="127" t="s">
        <v>160</v>
      </c>
      <c r="L270" s="128">
        <v>2</v>
      </c>
      <c r="M270" s="174">
        <f t="shared" ref="M270" si="183">I270*L270</f>
        <v>8</v>
      </c>
      <c r="N270" s="249" t="s">
        <v>1548</v>
      </c>
      <c r="O270" s="175" t="s">
        <v>230</v>
      </c>
      <c r="P270" s="128">
        <v>2</v>
      </c>
      <c r="Q270" s="176">
        <f t="shared" ref="Q270" si="184">I270*L270*P270</f>
        <v>16</v>
      </c>
      <c r="R270" s="238" t="s">
        <v>1478</v>
      </c>
      <c r="S270" s="240" t="s">
        <v>1564</v>
      </c>
      <c r="T270" s="135"/>
      <c r="U270" s="195" t="s">
        <v>910</v>
      </c>
      <c r="V270" s="178"/>
      <c r="W270" s="135"/>
      <c r="X270" s="136"/>
      <c r="Y270" s="136"/>
      <c r="Z270" s="178"/>
      <c r="AA270" s="179"/>
      <c r="AB270" s="180"/>
      <c r="AD270" s="122">
        <f t="shared" si="177"/>
        <v>-1441</v>
      </c>
    </row>
    <row r="271" spans="1:30" ht="204.75" customHeight="1" outlineLevel="2" thickBot="1" x14ac:dyDescent="0.25">
      <c r="A271" s="118" t="s">
        <v>425</v>
      </c>
      <c r="B271" s="382" t="s">
        <v>683</v>
      </c>
      <c r="C271" s="310" t="s">
        <v>1019</v>
      </c>
      <c r="D271" s="310" t="s">
        <v>184</v>
      </c>
      <c r="E271" s="136" t="s">
        <v>156</v>
      </c>
      <c r="F271" s="136" t="s">
        <v>767</v>
      </c>
      <c r="G271" s="136" t="s">
        <v>1554</v>
      </c>
      <c r="H271" s="133" t="s">
        <v>178</v>
      </c>
      <c r="I271" s="126">
        <v>3</v>
      </c>
      <c r="J271" s="140" t="s">
        <v>181</v>
      </c>
      <c r="K271" s="127" t="s">
        <v>1531</v>
      </c>
      <c r="L271" s="128">
        <v>1</v>
      </c>
      <c r="M271" s="129">
        <f t="shared" si="165"/>
        <v>3</v>
      </c>
      <c r="N271" s="249" t="s">
        <v>1548</v>
      </c>
      <c r="O271" s="70" t="s">
        <v>101</v>
      </c>
      <c r="P271" s="128">
        <v>5</v>
      </c>
      <c r="Q271" s="130">
        <f t="shared" ref="Q271:Q273" si="185">M271*P271</f>
        <v>15</v>
      </c>
      <c r="R271" s="70" t="s">
        <v>101</v>
      </c>
      <c r="S271" s="70" t="s">
        <v>101</v>
      </c>
      <c r="T271" s="138"/>
      <c r="U271" s="139"/>
      <c r="V271" s="131"/>
      <c r="W271" s="138"/>
      <c r="X271" s="139"/>
      <c r="Y271" s="139"/>
      <c r="Z271" s="131"/>
      <c r="AA271" s="132"/>
      <c r="AB271" s="112"/>
      <c r="AC271" s="79"/>
      <c r="AD271" s="122">
        <f t="shared" si="177"/>
        <v>-1442</v>
      </c>
    </row>
    <row r="272" spans="1:30" ht="204.75" customHeight="1" outlineLevel="2" thickBot="1" x14ac:dyDescent="0.25">
      <c r="A272" s="118" t="s">
        <v>862</v>
      </c>
      <c r="B272" s="383"/>
      <c r="C272" s="313"/>
      <c r="D272" s="313"/>
      <c r="E272" s="136" t="s">
        <v>492</v>
      </c>
      <c r="F272" s="136" t="s">
        <v>768</v>
      </c>
      <c r="G272" s="136" t="s">
        <v>1554</v>
      </c>
      <c r="H272" s="133" t="s">
        <v>178</v>
      </c>
      <c r="I272" s="126">
        <v>3</v>
      </c>
      <c r="J272" s="140" t="s">
        <v>181</v>
      </c>
      <c r="K272" s="127" t="s">
        <v>1531</v>
      </c>
      <c r="L272" s="128">
        <v>1</v>
      </c>
      <c r="M272" s="129">
        <f t="shared" ref="M272" si="186">I272*L272</f>
        <v>3</v>
      </c>
      <c r="N272" s="249" t="s">
        <v>1548</v>
      </c>
      <c r="O272" s="70" t="s">
        <v>101</v>
      </c>
      <c r="P272" s="128">
        <v>5</v>
      </c>
      <c r="Q272" s="130">
        <f t="shared" ref="Q272" si="187">M272*P272</f>
        <v>15</v>
      </c>
      <c r="R272" s="70" t="s">
        <v>101</v>
      </c>
      <c r="S272" s="70" t="s">
        <v>101</v>
      </c>
      <c r="T272" s="138"/>
      <c r="U272" s="139"/>
      <c r="V272" s="131"/>
      <c r="W272" s="138"/>
      <c r="X272" s="139"/>
      <c r="Y272" s="139"/>
      <c r="Z272" s="131"/>
      <c r="AA272" s="132"/>
      <c r="AB272" s="112"/>
      <c r="AC272" s="79"/>
      <c r="AD272" s="122">
        <f t="shared" si="177"/>
        <v>-5146</v>
      </c>
    </row>
    <row r="273" spans="1:30" ht="90" customHeight="1" outlineLevel="2" thickBot="1" x14ac:dyDescent="0.25">
      <c r="A273" s="118" t="s">
        <v>426</v>
      </c>
      <c r="B273" s="136" t="s">
        <v>911</v>
      </c>
      <c r="C273" s="310" t="s">
        <v>1045</v>
      </c>
      <c r="D273" s="136" t="s">
        <v>912</v>
      </c>
      <c r="E273" s="136" t="s">
        <v>156</v>
      </c>
      <c r="F273" s="136" t="s">
        <v>913</v>
      </c>
      <c r="G273" s="136" t="s">
        <v>185</v>
      </c>
      <c r="H273" s="125" t="s">
        <v>178</v>
      </c>
      <c r="I273" s="126">
        <v>3</v>
      </c>
      <c r="J273" s="140" t="s">
        <v>181</v>
      </c>
      <c r="K273" s="127" t="s">
        <v>1532</v>
      </c>
      <c r="L273" s="128">
        <v>1</v>
      </c>
      <c r="M273" s="129">
        <f t="shared" si="165"/>
        <v>3</v>
      </c>
      <c r="N273" s="249" t="s">
        <v>1548</v>
      </c>
      <c r="O273" s="70" t="s">
        <v>101</v>
      </c>
      <c r="P273" s="128">
        <v>5</v>
      </c>
      <c r="Q273" s="130">
        <f t="shared" si="185"/>
        <v>15</v>
      </c>
      <c r="R273" s="70" t="s">
        <v>101</v>
      </c>
      <c r="S273" s="70" t="s">
        <v>101</v>
      </c>
      <c r="T273" s="138"/>
      <c r="U273" s="195" t="s">
        <v>970</v>
      </c>
      <c r="V273" s="131"/>
      <c r="W273" s="138"/>
      <c r="X273" s="139"/>
      <c r="Y273" s="139"/>
      <c r="Z273" s="131"/>
      <c r="AA273" s="132"/>
      <c r="AB273" s="112"/>
      <c r="AC273" s="79"/>
      <c r="AD273" s="122">
        <f t="shared" si="177"/>
        <v>-1443</v>
      </c>
    </row>
    <row r="274" spans="1:30" ht="90" customHeight="1" outlineLevel="2" thickBot="1" x14ac:dyDescent="0.25">
      <c r="A274" s="118" t="s">
        <v>863</v>
      </c>
      <c r="B274" s="136"/>
      <c r="C274" s="313"/>
      <c r="D274" s="136"/>
      <c r="E274" s="136" t="s">
        <v>158</v>
      </c>
      <c r="F274" s="136" t="s">
        <v>914</v>
      </c>
      <c r="G274" s="136" t="s">
        <v>185</v>
      </c>
      <c r="H274" s="125" t="s">
        <v>178</v>
      </c>
      <c r="I274" s="126">
        <v>3</v>
      </c>
      <c r="J274" s="140" t="s">
        <v>181</v>
      </c>
      <c r="K274" s="127" t="s">
        <v>1532</v>
      </c>
      <c r="L274" s="128">
        <v>1</v>
      </c>
      <c r="M274" s="129">
        <f t="shared" ref="M274" si="188">I274*L274</f>
        <v>3</v>
      </c>
      <c r="N274" s="249" t="s">
        <v>1548</v>
      </c>
      <c r="O274" s="70" t="s">
        <v>101</v>
      </c>
      <c r="P274" s="128">
        <v>5</v>
      </c>
      <c r="Q274" s="130">
        <f t="shared" ref="Q274" si="189">M274*P274</f>
        <v>15</v>
      </c>
      <c r="R274" s="70" t="s">
        <v>101</v>
      </c>
      <c r="S274" s="70" t="s">
        <v>101</v>
      </c>
      <c r="T274" s="138"/>
      <c r="U274" s="195" t="s">
        <v>971</v>
      </c>
      <c r="V274" s="131"/>
      <c r="W274" s="138"/>
      <c r="X274" s="139"/>
      <c r="Y274" s="139"/>
      <c r="Z274" s="131"/>
      <c r="AA274" s="132"/>
      <c r="AB274" s="112"/>
      <c r="AC274" s="79"/>
      <c r="AD274" s="122">
        <f t="shared" si="177"/>
        <v>-5147</v>
      </c>
    </row>
    <row r="275" spans="1:30" ht="268.5" outlineLevel="2" thickBot="1" x14ac:dyDescent="0.25">
      <c r="A275" s="118" t="s">
        <v>427</v>
      </c>
      <c r="B275" s="136" t="s">
        <v>684</v>
      </c>
      <c r="C275" s="259" t="s">
        <v>1022</v>
      </c>
      <c r="D275" s="136" t="s">
        <v>685</v>
      </c>
      <c r="E275" s="136" t="s">
        <v>154</v>
      </c>
      <c r="F275" s="136" t="s">
        <v>1484</v>
      </c>
      <c r="G275" s="243" t="s">
        <v>242</v>
      </c>
      <c r="H275" s="125" t="s">
        <v>178</v>
      </c>
      <c r="I275" s="126">
        <v>3</v>
      </c>
      <c r="J275" s="140" t="s">
        <v>175</v>
      </c>
      <c r="K275" s="127" t="s">
        <v>176</v>
      </c>
      <c r="L275" s="128">
        <v>2</v>
      </c>
      <c r="M275" s="129">
        <f t="shared" si="165"/>
        <v>6</v>
      </c>
      <c r="N275" s="249" t="s">
        <v>1548</v>
      </c>
      <c r="O275" s="70" t="s">
        <v>199</v>
      </c>
      <c r="P275" s="128">
        <v>4</v>
      </c>
      <c r="Q275" s="130">
        <f t="shared" si="166"/>
        <v>24</v>
      </c>
      <c r="R275" s="70" t="s">
        <v>1483</v>
      </c>
      <c r="S275" s="70" t="s">
        <v>101</v>
      </c>
      <c r="T275" s="138"/>
      <c r="U275" s="139"/>
      <c r="V275" s="131"/>
      <c r="W275" s="138"/>
      <c r="X275" s="139"/>
      <c r="Y275" s="139"/>
      <c r="Z275" s="131"/>
      <c r="AA275" s="132"/>
      <c r="AB275" s="112"/>
      <c r="AC275" s="79"/>
      <c r="AD275" s="122">
        <f t="shared" si="177"/>
        <v>-1444</v>
      </c>
    </row>
    <row r="276" spans="1:30" ht="51.75" customHeight="1" outlineLevel="2" thickBot="1" x14ac:dyDescent="0.25">
      <c r="A276" s="118" t="s">
        <v>1355</v>
      </c>
      <c r="B276" s="348" t="s">
        <v>1192</v>
      </c>
      <c r="C276" s="322" t="s">
        <v>1194</v>
      </c>
      <c r="D276" s="351" t="s">
        <v>1431</v>
      </c>
      <c r="E276" s="136" t="s">
        <v>1280</v>
      </c>
      <c r="F276" s="136" t="s">
        <v>1281</v>
      </c>
      <c r="G276" s="243" t="s">
        <v>242</v>
      </c>
      <c r="H276" s="125" t="s">
        <v>178</v>
      </c>
      <c r="I276" s="126">
        <v>1</v>
      </c>
      <c r="J276" s="140" t="s">
        <v>175</v>
      </c>
      <c r="K276" s="127" t="s">
        <v>176</v>
      </c>
      <c r="L276" s="128">
        <v>1</v>
      </c>
      <c r="M276" s="129">
        <f t="shared" ref="M276:M277" si="190">I276*L276</f>
        <v>1</v>
      </c>
      <c r="N276" s="249" t="s">
        <v>1548</v>
      </c>
      <c r="O276" s="70" t="s">
        <v>101</v>
      </c>
      <c r="P276" s="128">
        <v>5</v>
      </c>
      <c r="Q276" s="130">
        <f t="shared" ref="Q276:Q277" si="191">I276*L276*P276</f>
        <v>5</v>
      </c>
      <c r="R276" s="70" t="s">
        <v>101</v>
      </c>
      <c r="S276" s="70" t="s">
        <v>101</v>
      </c>
      <c r="T276" s="138"/>
      <c r="U276" s="139"/>
      <c r="V276" s="131"/>
      <c r="W276" s="138"/>
      <c r="X276" s="139"/>
      <c r="Y276" s="139"/>
      <c r="Z276" s="131"/>
      <c r="AA276" s="132"/>
      <c r="AB276" s="112"/>
      <c r="AC276" s="79"/>
      <c r="AD276" s="122">
        <f t="shared" si="177"/>
        <v>13697</v>
      </c>
    </row>
    <row r="277" spans="1:30" ht="268.5" outlineLevel="2" thickBot="1" x14ac:dyDescent="0.25">
      <c r="A277" s="118" t="s">
        <v>1356</v>
      </c>
      <c r="B277" s="309"/>
      <c r="C277" s="323"/>
      <c r="D277" s="352"/>
      <c r="E277" s="136" t="s">
        <v>1207</v>
      </c>
      <c r="F277" s="136" t="s">
        <v>1485</v>
      </c>
      <c r="G277" s="243" t="s">
        <v>242</v>
      </c>
      <c r="H277" s="125" t="s">
        <v>178</v>
      </c>
      <c r="I277" s="126">
        <v>3</v>
      </c>
      <c r="J277" s="140" t="s">
        <v>175</v>
      </c>
      <c r="K277" s="127" t="s">
        <v>176</v>
      </c>
      <c r="L277" s="128">
        <v>1</v>
      </c>
      <c r="M277" s="129">
        <f t="shared" si="190"/>
        <v>3</v>
      </c>
      <c r="N277" s="249" t="s">
        <v>1548</v>
      </c>
      <c r="O277" s="70" t="s">
        <v>199</v>
      </c>
      <c r="P277" s="128">
        <v>4</v>
      </c>
      <c r="Q277" s="130">
        <f t="shared" si="191"/>
        <v>12</v>
      </c>
      <c r="R277" s="70" t="s">
        <v>1481</v>
      </c>
      <c r="S277" s="70" t="s">
        <v>101</v>
      </c>
      <c r="T277" s="138"/>
      <c r="U277" s="139"/>
      <c r="V277" s="131"/>
      <c r="W277" s="138"/>
      <c r="X277" s="139"/>
      <c r="Y277" s="139"/>
      <c r="Z277" s="131"/>
      <c r="AA277" s="132"/>
      <c r="AB277" s="112"/>
      <c r="AC277" s="79"/>
      <c r="AD277" s="122">
        <f t="shared" si="177"/>
        <v>13698</v>
      </c>
    </row>
    <row r="278" spans="1:30" ht="51.75" customHeight="1" outlineLevel="2" thickBot="1" x14ac:dyDescent="0.25">
      <c r="A278" s="118" t="s">
        <v>1357</v>
      </c>
      <c r="B278" s="348" t="s">
        <v>1193</v>
      </c>
      <c r="C278" s="322" t="s">
        <v>1195</v>
      </c>
      <c r="D278" s="351" t="s">
        <v>1432</v>
      </c>
      <c r="E278" s="136" t="s">
        <v>1280</v>
      </c>
      <c r="F278" s="136" t="s">
        <v>1281</v>
      </c>
      <c r="G278" s="243" t="s">
        <v>242</v>
      </c>
      <c r="H278" s="125" t="s">
        <v>178</v>
      </c>
      <c r="I278" s="126">
        <v>1</v>
      </c>
      <c r="J278" s="140" t="s">
        <v>175</v>
      </c>
      <c r="K278" s="127" t="s">
        <v>176</v>
      </c>
      <c r="L278" s="128">
        <v>1</v>
      </c>
      <c r="M278" s="129">
        <f t="shared" ref="M278:M279" si="192">I278*L278</f>
        <v>1</v>
      </c>
      <c r="N278" s="249" t="s">
        <v>1548</v>
      </c>
      <c r="O278" s="70" t="s">
        <v>101</v>
      </c>
      <c r="P278" s="128">
        <v>5</v>
      </c>
      <c r="Q278" s="130">
        <f t="shared" ref="Q278:Q279" si="193">I278*L278*P278</f>
        <v>5</v>
      </c>
      <c r="R278" s="70" t="s">
        <v>101</v>
      </c>
      <c r="S278" s="70" t="s">
        <v>101</v>
      </c>
      <c r="T278" s="138"/>
      <c r="U278" s="139"/>
      <c r="V278" s="131"/>
      <c r="W278" s="138"/>
      <c r="X278" s="139"/>
      <c r="Y278" s="139"/>
      <c r="Z278" s="131"/>
      <c r="AA278" s="132"/>
      <c r="AB278" s="112"/>
      <c r="AC278" s="79"/>
      <c r="AD278" s="122">
        <f t="shared" si="177"/>
        <v>13699</v>
      </c>
    </row>
    <row r="279" spans="1:30" ht="268.5" outlineLevel="2" thickBot="1" x14ac:dyDescent="0.25">
      <c r="A279" s="118" t="s">
        <v>1358</v>
      </c>
      <c r="B279" s="309"/>
      <c r="C279" s="323"/>
      <c r="D279" s="352"/>
      <c r="E279" s="136" t="s">
        <v>1207</v>
      </c>
      <c r="F279" s="136" t="s">
        <v>1486</v>
      </c>
      <c r="G279" s="243" t="s">
        <v>242</v>
      </c>
      <c r="H279" s="125" t="s">
        <v>178</v>
      </c>
      <c r="I279" s="126">
        <v>3</v>
      </c>
      <c r="J279" s="140" t="s">
        <v>175</v>
      </c>
      <c r="K279" s="127" t="s">
        <v>176</v>
      </c>
      <c r="L279" s="128">
        <v>1</v>
      </c>
      <c r="M279" s="129">
        <f t="shared" si="192"/>
        <v>3</v>
      </c>
      <c r="N279" s="249" t="s">
        <v>1548</v>
      </c>
      <c r="O279" s="70" t="s">
        <v>199</v>
      </c>
      <c r="P279" s="128">
        <v>4</v>
      </c>
      <c r="Q279" s="130">
        <f t="shared" si="193"/>
        <v>12</v>
      </c>
      <c r="R279" s="70" t="s">
        <v>1482</v>
      </c>
      <c r="S279" s="70" t="s">
        <v>101</v>
      </c>
      <c r="T279" s="138"/>
      <c r="U279" s="139"/>
      <c r="V279" s="131"/>
      <c r="W279" s="138"/>
      <c r="X279" s="139"/>
      <c r="Y279" s="139"/>
      <c r="Z279" s="131"/>
      <c r="AA279" s="132"/>
      <c r="AB279" s="112"/>
      <c r="AC279" s="79"/>
      <c r="AD279" s="122">
        <f t="shared" si="177"/>
        <v>13700</v>
      </c>
    </row>
    <row r="280" spans="1:30" ht="64.5" customHeight="1" outlineLevel="2" thickBot="1" x14ac:dyDescent="0.25">
      <c r="A280" s="118" t="s">
        <v>428</v>
      </c>
      <c r="B280" s="136" t="s">
        <v>686</v>
      </c>
      <c r="C280" s="250" t="s">
        <v>1020</v>
      </c>
      <c r="D280" s="136" t="s">
        <v>687</v>
      </c>
      <c r="E280" s="136" t="s">
        <v>154</v>
      </c>
      <c r="F280" s="136" t="s">
        <v>275</v>
      </c>
      <c r="G280" s="243" t="s">
        <v>242</v>
      </c>
      <c r="H280" s="125" t="s">
        <v>178</v>
      </c>
      <c r="I280" s="126">
        <v>3</v>
      </c>
      <c r="J280" s="140" t="s">
        <v>177</v>
      </c>
      <c r="K280" s="127" t="s">
        <v>160</v>
      </c>
      <c r="L280" s="128">
        <v>2</v>
      </c>
      <c r="M280" s="129">
        <f t="shared" si="165"/>
        <v>6</v>
      </c>
      <c r="N280" s="249" t="s">
        <v>1548</v>
      </c>
      <c r="O280" s="70" t="s">
        <v>101</v>
      </c>
      <c r="P280" s="128">
        <v>5</v>
      </c>
      <c r="Q280" s="130">
        <f t="shared" si="166"/>
        <v>30</v>
      </c>
      <c r="R280" s="70" t="s">
        <v>101</v>
      </c>
      <c r="S280" s="70" t="s">
        <v>101</v>
      </c>
      <c r="T280" s="138"/>
      <c r="U280" s="139"/>
      <c r="V280" s="131"/>
      <c r="W280" s="138"/>
      <c r="X280" s="139"/>
      <c r="Y280" s="139"/>
      <c r="Z280" s="131"/>
      <c r="AA280" s="132"/>
      <c r="AB280" s="112"/>
      <c r="AC280" s="79"/>
      <c r="AD280" s="122">
        <f t="shared" si="177"/>
        <v>-1445</v>
      </c>
    </row>
    <row r="281" spans="1:30" ht="64.5" customHeight="1" outlineLevel="2" thickBot="1" x14ac:dyDescent="0.25">
      <c r="A281" s="118" t="s">
        <v>429</v>
      </c>
      <c r="B281" s="136" t="s">
        <v>688</v>
      </c>
      <c r="C281" s="250" t="s">
        <v>1021</v>
      </c>
      <c r="D281" s="136" t="s">
        <v>689</v>
      </c>
      <c r="E281" s="136" t="s">
        <v>154</v>
      </c>
      <c r="F281" s="136" t="s">
        <v>275</v>
      </c>
      <c r="G281" s="243" t="s">
        <v>242</v>
      </c>
      <c r="H281" s="125" t="s">
        <v>178</v>
      </c>
      <c r="I281" s="126">
        <v>3</v>
      </c>
      <c r="J281" s="140" t="s">
        <v>177</v>
      </c>
      <c r="K281" s="127" t="s">
        <v>160</v>
      </c>
      <c r="L281" s="128">
        <v>2</v>
      </c>
      <c r="M281" s="129">
        <f t="shared" si="165"/>
        <v>6</v>
      </c>
      <c r="N281" s="249" t="s">
        <v>1548</v>
      </c>
      <c r="O281" s="70" t="s">
        <v>101</v>
      </c>
      <c r="P281" s="128">
        <v>5</v>
      </c>
      <c r="Q281" s="130">
        <f t="shared" si="166"/>
        <v>30</v>
      </c>
      <c r="R281" s="70" t="s">
        <v>101</v>
      </c>
      <c r="S281" s="70" t="s">
        <v>101</v>
      </c>
      <c r="T281" s="138"/>
      <c r="U281" s="139"/>
      <c r="V281" s="131"/>
      <c r="W281" s="138"/>
      <c r="X281" s="139"/>
      <c r="Y281" s="139"/>
      <c r="Z281" s="131"/>
      <c r="AA281" s="132"/>
      <c r="AB281" s="112"/>
      <c r="AC281" s="79"/>
      <c r="AD281" s="122">
        <f t="shared" si="177"/>
        <v>-1446</v>
      </c>
    </row>
    <row r="282" spans="1:30" ht="64.5" customHeight="1" outlineLevel="2" thickBot="1" x14ac:dyDescent="0.25">
      <c r="A282" s="235" t="s">
        <v>1359</v>
      </c>
      <c r="B282" s="351" t="s">
        <v>1113</v>
      </c>
      <c r="C282" s="321" t="s">
        <v>1198</v>
      </c>
      <c r="D282" s="351" t="s">
        <v>1110</v>
      </c>
      <c r="E282" s="136" t="s">
        <v>163</v>
      </c>
      <c r="F282" s="136" t="s">
        <v>264</v>
      </c>
      <c r="G282" s="136" t="s">
        <v>242</v>
      </c>
      <c r="H282" s="125" t="s">
        <v>178</v>
      </c>
      <c r="I282" s="126">
        <v>1</v>
      </c>
      <c r="J282" s="140" t="s">
        <v>205</v>
      </c>
      <c r="K282" s="127" t="s">
        <v>160</v>
      </c>
      <c r="L282" s="128">
        <v>1</v>
      </c>
      <c r="M282" s="129">
        <f t="shared" si="165"/>
        <v>1</v>
      </c>
      <c r="N282" s="249" t="s">
        <v>1548</v>
      </c>
      <c r="O282" s="70" t="s">
        <v>101</v>
      </c>
      <c r="P282" s="128">
        <v>5</v>
      </c>
      <c r="Q282" s="130">
        <f t="shared" si="166"/>
        <v>5</v>
      </c>
      <c r="R282" s="70" t="s">
        <v>101</v>
      </c>
      <c r="S282" s="70" t="s">
        <v>101</v>
      </c>
      <c r="T282" s="138"/>
      <c r="U282" s="139"/>
      <c r="V282" s="131"/>
      <c r="W282" s="138"/>
      <c r="X282" s="139"/>
      <c r="Y282" s="139"/>
      <c r="Z282" s="131"/>
      <c r="AA282" s="132"/>
      <c r="AB282" s="112"/>
      <c r="AC282" s="79"/>
      <c r="AD282" s="122">
        <f t="shared" si="177"/>
        <v>13701</v>
      </c>
    </row>
    <row r="283" spans="1:30" ht="230.25" outlineLevel="2" thickBot="1" x14ac:dyDescent="0.25">
      <c r="A283" s="235" t="s">
        <v>1360</v>
      </c>
      <c r="B283" s="354"/>
      <c r="C283" s="310"/>
      <c r="D283" s="354"/>
      <c r="E283" s="136" t="s">
        <v>197</v>
      </c>
      <c r="F283" s="136" t="s">
        <v>1111</v>
      </c>
      <c r="G283" s="136" t="s">
        <v>242</v>
      </c>
      <c r="H283" s="125" t="s">
        <v>178</v>
      </c>
      <c r="I283" s="126">
        <v>1</v>
      </c>
      <c r="J283" s="140" t="s">
        <v>205</v>
      </c>
      <c r="K283" s="127" t="s">
        <v>160</v>
      </c>
      <c r="L283" s="128">
        <v>1</v>
      </c>
      <c r="M283" s="129">
        <f t="shared" si="165"/>
        <v>1</v>
      </c>
      <c r="N283" s="249" t="s">
        <v>1548</v>
      </c>
      <c r="O283" s="175" t="s">
        <v>101</v>
      </c>
      <c r="P283" s="128">
        <v>5</v>
      </c>
      <c r="Q283" s="130">
        <f t="shared" si="166"/>
        <v>5</v>
      </c>
      <c r="R283" s="70" t="s">
        <v>101</v>
      </c>
      <c r="S283" s="70" t="s">
        <v>101</v>
      </c>
      <c r="T283" s="138"/>
      <c r="U283" s="139"/>
      <c r="V283" s="131"/>
      <c r="W283" s="138"/>
      <c r="X283" s="139"/>
      <c r="Y283" s="139"/>
      <c r="Z283" s="131"/>
      <c r="AA283" s="132"/>
      <c r="AB283" s="112"/>
      <c r="AC283" s="79"/>
      <c r="AD283" s="122">
        <f t="shared" si="177"/>
        <v>13702</v>
      </c>
    </row>
    <row r="284" spans="1:30" ht="268.5" outlineLevel="2" thickBot="1" x14ac:dyDescent="0.25">
      <c r="A284" s="160" t="s">
        <v>430</v>
      </c>
      <c r="B284" s="228" t="s">
        <v>690</v>
      </c>
      <c r="C284" s="321" t="s">
        <v>1023</v>
      </c>
      <c r="D284" s="363" t="s">
        <v>691</v>
      </c>
      <c r="E284" s="136" t="s">
        <v>659</v>
      </c>
      <c r="F284" s="236" t="s">
        <v>1465</v>
      </c>
      <c r="G284" s="227" t="s">
        <v>1467</v>
      </c>
      <c r="H284" s="125" t="s">
        <v>188</v>
      </c>
      <c r="I284" s="126">
        <v>4</v>
      </c>
      <c r="J284" s="140" t="s">
        <v>177</v>
      </c>
      <c r="K284" s="127" t="s">
        <v>160</v>
      </c>
      <c r="L284" s="128">
        <v>2</v>
      </c>
      <c r="M284" s="129">
        <f t="shared" si="165"/>
        <v>8</v>
      </c>
      <c r="N284" s="249" t="s">
        <v>1548</v>
      </c>
      <c r="O284" s="70" t="s">
        <v>230</v>
      </c>
      <c r="P284" s="128">
        <v>2</v>
      </c>
      <c r="Q284" s="130">
        <f t="shared" si="166"/>
        <v>16</v>
      </c>
      <c r="R284" s="238" t="s">
        <v>1478</v>
      </c>
      <c r="S284" s="240" t="s">
        <v>1564</v>
      </c>
      <c r="T284" s="138"/>
      <c r="U284" s="139"/>
      <c r="V284" s="131"/>
      <c r="W284" s="138"/>
      <c r="X284" s="139"/>
      <c r="Y284" s="139"/>
      <c r="Z284" s="131"/>
      <c r="AA284" s="132"/>
      <c r="AB284" s="112"/>
      <c r="AC284" s="79"/>
      <c r="AD284" s="122">
        <f t="shared" si="177"/>
        <v>-1447</v>
      </c>
    </row>
    <row r="285" spans="1:30" ht="230.25" outlineLevel="2" thickBot="1" x14ac:dyDescent="0.25">
      <c r="A285" s="118" t="s">
        <v>431</v>
      </c>
      <c r="B285" s="226" t="s">
        <v>505</v>
      </c>
      <c r="C285" s="313"/>
      <c r="D285" s="352"/>
      <c r="E285" s="136" t="s">
        <v>692</v>
      </c>
      <c r="F285" s="136" t="s">
        <v>275</v>
      </c>
      <c r="G285" s="243" t="s">
        <v>242</v>
      </c>
      <c r="H285" s="125" t="s">
        <v>178</v>
      </c>
      <c r="I285" s="126">
        <v>3</v>
      </c>
      <c r="J285" s="140" t="s">
        <v>177</v>
      </c>
      <c r="K285" s="127" t="s">
        <v>160</v>
      </c>
      <c r="L285" s="128">
        <v>2</v>
      </c>
      <c r="M285" s="129">
        <f t="shared" si="165"/>
        <v>6</v>
      </c>
      <c r="N285" s="249" t="s">
        <v>1548</v>
      </c>
      <c r="O285" s="175" t="s">
        <v>101</v>
      </c>
      <c r="P285" s="128">
        <v>5</v>
      </c>
      <c r="Q285" s="130">
        <f t="shared" si="166"/>
        <v>30</v>
      </c>
      <c r="R285" s="175" t="s">
        <v>101</v>
      </c>
      <c r="S285" s="175" t="s">
        <v>101</v>
      </c>
      <c r="T285" s="138"/>
      <c r="U285" s="139"/>
      <c r="V285" s="131"/>
      <c r="W285" s="138"/>
      <c r="X285" s="139"/>
      <c r="Y285" s="139"/>
      <c r="Z285" s="131"/>
      <c r="AA285" s="132"/>
      <c r="AB285" s="112"/>
      <c r="AC285" s="79"/>
      <c r="AD285" s="122">
        <f t="shared" si="177"/>
        <v>-1448</v>
      </c>
    </row>
    <row r="286" spans="1:30" ht="230.25" outlineLevel="2" thickBot="1" x14ac:dyDescent="0.25">
      <c r="A286" s="118" t="s">
        <v>1361</v>
      </c>
      <c r="B286" s="230" t="s">
        <v>1196</v>
      </c>
      <c r="C286" s="260" t="s">
        <v>1197</v>
      </c>
      <c r="D286" s="200" t="s">
        <v>1273</v>
      </c>
      <c r="E286" s="136" t="s">
        <v>1274</v>
      </c>
      <c r="F286" s="136" t="s">
        <v>1279</v>
      </c>
      <c r="G286" s="243" t="s">
        <v>242</v>
      </c>
      <c r="H286" s="125" t="s">
        <v>178</v>
      </c>
      <c r="I286" s="126">
        <v>3</v>
      </c>
      <c r="J286" s="140" t="s">
        <v>177</v>
      </c>
      <c r="K286" s="127" t="s">
        <v>160</v>
      </c>
      <c r="L286" s="128">
        <v>1</v>
      </c>
      <c r="M286" s="129">
        <f t="shared" ref="M286" si="194">I286*L286</f>
        <v>3</v>
      </c>
      <c r="N286" s="249" t="s">
        <v>1548</v>
      </c>
      <c r="O286" s="175" t="s">
        <v>101</v>
      </c>
      <c r="P286" s="128">
        <v>5</v>
      </c>
      <c r="Q286" s="130">
        <f t="shared" ref="Q286" si="195">I286*L286*P286</f>
        <v>15</v>
      </c>
      <c r="R286" s="175" t="s">
        <v>101</v>
      </c>
      <c r="S286" s="175" t="s">
        <v>101</v>
      </c>
      <c r="T286" s="138"/>
      <c r="U286" s="139"/>
      <c r="V286" s="131"/>
      <c r="W286" s="138"/>
      <c r="X286" s="139"/>
      <c r="Y286" s="139"/>
      <c r="Z286" s="131"/>
      <c r="AA286" s="132"/>
      <c r="AB286" s="112"/>
      <c r="AC286" s="79"/>
      <c r="AD286" s="122">
        <f t="shared" si="177"/>
        <v>13703</v>
      </c>
    </row>
    <row r="287" spans="1:30" ht="268.5" outlineLevel="2" thickBot="1" x14ac:dyDescent="0.25">
      <c r="A287" s="160" t="s">
        <v>432</v>
      </c>
      <c r="B287" s="228" t="s">
        <v>693</v>
      </c>
      <c r="C287" s="261" t="s">
        <v>1024</v>
      </c>
      <c r="D287" s="146" t="s">
        <v>190</v>
      </c>
      <c r="E287" s="136" t="s">
        <v>694</v>
      </c>
      <c r="F287" s="236" t="s">
        <v>1465</v>
      </c>
      <c r="G287" s="227" t="s">
        <v>1467</v>
      </c>
      <c r="H287" s="125" t="s">
        <v>188</v>
      </c>
      <c r="I287" s="126">
        <v>4</v>
      </c>
      <c r="J287" s="140" t="s">
        <v>177</v>
      </c>
      <c r="K287" s="127" t="s">
        <v>160</v>
      </c>
      <c r="L287" s="128">
        <v>2</v>
      </c>
      <c r="M287" s="129">
        <f t="shared" si="165"/>
        <v>8</v>
      </c>
      <c r="N287" s="249" t="s">
        <v>1548</v>
      </c>
      <c r="O287" s="70" t="s">
        <v>230</v>
      </c>
      <c r="P287" s="128">
        <v>2</v>
      </c>
      <c r="Q287" s="130">
        <f t="shared" si="166"/>
        <v>16</v>
      </c>
      <c r="R287" s="238" t="s">
        <v>1478</v>
      </c>
      <c r="S287" s="240" t="s">
        <v>1564</v>
      </c>
      <c r="T287" s="138"/>
      <c r="U287" s="139"/>
      <c r="V287" s="131"/>
      <c r="W287" s="138"/>
      <c r="X287" s="139"/>
      <c r="Y287" s="139"/>
      <c r="Z287" s="131"/>
      <c r="AA287" s="132"/>
      <c r="AB287" s="112"/>
      <c r="AC287" s="79"/>
      <c r="AD287" s="122">
        <f t="shared" si="177"/>
        <v>-1449</v>
      </c>
    </row>
    <row r="288" spans="1:30" ht="268.5" outlineLevel="2" thickBot="1" x14ac:dyDescent="0.25">
      <c r="A288" s="160" t="s">
        <v>1362</v>
      </c>
      <c r="B288" s="352" t="s">
        <v>1183</v>
      </c>
      <c r="C288" s="313" t="s">
        <v>1184</v>
      </c>
      <c r="D288" s="354" t="s">
        <v>1537</v>
      </c>
      <c r="E288" s="136" t="s">
        <v>729</v>
      </c>
      <c r="F288" s="136" t="s">
        <v>1473</v>
      </c>
      <c r="G288" s="136" t="s">
        <v>1471</v>
      </c>
      <c r="H288" s="125" t="s">
        <v>188</v>
      </c>
      <c r="I288" s="126">
        <v>4</v>
      </c>
      <c r="J288" s="140" t="s">
        <v>175</v>
      </c>
      <c r="K288" s="127" t="s">
        <v>176</v>
      </c>
      <c r="L288" s="128">
        <v>2</v>
      </c>
      <c r="M288" s="129">
        <f>I288*L288</f>
        <v>8</v>
      </c>
      <c r="N288" s="249" t="s">
        <v>1548</v>
      </c>
      <c r="O288" s="70" t="s">
        <v>230</v>
      </c>
      <c r="P288" s="128">
        <v>2</v>
      </c>
      <c r="Q288" s="130">
        <f>I288*L288*P288</f>
        <v>16</v>
      </c>
      <c r="R288" s="238" t="s">
        <v>1478</v>
      </c>
      <c r="S288" s="240" t="s">
        <v>1564</v>
      </c>
      <c r="T288" s="138"/>
      <c r="U288" s="139"/>
      <c r="V288" s="131"/>
      <c r="W288" s="138"/>
      <c r="X288" s="139"/>
      <c r="Y288" s="139"/>
      <c r="Z288" s="131"/>
      <c r="AA288" s="132"/>
      <c r="AB288" s="112"/>
      <c r="AC288" s="79"/>
      <c r="AD288" s="122">
        <f t="shared" si="177"/>
        <v>13704</v>
      </c>
    </row>
    <row r="289" spans="1:30" ht="230.25" outlineLevel="2" thickBot="1" x14ac:dyDescent="0.25">
      <c r="A289" s="160" t="s">
        <v>1363</v>
      </c>
      <c r="B289" s="363"/>
      <c r="C289" s="321"/>
      <c r="D289" s="352"/>
      <c r="E289" s="136" t="s">
        <v>721</v>
      </c>
      <c r="F289" s="239" t="s">
        <v>1538</v>
      </c>
      <c r="G289" s="243" t="s">
        <v>242</v>
      </c>
      <c r="H289" s="125" t="s">
        <v>178</v>
      </c>
      <c r="I289" s="126">
        <v>3</v>
      </c>
      <c r="J289" s="140" t="s">
        <v>175</v>
      </c>
      <c r="K289" s="127" t="s">
        <v>176</v>
      </c>
      <c r="L289" s="128">
        <v>2</v>
      </c>
      <c r="M289" s="129">
        <f>I289*L289</f>
        <v>6</v>
      </c>
      <c r="N289" s="249" t="s">
        <v>1548</v>
      </c>
      <c r="O289" s="70" t="s">
        <v>101</v>
      </c>
      <c r="P289" s="128">
        <v>5</v>
      </c>
      <c r="Q289" s="130">
        <f>I289*L289*P289</f>
        <v>30</v>
      </c>
      <c r="R289" s="70" t="s">
        <v>101</v>
      </c>
      <c r="S289" s="70" t="s">
        <v>101</v>
      </c>
      <c r="T289" s="138"/>
      <c r="U289" s="139"/>
      <c r="V289" s="131"/>
      <c r="W289" s="138"/>
      <c r="X289" s="139"/>
      <c r="Y289" s="139"/>
      <c r="Z289" s="131"/>
      <c r="AA289" s="132"/>
      <c r="AB289" s="112"/>
      <c r="AC289" s="79"/>
      <c r="AD289" s="122">
        <f t="shared" si="177"/>
        <v>13705</v>
      </c>
    </row>
    <row r="290" spans="1:30" ht="230.25" outlineLevel="2" thickBot="1" x14ac:dyDescent="0.25">
      <c r="A290" s="160" t="s">
        <v>1364</v>
      </c>
      <c r="B290" s="363" t="s">
        <v>1185</v>
      </c>
      <c r="C290" s="321" t="s">
        <v>1186</v>
      </c>
      <c r="D290" s="363" t="s">
        <v>1219</v>
      </c>
      <c r="E290" s="136" t="s">
        <v>1207</v>
      </c>
      <c r="F290" s="136" t="s">
        <v>1539</v>
      </c>
      <c r="G290" s="243" t="s">
        <v>242</v>
      </c>
      <c r="H290" s="125" t="s">
        <v>178</v>
      </c>
      <c r="I290" s="126">
        <v>1</v>
      </c>
      <c r="J290" s="140" t="s">
        <v>205</v>
      </c>
      <c r="K290" s="127" t="s">
        <v>160</v>
      </c>
      <c r="L290" s="128">
        <v>1</v>
      </c>
      <c r="M290" s="129">
        <f t="shared" ref="M290:M291" si="196">I290*L290</f>
        <v>1</v>
      </c>
      <c r="N290" s="249" t="s">
        <v>1548</v>
      </c>
      <c r="O290" s="70" t="s">
        <v>101</v>
      </c>
      <c r="P290" s="128">
        <v>5</v>
      </c>
      <c r="Q290" s="130">
        <f>I290*L290*P290</f>
        <v>5</v>
      </c>
      <c r="R290" s="70" t="s">
        <v>101</v>
      </c>
      <c r="S290" s="70" t="s">
        <v>101</v>
      </c>
      <c r="T290" s="138"/>
      <c r="U290" s="139"/>
      <c r="V290" s="131"/>
      <c r="W290" s="138"/>
      <c r="X290" s="139"/>
      <c r="Y290" s="139"/>
      <c r="Z290" s="131"/>
      <c r="AA290" s="132"/>
      <c r="AB290" s="112"/>
      <c r="AC290" s="79"/>
      <c r="AD290" s="122">
        <f t="shared" si="177"/>
        <v>13706</v>
      </c>
    </row>
    <row r="291" spans="1:30" ht="230.25" outlineLevel="2" thickBot="1" x14ac:dyDescent="0.25">
      <c r="A291" s="160" t="s">
        <v>1365</v>
      </c>
      <c r="B291" s="363"/>
      <c r="C291" s="321"/>
      <c r="D291" s="363"/>
      <c r="E291" s="136" t="s">
        <v>1211</v>
      </c>
      <c r="F291" s="136" t="s">
        <v>1540</v>
      </c>
      <c r="G291" s="243" t="s">
        <v>242</v>
      </c>
      <c r="H291" s="125" t="s">
        <v>178</v>
      </c>
      <c r="I291" s="126">
        <v>1</v>
      </c>
      <c r="J291" s="140" t="s">
        <v>205</v>
      </c>
      <c r="K291" s="127" t="s">
        <v>160</v>
      </c>
      <c r="L291" s="128">
        <v>1</v>
      </c>
      <c r="M291" s="129">
        <f t="shared" si="196"/>
        <v>1</v>
      </c>
      <c r="N291" s="249" t="s">
        <v>1548</v>
      </c>
      <c r="O291" s="70" t="s">
        <v>101</v>
      </c>
      <c r="P291" s="128">
        <v>5</v>
      </c>
      <c r="Q291" s="130">
        <f>I291*L291*P291</f>
        <v>5</v>
      </c>
      <c r="R291" s="70" t="s">
        <v>101</v>
      </c>
      <c r="S291" s="70" t="s">
        <v>101</v>
      </c>
      <c r="T291" s="138"/>
      <c r="U291" s="139"/>
      <c r="V291" s="131"/>
      <c r="W291" s="138"/>
      <c r="X291" s="139"/>
      <c r="Y291" s="139"/>
      <c r="Z291" s="131"/>
      <c r="AA291" s="132"/>
      <c r="AB291" s="112"/>
      <c r="AC291" s="79"/>
      <c r="AD291" s="122">
        <f t="shared" si="177"/>
        <v>13707</v>
      </c>
    </row>
    <row r="292" spans="1:30" ht="230.25" outlineLevel="2" thickBot="1" x14ac:dyDescent="0.25">
      <c r="A292" s="160" t="s">
        <v>1366</v>
      </c>
      <c r="B292" s="363" t="s">
        <v>1433</v>
      </c>
      <c r="C292" s="321" t="s">
        <v>1187</v>
      </c>
      <c r="D292" s="363" t="s">
        <v>1220</v>
      </c>
      <c r="E292" s="136" t="s">
        <v>1118</v>
      </c>
      <c r="F292" s="136" t="s">
        <v>1541</v>
      </c>
      <c r="G292" s="243" t="s">
        <v>242</v>
      </c>
      <c r="H292" s="125" t="s">
        <v>178</v>
      </c>
      <c r="I292" s="126">
        <v>1</v>
      </c>
      <c r="J292" s="140" t="s">
        <v>205</v>
      </c>
      <c r="K292" s="127" t="s">
        <v>160</v>
      </c>
      <c r="L292" s="128">
        <v>1</v>
      </c>
      <c r="M292" s="129">
        <f t="shared" ref="M292:M293" si="197">I292*L292</f>
        <v>1</v>
      </c>
      <c r="N292" s="249" t="s">
        <v>1548</v>
      </c>
      <c r="O292" s="70" t="s">
        <v>101</v>
      </c>
      <c r="P292" s="128">
        <v>5</v>
      </c>
      <c r="Q292" s="130">
        <f t="shared" ref="Q292:Q293" si="198">I292*L292*P292</f>
        <v>5</v>
      </c>
      <c r="R292" s="70" t="s">
        <v>101</v>
      </c>
      <c r="S292" s="70" t="s">
        <v>101</v>
      </c>
      <c r="T292" s="138"/>
      <c r="U292" s="139"/>
      <c r="V292" s="131"/>
      <c r="W292" s="138"/>
      <c r="X292" s="139"/>
      <c r="Y292" s="139"/>
      <c r="Z292" s="131"/>
      <c r="AA292" s="132"/>
      <c r="AB292" s="112"/>
      <c r="AC292" s="79"/>
      <c r="AD292" s="122">
        <f t="shared" si="177"/>
        <v>13708</v>
      </c>
    </row>
    <row r="293" spans="1:30" ht="230.25" outlineLevel="2" thickBot="1" x14ac:dyDescent="0.25">
      <c r="A293" s="160" t="s">
        <v>1367</v>
      </c>
      <c r="B293" s="363"/>
      <c r="C293" s="321"/>
      <c r="D293" s="363"/>
      <c r="E293" s="136" t="s">
        <v>1117</v>
      </c>
      <c r="F293" s="136" t="s">
        <v>1540</v>
      </c>
      <c r="G293" s="243" t="s">
        <v>242</v>
      </c>
      <c r="H293" s="125" t="s">
        <v>178</v>
      </c>
      <c r="I293" s="126">
        <v>1</v>
      </c>
      <c r="J293" s="140" t="s">
        <v>205</v>
      </c>
      <c r="K293" s="127" t="s">
        <v>160</v>
      </c>
      <c r="L293" s="128">
        <v>1</v>
      </c>
      <c r="M293" s="129">
        <f t="shared" si="197"/>
        <v>1</v>
      </c>
      <c r="N293" s="249" t="s">
        <v>1548</v>
      </c>
      <c r="O293" s="70" t="s">
        <v>101</v>
      </c>
      <c r="P293" s="128">
        <v>5</v>
      </c>
      <c r="Q293" s="130">
        <f t="shared" si="198"/>
        <v>5</v>
      </c>
      <c r="R293" s="70" t="s">
        <v>101</v>
      </c>
      <c r="S293" s="70" t="s">
        <v>101</v>
      </c>
      <c r="T293" s="138"/>
      <c r="U293" s="139"/>
      <c r="V293" s="131"/>
      <c r="W293" s="138"/>
      <c r="X293" s="139"/>
      <c r="Y293" s="139"/>
      <c r="Z293" s="131"/>
      <c r="AA293" s="132"/>
      <c r="AB293" s="112"/>
      <c r="AC293" s="79"/>
      <c r="AD293" s="122">
        <f t="shared" si="177"/>
        <v>13709</v>
      </c>
    </row>
    <row r="294" spans="1:30" ht="230.25" outlineLevel="2" thickBot="1" x14ac:dyDescent="0.25">
      <c r="A294" s="118" t="s">
        <v>433</v>
      </c>
      <c r="B294" s="136" t="s">
        <v>695</v>
      </c>
      <c r="C294" s="310" t="s">
        <v>1025</v>
      </c>
      <c r="D294" s="146" t="s">
        <v>547</v>
      </c>
      <c r="E294" s="136" t="s">
        <v>166</v>
      </c>
      <c r="F294" s="136" t="s">
        <v>275</v>
      </c>
      <c r="G294" s="243" t="s">
        <v>242</v>
      </c>
      <c r="H294" s="125" t="s">
        <v>178</v>
      </c>
      <c r="I294" s="126">
        <v>3</v>
      </c>
      <c r="J294" s="140" t="s">
        <v>177</v>
      </c>
      <c r="K294" s="127" t="s">
        <v>160</v>
      </c>
      <c r="L294" s="128">
        <v>1</v>
      </c>
      <c r="M294" s="129">
        <f t="shared" si="165"/>
        <v>3</v>
      </c>
      <c r="N294" s="249" t="s">
        <v>1548</v>
      </c>
      <c r="O294" s="70" t="s">
        <v>101</v>
      </c>
      <c r="P294" s="128">
        <v>5</v>
      </c>
      <c r="Q294" s="130">
        <f t="shared" si="166"/>
        <v>15</v>
      </c>
      <c r="R294" s="70" t="s">
        <v>101</v>
      </c>
      <c r="S294" s="70" t="s">
        <v>101</v>
      </c>
      <c r="T294" s="138"/>
      <c r="U294" s="139"/>
      <c r="V294" s="131"/>
      <c r="W294" s="138"/>
      <c r="X294" s="139"/>
      <c r="Y294" s="139"/>
      <c r="Z294" s="131"/>
      <c r="AA294" s="132"/>
      <c r="AB294" s="112"/>
      <c r="AC294" s="79"/>
      <c r="AD294" s="122">
        <f t="shared" si="177"/>
        <v>-1450</v>
      </c>
    </row>
    <row r="295" spans="1:30" ht="230.25" outlineLevel="2" thickBot="1" x14ac:dyDescent="0.25">
      <c r="A295" s="118" t="s">
        <v>864</v>
      </c>
      <c r="B295" s="136"/>
      <c r="C295" s="311"/>
      <c r="D295" s="146"/>
      <c r="E295" s="185" t="s">
        <v>497</v>
      </c>
      <c r="F295" s="185" t="s">
        <v>874</v>
      </c>
      <c r="G295" s="243" t="s">
        <v>242</v>
      </c>
      <c r="H295" s="186" t="s">
        <v>178</v>
      </c>
      <c r="I295" s="187"/>
      <c r="J295" s="188" t="s">
        <v>177</v>
      </c>
      <c r="K295" s="189" t="s">
        <v>160</v>
      </c>
      <c r="L295" s="190"/>
      <c r="M295" s="191">
        <f>I295*L295</f>
        <v>0</v>
      </c>
      <c r="N295" s="249" t="s">
        <v>1548</v>
      </c>
      <c r="O295" s="193" t="s">
        <v>199</v>
      </c>
      <c r="P295" s="190"/>
      <c r="Q295" s="194">
        <f t="shared" ref="Q295" si="199">I295*L295*P295</f>
        <v>0</v>
      </c>
      <c r="R295" s="192"/>
      <c r="S295" s="192"/>
      <c r="T295" s="192"/>
      <c r="U295" s="195" t="s">
        <v>915</v>
      </c>
      <c r="V295" s="131"/>
      <c r="W295" s="138"/>
      <c r="X295" s="139"/>
      <c r="Y295" s="139"/>
      <c r="Z295" s="131"/>
      <c r="AA295" s="132"/>
      <c r="AB295" s="112"/>
      <c r="AC295" s="79"/>
      <c r="AD295" s="122">
        <f t="shared" si="177"/>
        <v>-5148</v>
      </c>
    </row>
    <row r="296" spans="1:30" ht="21" outlineLevel="1" thickBot="1" x14ac:dyDescent="0.25">
      <c r="A296" s="118"/>
      <c r="B296" s="80" t="s">
        <v>1570</v>
      </c>
      <c r="C296" s="252"/>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2"/>
      <c r="AC296" s="79"/>
      <c r="AD296" s="122">
        <f t="shared" si="177"/>
        <v>0</v>
      </c>
    </row>
    <row r="297" spans="1:30" ht="230.25" outlineLevel="2" thickBot="1" x14ac:dyDescent="0.25">
      <c r="A297" s="118" t="s">
        <v>434</v>
      </c>
      <c r="B297" s="308" t="s">
        <v>1048</v>
      </c>
      <c r="C297" s="312" t="s">
        <v>1033</v>
      </c>
      <c r="D297" s="353" t="s">
        <v>564</v>
      </c>
      <c r="E297" s="136" t="s">
        <v>696</v>
      </c>
      <c r="F297" s="136" t="s">
        <v>276</v>
      </c>
      <c r="G297" s="243" t="s">
        <v>242</v>
      </c>
      <c r="H297" s="125" t="s">
        <v>178</v>
      </c>
      <c r="I297" s="126">
        <v>1</v>
      </c>
      <c r="J297" s="140" t="s">
        <v>177</v>
      </c>
      <c r="K297" s="127" t="s">
        <v>160</v>
      </c>
      <c r="L297" s="128">
        <v>2</v>
      </c>
      <c r="M297" s="129">
        <f t="shared" ref="M297:M331" si="200">I297*L297</f>
        <v>2</v>
      </c>
      <c r="N297" s="249" t="s">
        <v>1548</v>
      </c>
      <c r="O297" s="70" t="s">
        <v>101</v>
      </c>
      <c r="P297" s="128">
        <v>5</v>
      </c>
      <c r="Q297" s="130">
        <f t="shared" ref="Q297:Q331" si="201">I297*L297*P297</f>
        <v>10</v>
      </c>
      <c r="R297" s="70" t="s">
        <v>101</v>
      </c>
      <c r="S297" s="70" t="s">
        <v>101</v>
      </c>
      <c r="T297" s="138"/>
      <c r="U297" s="139"/>
      <c r="V297" s="131"/>
      <c r="W297" s="138"/>
      <c r="X297" s="139"/>
      <c r="Y297" s="139"/>
      <c r="Z297" s="131"/>
      <c r="AA297" s="132">
        <v>0</v>
      </c>
      <c r="AB297" s="112" t="s">
        <v>106</v>
      </c>
      <c r="AC297" s="79"/>
      <c r="AD297" s="122">
        <f t="shared" si="177"/>
        <v>-1452</v>
      </c>
    </row>
    <row r="298" spans="1:30" ht="268.5" outlineLevel="2" thickBot="1" x14ac:dyDescent="0.25">
      <c r="A298" s="118" t="s">
        <v>435</v>
      </c>
      <c r="B298" s="309"/>
      <c r="C298" s="313"/>
      <c r="D298" s="352"/>
      <c r="E298" s="136" t="s">
        <v>496</v>
      </c>
      <c r="F298" s="136" t="s">
        <v>277</v>
      </c>
      <c r="G298" s="136" t="s">
        <v>278</v>
      </c>
      <c r="H298" s="125" t="s">
        <v>178</v>
      </c>
      <c r="I298" s="126">
        <v>3</v>
      </c>
      <c r="J298" s="140" t="s">
        <v>177</v>
      </c>
      <c r="K298" s="127" t="s">
        <v>160</v>
      </c>
      <c r="L298" s="128">
        <v>1</v>
      </c>
      <c r="M298" s="129">
        <f t="shared" si="200"/>
        <v>3</v>
      </c>
      <c r="N298" s="249" t="s">
        <v>1548</v>
      </c>
      <c r="O298" s="70" t="s">
        <v>199</v>
      </c>
      <c r="P298" s="128">
        <v>2</v>
      </c>
      <c r="Q298" s="130">
        <f t="shared" si="201"/>
        <v>6</v>
      </c>
      <c r="R298" s="238" t="s">
        <v>1480</v>
      </c>
      <c r="S298" s="138" t="s">
        <v>1571</v>
      </c>
      <c r="T298" s="138"/>
      <c r="U298" s="139"/>
      <c r="V298" s="131"/>
      <c r="W298" s="138"/>
      <c r="X298" s="139"/>
      <c r="Y298" s="139"/>
      <c r="Z298" s="131"/>
      <c r="AA298" s="132"/>
      <c r="AB298" s="112"/>
      <c r="AC298" s="79"/>
      <c r="AD298" s="122">
        <f t="shared" si="177"/>
        <v>-1453</v>
      </c>
    </row>
    <row r="299" spans="1:30" ht="51.75" customHeight="1" outlineLevel="2" thickBot="1" x14ac:dyDescent="0.25">
      <c r="A299" s="118" t="s">
        <v>436</v>
      </c>
      <c r="B299" s="136" t="s">
        <v>697</v>
      </c>
      <c r="C299" s="250" t="s">
        <v>1232</v>
      </c>
      <c r="D299" s="136" t="s">
        <v>213</v>
      </c>
      <c r="E299" s="136" t="s">
        <v>163</v>
      </c>
      <c r="F299" s="136" t="s">
        <v>279</v>
      </c>
      <c r="G299" s="243" t="s">
        <v>242</v>
      </c>
      <c r="H299" s="125" t="s">
        <v>178</v>
      </c>
      <c r="I299" s="126">
        <v>1</v>
      </c>
      <c r="J299" s="140" t="s">
        <v>177</v>
      </c>
      <c r="K299" s="127" t="s">
        <v>160</v>
      </c>
      <c r="L299" s="128">
        <v>1</v>
      </c>
      <c r="M299" s="129">
        <f t="shared" si="200"/>
        <v>1</v>
      </c>
      <c r="N299" s="249" t="s">
        <v>1548</v>
      </c>
      <c r="O299" s="70" t="s">
        <v>101</v>
      </c>
      <c r="P299" s="128">
        <v>5</v>
      </c>
      <c r="Q299" s="130">
        <f t="shared" si="201"/>
        <v>5</v>
      </c>
      <c r="R299" s="70" t="s">
        <v>101</v>
      </c>
      <c r="S299" s="70"/>
      <c r="T299" s="138"/>
      <c r="U299" s="139"/>
      <c r="V299" s="131"/>
      <c r="W299" s="138"/>
      <c r="X299" s="139"/>
      <c r="Y299" s="139"/>
      <c r="Z299" s="131"/>
      <c r="AA299" s="132"/>
      <c r="AB299" s="112"/>
      <c r="AC299" s="79"/>
      <c r="AD299" s="122">
        <f t="shared" si="177"/>
        <v>-1454</v>
      </c>
    </row>
    <row r="300" spans="1:30" ht="51.75" customHeight="1" outlineLevel="2" thickBot="1" x14ac:dyDescent="0.25">
      <c r="A300" s="160" t="s">
        <v>1368</v>
      </c>
      <c r="B300" s="363" t="s">
        <v>1243</v>
      </c>
      <c r="C300" s="321" t="s">
        <v>1244</v>
      </c>
      <c r="D300" s="363" t="s">
        <v>1275</v>
      </c>
      <c r="E300" s="136" t="s">
        <v>1117</v>
      </c>
      <c r="F300" s="136" t="s">
        <v>1277</v>
      </c>
      <c r="G300" s="243" t="s">
        <v>242</v>
      </c>
      <c r="H300" s="125" t="s">
        <v>178</v>
      </c>
      <c r="I300" s="126">
        <v>1</v>
      </c>
      <c r="J300" s="140" t="s">
        <v>177</v>
      </c>
      <c r="K300" s="127" t="s">
        <v>160</v>
      </c>
      <c r="L300" s="128">
        <v>1</v>
      </c>
      <c r="M300" s="129">
        <f t="shared" ref="M300" si="202">I300*L300</f>
        <v>1</v>
      </c>
      <c r="N300" s="249" t="s">
        <v>1548</v>
      </c>
      <c r="O300" s="70" t="s">
        <v>101</v>
      </c>
      <c r="P300" s="128">
        <v>5</v>
      </c>
      <c r="Q300" s="130">
        <f t="shared" ref="Q300" si="203">I300*L300*P300</f>
        <v>5</v>
      </c>
      <c r="R300" s="70" t="s">
        <v>101</v>
      </c>
      <c r="S300" s="70" t="s">
        <v>101</v>
      </c>
      <c r="T300" s="138"/>
      <c r="U300" s="139"/>
      <c r="V300" s="131"/>
      <c r="W300" s="138"/>
      <c r="X300" s="139"/>
      <c r="Y300" s="139"/>
      <c r="Z300" s="131"/>
      <c r="AA300" s="132"/>
      <c r="AB300" s="112"/>
      <c r="AC300" s="79"/>
      <c r="AD300" s="122">
        <f t="shared" si="177"/>
        <v>13710</v>
      </c>
    </row>
    <row r="301" spans="1:30" ht="268.5" outlineLevel="2" thickBot="1" x14ac:dyDescent="0.25">
      <c r="A301" s="160" t="s">
        <v>1369</v>
      </c>
      <c r="B301" s="363"/>
      <c r="C301" s="321"/>
      <c r="D301" s="363"/>
      <c r="E301" s="136" t="s">
        <v>1276</v>
      </c>
      <c r="F301" s="136" t="s">
        <v>1278</v>
      </c>
      <c r="G301" s="136" t="s">
        <v>278</v>
      </c>
      <c r="H301" s="125" t="s">
        <v>178</v>
      </c>
      <c r="I301" s="126">
        <v>3</v>
      </c>
      <c r="J301" s="140" t="s">
        <v>177</v>
      </c>
      <c r="K301" s="127" t="s">
        <v>160</v>
      </c>
      <c r="L301" s="128">
        <v>1</v>
      </c>
      <c r="M301" s="129">
        <f t="shared" ref="M301" si="204">I301*L301</f>
        <v>3</v>
      </c>
      <c r="N301" s="249" t="s">
        <v>1548</v>
      </c>
      <c r="O301" s="70" t="s">
        <v>199</v>
      </c>
      <c r="P301" s="128">
        <v>2</v>
      </c>
      <c r="Q301" s="130">
        <f t="shared" ref="Q301" si="205">I301*L301*P301</f>
        <v>6</v>
      </c>
      <c r="R301" s="238" t="s">
        <v>1480</v>
      </c>
      <c r="S301" s="138" t="s">
        <v>1571</v>
      </c>
      <c r="T301" s="138"/>
      <c r="U301" s="139"/>
      <c r="V301" s="131"/>
      <c r="W301" s="138"/>
      <c r="X301" s="139"/>
      <c r="Y301" s="139"/>
      <c r="Z301" s="131"/>
      <c r="AA301" s="132"/>
      <c r="AB301" s="112"/>
      <c r="AC301" s="79"/>
      <c r="AD301" s="122">
        <f t="shared" si="177"/>
        <v>13711</v>
      </c>
    </row>
    <row r="302" spans="1:30" ht="230.25" outlineLevel="2" thickBot="1" x14ac:dyDescent="0.25">
      <c r="A302" s="160" t="s">
        <v>1370</v>
      </c>
      <c r="B302" s="363" t="s">
        <v>1245</v>
      </c>
      <c r="C302" s="321" t="s">
        <v>1246</v>
      </c>
      <c r="D302" s="363" t="s">
        <v>1434</v>
      </c>
      <c r="E302" s="136" t="s">
        <v>1117</v>
      </c>
      <c r="F302" s="136" t="s">
        <v>1212</v>
      </c>
      <c r="G302" s="243" t="s">
        <v>242</v>
      </c>
      <c r="H302" s="125" t="s">
        <v>178</v>
      </c>
      <c r="I302" s="126">
        <v>1</v>
      </c>
      <c r="J302" s="140" t="s">
        <v>177</v>
      </c>
      <c r="K302" s="127" t="s">
        <v>160</v>
      </c>
      <c r="L302" s="128">
        <v>1</v>
      </c>
      <c r="M302" s="129">
        <f t="shared" ref="M302" si="206">I302*L302</f>
        <v>1</v>
      </c>
      <c r="N302" s="249" t="s">
        <v>1548</v>
      </c>
      <c r="O302" s="70" t="s">
        <v>101</v>
      </c>
      <c r="P302" s="128">
        <v>5</v>
      </c>
      <c r="Q302" s="130">
        <f t="shared" ref="Q302" si="207">I302*L302*P302</f>
        <v>5</v>
      </c>
      <c r="R302" s="70" t="s">
        <v>101</v>
      </c>
      <c r="S302" s="70" t="s">
        <v>101</v>
      </c>
      <c r="T302" s="138"/>
      <c r="U302" s="139"/>
      <c r="V302" s="131"/>
      <c r="W302" s="138"/>
      <c r="X302" s="139"/>
      <c r="Y302" s="139"/>
      <c r="Z302" s="131"/>
      <c r="AA302" s="132"/>
      <c r="AB302" s="112"/>
      <c r="AC302" s="79"/>
      <c r="AD302" s="122">
        <f t="shared" si="177"/>
        <v>13712</v>
      </c>
    </row>
    <row r="303" spans="1:30" ht="306.75" outlineLevel="2" thickBot="1" x14ac:dyDescent="0.25">
      <c r="A303" s="160" t="s">
        <v>1371</v>
      </c>
      <c r="B303" s="363"/>
      <c r="C303" s="321"/>
      <c r="D303" s="363"/>
      <c r="E303" s="136" t="s">
        <v>1118</v>
      </c>
      <c r="F303" s="136" t="s">
        <v>1272</v>
      </c>
      <c r="G303" s="136" t="s">
        <v>278</v>
      </c>
      <c r="H303" s="125" t="s">
        <v>178</v>
      </c>
      <c r="I303" s="126">
        <v>3</v>
      </c>
      <c r="J303" s="140" t="s">
        <v>177</v>
      </c>
      <c r="K303" s="127" t="s">
        <v>160</v>
      </c>
      <c r="L303" s="128">
        <v>1</v>
      </c>
      <c r="M303" s="129">
        <f t="shared" ref="M303" si="208">I303*L303</f>
        <v>3</v>
      </c>
      <c r="N303" s="249" t="s">
        <v>1548</v>
      </c>
      <c r="O303" s="70" t="s">
        <v>199</v>
      </c>
      <c r="P303" s="128">
        <v>2</v>
      </c>
      <c r="Q303" s="130">
        <f t="shared" ref="Q303" si="209">I303*L303*P303</f>
        <v>6</v>
      </c>
      <c r="R303" s="238" t="s">
        <v>1480</v>
      </c>
      <c r="S303" s="138" t="s">
        <v>1571</v>
      </c>
      <c r="T303" s="138"/>
      <c r="U303" s="139"/>
      <c r="V303" s="131"/>
      <c r="W303" s="138"/>
      <c r="X303" s="139"/>
      <c r="Y303" s="139"/>
      <c r="Z303" s="131"/>
      <c r="AA303" s="132"/>
      <c r="AB303" s="112"/>
      <c r="AC303" s="79"/>
      <c r="AD303" s="122">
        <f t="shared" si="177"/>
        <v>13713</v>
      </c>
    </row>
    <row r="304" spans="1:30" ht="230.25" outlineLevel="2" thickBot="1" x14ac:dyDescent="0.25">
      <c r="A304" s="118" t="s">
        <v>1372</v>
      </c>
      <c r="B304" s="348" t="s">
        <v>1233</v>
      </c>
      <c r="C304" s="310" t="s">
        <v>1234</v>
      </c>
      <c r="D304" s="351" t="s">
        <v>1235</v>
      </c>
      <c r="E304" s="136" t="s">
        <v>1117</v>
      </c>
      <c r="F304" s="136" t="s">
        <v>1236</v>
      </c>
      <c r="G304" s="243" t="s">
        <v>242</v>
      </c>
      <c r="H304" s="125" t="s">
        <v>178</v>
      </c>
      <c r="I304" s="126">
        <v>1</v>
      </c>
      <c r="J304" s="140" t="s">
        <v>177</v>
      </c>
      <c r="K304" s="127" t="s">
        <v>160</v>
      </c>
      <c r="L304" s="128">
        <v>1</v>
      </c>
      <c r="M304" s="129">
        <f t="shared" ref="M304" si="210">I304*L304</f>
        <v>1</v>
      </c>
      <c r="N304" s="249" t="s">
        <v>1548</v>
      </c>
      <c r="O304" s="70" t="s">
        <v>101</v>
      </c>
      <c r="P304" s="128">
        <v>5</v>
      </c>
      <c r="Q304" s="130">
        <f t="shared" si="201"/>
        <v>5</v>
      </c>
      <c r="R304" s="70" t="s">
        <v>101</v>
      </c>
      <c r="S304" s="70" t="s">
        <v>101</v>
      </c>
      <c r="T304" s="138"/>
      <c r="U304" s="139"/>
      <c r="V304" s="131"/>
      <c r="W304" s="138"/>
      <c r="X304" s="139"/>
      <c r="Y304" s="139"/>
      <c r="Z304" s="131"/>
      <c r="AA304" s="132"/>
      <c r="AB304" s="112"/>
      <c r="AC304" s="79"/>
      <c r="AD304" s="122">
        <f t="shared" si="177"/>
        <v>13714</v>
      </c>
    </row>
    <row r="305" spans="1:30" ht="230.25" outlineLevel="2" thickBot="1" x14ac:dyDescent="0.25">
      <c r="A305" s="118" t="s">
        <v>1373</v>
      </c>
      <c r="B305" s="309"/>
      <c r="C305" s="313"/>
      <c r="D305" s="352"/>
      <c r="E305" s="136" t="s">
        <v>1118</v>
      </c>
      <c r="F305" s="136" t="s">
        <v>1299</v>
      </c>
      <c r="G305" s="243" t="s">
        <v>242</v>
      </c>
      <c r="H305" s="125" t="s">
        <v>178</v>
      </c>
      <c r="I305" s="126">
        <v>1</v>
      </c>
      <c r="J305" s="140" t="s">
        <v>177</v>
      </c>
      <c r="K305" s="127" t="s">
        <v>160</v>
      </c>
      <c r="L305" s="128">
        <v>1</v>
      </c>
      <c r="M305" s="129">
        <f t="shared" ref="M305" si="211">I305*L305</f>
        <v>1</v>
      </c>
      <c r="N305" s="249" t="s">
        <v>1548</v>
      </c>
      <c r="O305" s="70" t="s">
        <v>101</v>
      </c>
      <c r="P305" s="128">
        <v>5</v>
      </c>
      <c r="Q305" s="130">
        <f t="shared" ref="Q305" si="212">I305*L305*P305</f>
        <v>5</v>
      </c>
      <c r="R305" s="70" t="s">
        <v>101</v>
      </c>
      <c r="S305" s="70" t="s">
        <v>101</v>
      </c>
      <c r="T305" s="138"/>
      <c r="U305" s="139"/>
      <c r="V305" s="131"/>
      <c r="W305" s="138"/>
      <c r="X305" s="139"/>
      <c r="Y305" s="139"/>
      <c r="Z305" s="131"/>
      <c r="AA305" s="132"/>
      <c r="AB305" s="112"/>
      <c r="AC305" s="79"/>
      <c r="AD305" s="122">
        <f t="shared" si="177"/>
        <v>13715</v>
      </c>
    </row>
    <row r="306" spans="1:30" ht="230.25" outlineLevel="2" thickBot="1" x14ac:dyDescent="0.25">
      <c r="A306" s="118" t="s">
        <v>437</v>
      </c>
      <c r="B306" s="230" t="s">
        <v>698</v>
      </c>
      <c r="C306" s="310" t="s">
        <v>1036</v>
      </c>
      <c r="D306" s="351" t="s">
        <v>699</v>
      </c>
      <c r="E306" s="136" t="s">
        <v>700</v>
      </c>
      <c r="F306" s="136" t="s">
        <v>276</v>
      </c>
      <c r="G306" s="243" t="s">
        <v>242</v>
      </c>
      <c r="H306" s="125" t="s">
        <v>178</v>
      </c>
      <c r="I306" s="126">
        <v>1</v>
      </c>
      <c r="J306" s="140" t="s">
        <v>177</v>
      </c>
      <c r="K306" s="127" t="s">
        <v>160</v>
      </c>
      <c r="L306" s="128">
        <v>2</v>
      </c>
      <c r="M306" s="129">
        <f t="shared" si="200"/>
        <v>2</v>
      </c>
      <c r="N306" s="249" t="s">
        <v>1548</v>
      </c>
      <c r="O306" s="70" t="s">
        <v>101</v>
      </c>
      <c r="P306" s="128">
        <v>5</v>
      </c>
      <c r="Q306" s="130">
        <f t="shared" si="201"/>
        <v>10</v>
      </c>
      <c r="R306" s="70" t="s">
        <v>101</v>
      </c>
      <c r="S306" s="70" t="s">
        <v>101</v>
      </c>
      <c r="T306" s="138"/>
      <c r="U306" s="139"/>
      <c r="V306" s="131"/>
      <c r="W306" s="138"/>
      <c r="X306" s="139"/>
      <c r="Y306" s="139"/>
      <c r="Z306" s="131"/>
      <c r="AA306" s="132"/>
      <c r="AB306" s="112"/>
      <c r="AC306" s="79"/>
      <c r="AD306" s="122">
        <f t="shared" si="177"/>
        <v>-1455</v>
      </c>
    </row>
    <row r="307" spans="1:30" ht="268.5" outlineLevel="2" thickBot="1" x14ac:dyDescent="0.25">
      <c r="A307" s="118" t="s">
        <v>438</v>
      </c>
      <c r="B307" s="226" t="s">
        <v>505</v>
      </c>
      <c r="C307" s="313"/>
      <c r="D307" s="352"/>
      <c r="E307" s="136" t="s">
        <v>701</v>
      </c>
      <c r="F307" s="136" t="s">
        <v>277</v>
      </c>
      <c r="G307" s="136" t="s">
        <v>278</v>
      </c>
      <c r="H307" s="125" t="s">
        <v>178</v>
      </c>
      <c r="I307" s="126">
        <v>3</v>
      </c>
      <c r="J307" s="140" t="s">
        <v>177</v>
      </c>
      <c r="K307" s="127" t="s">
        <v>160</v>
      </c>
      <c r="L307" s="128">
        <v>2</v>
      </c>
      <c r="M307" s="129">
        <f t="shared" si="200"/>
        <v>6</v>
      </c>
      <c r="N307" s="249" t="s">
        <v>1548</v>
      </c>
      <c r="O307" s="70" t="s">
        <v>199</v>
      </c>
      <c r="P307" s="128">
        <v>2</v>
      </c>
      <c r="Q307" s="130">
        <f t="shared" si="201"/>
        <v>12</v>
      </c>
      <c r="R307" s="238" t="s">
        <v>1480</v>
      </c>
      <c r="S307" s="138" t="s">
        <v>1571</v>
      </c>
      <c r="T307" s="138"/>
      <c r="U307" s="139"/>
      <c r="V307" s="131"/>
      <c r="W307" s="138"/>
      <c r="X307" s="139"/>
      <c r="Y307" s="139"/>
      <c r="Z307" s="131"/>
      <c r="AA307" s="132"/>
      <c r="AB307" s="112"/>
      <c r="AC307" s="79"/>
      <c r="AD307" s="122">
        <f t="shared" si="177"/>
        <v>-1456</v>
      </c>
    </row>
    <row r="308" spans="1:30" ht="230.25" outlineLevel="2" thickBot="1" x14ac:dyDescent="0.25">
      <c r="A308" s="160" t="s">
        <v>1374</v>
      </c>
      <c r="B308" s="363" t="s">
        <v>1240</v>
      </c>
      <c r="C308" s="321" t="s">
        <v>1241</v>
      </c>
      <c r="D308" s="363" t="s">
        <v>1266</v>
      </c>
      <c r="E308" s="136" t="s">
        <v>1117</v>
      </c>
      <c r="F308" s="136" t="s">
        <v>1435</v>
      </c>
      <c r="G308" s="243" t="s">
        <v>242</v>
      </c>
      <c r="H308" s="125" t="s">
        <v>178</v>
      </c>
      <c r="I308" s="126">
        <v>1</v>
      </c>
      <c r="J308" s="140" t="s">
        <v>177</v>
      </c>
      <c r="K308" s="127" t="s">
        <v>160</v>
      </c>
      <c r="L308" s="128">
        <v>1</v>
      </c>
      <c r="M308" s="129">
        <f t="shared" ref="M308:M309" si="213">I308*L308</f>
        <v>1</v>
      </c>
      <c r="N308" s="249" t="s">
        <v>1548</v>
      </c>
      <c r="O308" s="70" t="s">
        <v>101</v>
      </c>
      <c r="P308" s="128">
        <v>5</v>
      </c>
      <c r="Q308" s="130">
        <f t="shared" ref="Q308:Q309" si="214">I308*L308*P308</f>
        <v>5</v>
      </c>
      <c r="R308" s="70" t="s">
        <v>101</v>
      </c>
      <c r="S308" s="70" t="s">
        <v>101</v>
      </c>
      <c r="T308" s="138"/>
      <c r="U308" s="139"/>
      <c r="V308" s="131"/>
      <c r="W308" s="138"/>
      <c r="X308" s="139"/>
      <c r="Y308" s="139"/>
      <c r="Z308" s="131"/>
      <c r="AA308" s="132"/>
      <c r="AB308" s="112"/>
      <c r="AC308" s="79"/>
      <c r="AD308" s="122">
        <f t="shared" si="177"/>
        <v>13716</v>
      </c>
    </row>
    <row r="309" spans="1:30" ht="268.5" outlineLevel="2" thickBot="1" x14ac:dyDescent="0.25">
      <c r="A309" s="160" t="s">
        <v>1375</v>
      </c>
      <c r="B309" s="363"/>
      <c r="C309" s="321"/>
      <c r="D309" s="363"/>
      <c r="E309" s="136" t="s">
        <v>1271</v>
      </c>
      <c r="F309" s="136" t="s">
        <v>277</v>
      </c>
      <c r="G309" s="136" t="s">
        <v>278</v>
      </c>
      <c r="H309" s="125" t="s">
        <v>178</v>
      </c>
      <c r="I309" s="126">
        <v>3</v>
      </c>
      <c r="J309" s="140" t="s">
        <v>177</v>
      </c>
      <c r="K309" s="127" t="s">
        <v>160</v>
      </c>
      <c r="L309" s="128">
        <v>1</v>
      </c>
      <c r="M309" s="129">
        <f t="shared" si="213"/>
        <v>3</v>
      </c>
      <c r="N309" s="249" t="s">
        <v>1548</v>
      </c>
      <c r="O309" s="70" t="s">
        <v>199</v>
      </c>
      <c r="P309" s="128">
        <v>2</v>
      </c>
      <c r="Q309" s="130">
        <f t="shared" si="214"/>
        <v>6</v>
      </c>
      <c r="R309" s="238" t="s">
        <v>1480</v>
      </c>
      <c r="S309" s="138" t="s">
        <v>1571</v>
      </c>
      <c r="T309" s="138"/>
      <c r="U309" s="139"/>
      <c r="V309" s="131"/>
      <c r="W309" s="138"/>
      <c r="X309" s="139"/>
      <c r="Y309" s="139"/>
      <c r="Z309" s="131"/>
      <c r="AA309" s="132"/>
      <c r="AB309" s="112"/>
      <c r="AC309" s="79"/>
      <c r="AD309" s="122">
        <f t="shared" si="177"/>
        <v>13717</v>
      </c>
    </row>
    <row r="310" spans="1:30" ht="230.25" outlineLevel="2" thickBot="1" x14ac:dyDescent="0.25">
      <c r="A310" s="160" t="s">
        <v>1376</v>
      </c>
      <c r="B310" s="363" t="s">
        <v>698</v>
      </c>
      <c r="C310" s="321" t="s">
        <v>1242</v>
      </c>
      <c r="D310" s="351" t="s">
        <v>699</v>
      </c>
      <c r="E310" s="136" t="s">
        <v>700</v>
      </c>
      <c r="F310" s="136" t="s">
        <v>276</v>
      </c>
      <c r="G310" s="243" t="s">
        <v>242</v>
      </c>
      <c r="H310" s="125" t="s">
        <v>178</v>
      </c>
      <c r="I310" s="126">
        <v>1</v>
      </c>
      <c r="J310" s="140" t="s">
        <v>177</v>
      </c>
      <c r="K310" s="127" t="s">
        <v>160</v>
      </c>
      <c r="L310" s="128">
        <v>2</v>
      </c>
      <c r="M310" s="129">
        <f t="shared" ref="M310:M311" si="215">I310*L310</f>
        <v>2</v>
      </c>
      <c r="N310" s="249" t="s">
        <v>1548</v>
      </c>
      <c r="O310" s="70" t="s">
        <v>101</v>
      </c>
      <c r="P310" s="128">
        <v>5</v>
      </c>
      <c r="Q310" s="130">
        <f t="shared" ref="Q310:Q311" si="216">I310*L310*P310</f>
        <v>10</v>
      </c>
      <c r="R310" s="70" t="s">
        <v>101</v>
      </c>
      <c r="S310" s="70" t="s">
        <v>101</v>
      </c>
      <c r="T310" s="138"/>
      <c r="U310" s="139"/>
      <c r="V310" s="131"/>
      <c r="W310" s="138"/>
      <c r="X310" s="139"/>
      <c r="Y310" s="139"/>
      <c r="Z310" s="131"/>
      <c r="AA310" s="132"/>
      <c r="AB310" s="112"/>
      <c r="AC310" s="79"/>
      <c r="AD310" s="122">
        <f t="shared" si="177"/>
        <v>13718</v>
      </c>
    </row>
    <row r="311" spans="1:30" ht="268.5" outlineLevel="2" thickBot="1" x14ac:dyDescent="0.25">
      <c r="A311" s="160" t="s">
        <v>1377</v>
      </c>
      <c r="B311" s="363"/>
      <c r="C311" s="321"/>
      <c r="D311" s="352"/>
      <c r="E311" s="136" t="s">
        <v>701</v>
      </c>
      <c r="F311" s="136" t="s">
        <v>277</v>
      </c>
      <c r="G311" s="136" t="s">
        <v>278</v>
      </c>
      <c r="H311" s="125" t="s">
        <v>178</v>
      </c>
      <c r="I311" s="126">
        <v>3</v>
      </c>
      <c r="J311" s="140" t="s">
        <v>177</v>
      </c>
      <c r="K311" s="127" t="s">
        <v>160</v>
      </c>
      <c r="L311" s="128">
        <v>2</v>
      </c>
      <c r="M311" s="129">
        <f t="shared" si="215"/>
        <v>6</v>
      </c>
      <c r="N311" s="249" t="s">
        <v>1548</v>
      </c>
      <c r="O311" s="70" t="s">
        <v>199</v>
      </c>
      <c r="P311" s="128">
        <v>2</v>
      </c>
      <c r="Q311" s="130">
        <f t="shared" si="216"/>
        <v>12</v>
      </c>
      <c r="R311" s="238" t="s">
        <v>1480</v>
      </c>
      <c r="S311" s="138" t="s">
        <v>1571</v>
      </c>
      <c r="T311" s="138"/>
      <c r="U311" s="139"/>
      <c r="V311" s="131"/>
      <c r="W311" s="138"/>
      <c r="X311" s="139"/>
      <c r="Y311" s="139"/>
      <c r="Z311" s="131"/>
      <c r="AA311" s="132"/>
      <c r="AB311" s="112"/>
      <c r="AC311" s="79"/>
      <c r="AD311" s="122">
        <f t="shared" si="177"/>
        <v>13719</v>
      </c>
    </row>
    <row r="312" spans="1:30" ht="230.25" outlineLevel="2" thickBot="1" x14ac:dyDescent="0.25">
      <c r="A312" s="118" t="s">
        <v>1378</v>
      </c>
      <c r="B312" s="348" t="s">
        <v>1237</v>
      </c>
      <c r="C312" s="310" t="s">
        <v>1238</v>
      </c>
      <c r="D312" s="351" t="s">
        <v>1239</v>
      </c>
      <c r="E312" s="136" t="s">
        <v>704</v>
      </c>
      <c r="F312" s="136" t="s">
        <v>276</v>
      </c>
      <c r="G312" s="243" t="s">
        <v>242</v>
      </c>
      <c r="H312" s="125" t="s">
        <v>178</v>
      </c>
      <c r="I312" s="126">
        <v>1</v>
      </c>
      <c r="J312" s="140" t="s">
        <v>177</v>
      </c>
      <c r="K312" s="127" t="s">
        <v>160</v>
      </c>
      <c r="L312" s="128">
        <v>2</v>
      </c>
      <c r="M312" s="129">
        <f t="shared" ref="M312:M313" si="217">I312*L312</f>
        <v>2</v>
      </c>
      <c r="N312" s="249" t="s">
        <v>1548</v>
      </c>
      <c r="O312" s="70" t="s">
        <v>101</v>
      </c>
      <c r="P312" s="128">
        <v>5</v>
      </c>
      <c r="Q312" s="130">
        <f t="shared" ref="Q312:Q313" si="218">I312*L312*P312</f>
        <v>10</v>
      </c>
      <c r="R312" s="70" t="s">
        <v>101</v>
      </c>
      <c r="S312" s="70" t="s">
        <v>101</v>
      </c>
      <c r="T312" s="138"/>
      <c r="U312" s="139"/>
      <c r="V312" s="131"/>
      <c r="W312" s="138"/>
      <c r="X312" s="139"/>
      <c r="Y312" s="139"/>
      <c r="Z312" s="131"/>
      <c r="AA312" s="132"/>
      <c r="AB312" s="112"/>
      <c r="AC312" s="79"/>
      <c r="AD312" s="122">
        <f t="shared" si="177"/>
        <v>13720</v>
      </c>
    </row>
    <row r="313" spans="1:30" ht="268.5" outlineLevel="2" thickBot="1" x14ac:dyDescent="0.25">
      <c r="A313" s="118" t="s">
        <v>1379</v>
      </c>
      <c r="B313" s="309"/>
      <c r="C313" s="313"/>
      <c r="D313" s="352"/>
      <c r="E313" s="136" t="s">
        <v>496</v>
      </c>
      <c r="F313" s="136" t="s">
        <v>277</v>
      </c>
      <c r="G313" s="136" t="s">
        <v>278</v>
      </c>
      <c r="H313" s="125" t="s">
        <v>178</v>
      </c>
      <c r="I313" s="126">
        <v>3</v>
      </c>
      <c r="J313" s="140" t="s">
        <v>177</v>
      </c>
      <c r="K313" s="127" t="s">
        <v>160</v>
      </c>
      <c r="L313" s="128">
        <v>2</v>
      </c>
      <c r="M313" s="129">
        <f t="shared" si="217"/>
        <v>6</v>
      </c>
      <c r="N313" s="249" t="s">
        <v>1548</v>
      </c>
      <c r="O313" s="70" t="s">
        <v>199</v>
      </c>
      <c r="P313" s="128">
        <v>2</v>
      </c>
      <c r="Q313" s="130">
        <f t="shared" si="218"/>
        <v>12</v>
      </c>
      <c r="R313" s="238" t="s">
        <v>1480</v>
      </c>
      <c r="S313" s="138" t="s">
        <v>1571</v>
      </c>
      <c r="T313" s="138"/>
      <c r="U313" s="139"/>
      <c r="V313" s="131"/>
      <c r="W313" s="138"/>
      <c r="X313" s="139"/>
      <c r="Y313" s="139"/>
      <c r="Z313" s="131"/>
      <c r="AA313" s="132"/>
      <c r="AB313" s="112"/>
      <c r="AC313" s="79"/>
      <c r="AD313" s="122">
        <f t="shared" si="177"/>
        <v>13721</v>
      </c>
    </row>
    <row r="314" spans="1:30" ht="230.25" outlineLevel="2" thickBot="1" x14ac:dyDescent="0.25">
      <c r="A314" s="118" t="s">
        <v>439</v>
      </c>
      <c r="B314" s="134" t="s">
        <v>702</v>
      </c>
      <c r="C314" s="310" t="s">
        <v>1034</v>
      </c>
      <c r="D314" s="351" t="s">
        <v>703</v>
      </c>
      <c r="E314" s="136" t="s">
        <v>704</v>
      </c>
      <c r="F314" s="136" t="s">
        <v>276</v>
      </c>
      <c r="G314" s="243" t="s">
        <v>242</v>
      </c>
      <c r="H314" s="125" t="s">
        <v>178</v>
      </c>
      <c r="I314" s="126">
        <v>1</v>
      </c>
      <c r="J314" s="140" t="s">
        <v>177</v>
      </c>
      <c r="K314" s="127" t="s">
        <v>160</v>
      </c>
      <c r="L314" s="128">
        <v>2</v>
      </c>
      <c r="M314" s="129">
        <v>1</v>
      </c>
      <c r="N314" s="249" t="s">
        <v>1548</v>
      </c>
      <c r="O314" s="70" t="s">
        <v>101</v>
      </c>
      <c r="P314" s="128">
        <v>5</v>
      </c>
      <c r="Q314" s="130">
        <f t="shared" si="201"/>
        <v>10</v>
      </c>
      <c r="R314" s="70" t="s">
        <v>101</v>
      </c>
      <c r="S314" s="70" t="s">
        <v>101</v>
      </c>
      <c r="T314" s="138"/>
      <c r="U314" s="139"/>
      <c r="V314" s="131"/>
      <c r="W314" s="138"/>
      <c r="X314" s="139"/>
      <c r="Y314" s="139"/>
      <c r="Z314" s="131"/>
      <c r="AA314" s="132"/>
      <c r="AB314" s="112"/>
      <c r="AC314" s="79"/>
      <c r="AD314" s="122">
        <f t="shared" si="177"/>
        <v>-1457</v>
      </c>
    </row>
    <row r="315" spans="1:30" ht="268.5" outlineLevel="2" thickBot="1" x14ac:dyDescent="0.25">
      <c r="A315" s="118" t="s">
        <v>440</v>
      </c>
      <c r="B315" s="135"/>
      <c r="C315" s="313"/>
      <c r="D315" s="352"/>
      <c r="E315" s="136" t="s">
        <v>496</v>
      </c>
      <c r="F315" s="136" t="s">
        <v>277</v>
      </c>
      <c r="G315" s="136" t="s">
        <v>278</v>
      </c>
      <c r="H315" s="125" t="s">
        <v>178</v>
      </c>
      <c r="I315" s="126">
        <v>3</v>
      </c>
      <c r="J315" s="140" t="s">
        <v>177</v>
      </c>
      <c r="K315" s="127" t="s">
        <v>160</v>
      </c>
      <c r="L315" s="128">
        <v>2</v>
      </c>
      <c r="M315" s="129">
        <f t="shared" si="200"/>
        <v>6</v>
      </c>
      <c r="N315" s="249" t="s">
        <v>1548</v>
      </c>
      <c r="O315" s="70" t="s">
        <v>199</v>
      </c>
      <c r="P315" s="128">
        <v>2</v>
      </c>
      <c r="Q315" s="130">
        <f t="shared" si="201"/>
        <v>12</v>
      </c>
      <c r="R315" s="238" t="s">
        <v>1480</v>
      </c>
      <c r="S315" s="138" t="s">
        <v>1571</v>
      </c>
      <c r="T315" s="138"/>
      <c r="U315" s="139"/>
      <c r="V315" s="131"/>
      <c r="W315" s="138"/>
      <c r="X315" s="139"/>
      <c r="Y315" s="139"/>
      <c r="Z315" s="131"/>
      <c r="AA315" s="132"/>
      <c r="AB315" s="112"/>
      <c r="AC315" s="79"/>
      <c r="AD315" s="122">
        <f t="shared" si="177"/>
        <v>-1458</v>
      </c>
    </row>
    <row r="316" spans="1:30" ht="230.25" outlineLevel="2" thickBot="1" x14ac:dyDescent="0.25">
      <c r="A316" s="118" t="s">
        <v>441</v>
      </c>
      <c r="B316" s="134" t="s">
        <v>705</v>
      </c>
      <c r="C316" s="310" t="s">
        <v>1035</v>
      </c>
      <c r="D316" s="351" t="s">
        <v>706</v>
      </c>
      <c r="E316" s="136" t="s">
        <v>704</v>
      </c>
      <c r="F316" s="136" t="s">
        <v>276</v>
      </c>
      <c r="G316" s="243" t="s">
        <v>242</v>
      </c>
      <c r="H316" s="125" t="s">
        <v>178</v>
      </c>
      <c r="I316" s="126">
        <v>1</v>
      </c>
      <c r="J316" s="140" t="s">
        <v>177</v>
      </c>
      <c r="K316" s="127" t="s">
        <v>160</v>
      </c>
      <c r="L316" s="128">
        <v>2</v>
      </c>
      <c r="M316" s="129">
        <f t="shared" si="200"/>
        <v>2</v>
      </c>
      <c r="N316" s="249" t="s">
        <v>1548</v>
      </c>
      <c r="O316" s="70" t="s">
        <v>101</v>
      </c>
      <c r="P316" s="128">
        <v>5</v>
      </c>
      <c r="Q316" s="130">
        <f t="shared" si="201"/>
        <v>10</v>
      </c>
      <c r="R316" s="70" t="s">
        <v>101</v>
      </c>
      <c r="S316" s="70" t="s">
        <v>101</v>
      </c>
      <c r="T316" s="138"/>
      <c r="U316" s="139"/>
      <c r="V316" s="131"/>
      <c r="W316" s="138"/>
      <c r="X316" s="139"/>
      <c r="Y316" s="139"/>
      <c r="Z316" s="131"/>
      <c r="AA316" s="132"/>
      <c r="AB316" s="112"/>
      <c r="AC316" s="79"/>
      <c r="AD316" s="122">
        <f t="shared" si="177"/>
        <v>-1459</v>
      </c>
    </row>
    <row r="317" spans="1:30" ht="268.5" outlineLevel="2" thickBot="1" x14ac:dyDescent="0.25">
      <c r="A317" s="118" t="s">
        <v>442</v>
      </c>
      <c r="B317" s="135" t="s">
        <v>505</v>
      </c>
      <c r="C317" s="313"/>
      <c r="D317" s="352"/>
      <c r="E317" s="136" t="s">
        <v>496</v>
      </c>
      <c r="F317" s="136" t="s">
        <v>277</v>
      </c>
      <c r="G317" s="136" t="s">
        <v>278</v>
      </c>
      <c r="H317" s="125" t="s">
        <v>178</v>
      </c>
      <c r="I317" s="126">
        <v>3</v>
      </c>
      <c r="J317" s="140" t="s">
        <v>177</v>
      </c>
      <c r="K317" s="127" t="s">
        <v>160</v>
      </c>
      <c r="L317" s="128">
        <v>2</v>
      </c>
      <c r="M317" s="129">
        <f t="shared" si="200"/>
        <v>6</v>
      </c>
      <c r="N317" s="249" t="s">
        <v>1548</v>
      </c>
      <c r="O317" s="70" t="s">
        <v>199</v>
      </c>
      <c r="P317" s="128">
        <v>2</v>
      </c>
      <c r="Q317" s="130">
        <f t="shared" si="201"/>
        <v>12</v>
      </c>
      <c r="R317" s="238" t="s">
        <v>1480</v>
      </c>
      <c r="S317" s="138" t="s">
        <v>1571</v>
      </c>
      <c r="T317" s="138"/>
      <c r="U317" s="139"/>
      <c r="V317" s="131"/>
      <c r="W317" s="138"/>
      <c r="X317" s="139"/>
      <c r="Y317" s="139"/>
      <c r="Z317" s="131"/>
      <c r="AA317" s="132"/>
      <c r="AB317" s="112"/>
      <c r="AC317" s="79"/>
      <c r="AD317" s="122">
        <f t="shared" si="177"/>
        <v>-1460</v>
      </c>
    </row>
    <row r="318" spans="1:30" ht="268.5" outlineLevel="2" thickBot="1" x14ac:dyDescent="0.25">
      <c r="A318" s="118" t="s">
        <v>443</v>
      </c>
      <c r="B318" s="136" t="s">
        <v>707</v>
      </c>
      <c r="C318" s="310" t="s">
        <v>1026</v>
      </c>
      <c r="D318" s="136" t="s">
        <v>708</v>
      </c>
      <c r="E318" s="136" t="s">
        <v>165</v>
      </c>
      <c r="F318" s="136" t="s">
        <v>277</v>
      </c>
      <c r="G318" s="136" t="s">
        <v>278</v>
      </c>
      <c r="H318" s="125" t="s">
        <v>178</v>
      </c>
      <c r="I318" s="126">
        <v>3</v>
      </c>
      <c r="J318" s="140" t="s">
        <v>177</v>
      </c>
      <c r="K318" s="127" t="s">
        <v>160</v>
      </c>
      <c r="L318" s="128">
        <v>2</v>
      </c>
      <c r="M318" s="129">
        <f t="shared" si="200"/>
        <v>6</v>
      </c>
      <c r="N318" s="249" t="s">
        <v>1548</v>
      </c>
      <c r="O318" s="70" t="s">
        <v>199</v>
      </c>
      <c r="P318" s="128">
        <v>2</v>
      </c>
      <c r="Q318" s="130">
        <f t="shared" si="201"/>
        <v>12</v>
      </c>
      <c r="R318" s="238" t="s">
        <v>1480</v>
      </c>
      <c r="S318" s="138" t="s">
        <v>1571</v>
      </c>
      <c r="T318" s="138"/>
      <c r="U318" s="139"/>
      <c r="V318" s="131"/>
      <c r="W318" s="138"/>
      <c r="X318" s="139"/>
      <c r="Y318" s="139"/>
      <c r="Z318" s="131"/>
      <c r="AA318" s="132"/>
      <c r="AB318" s="112"/>
      <c r="AC318" s="79"/>
      <c r="AD318" s="122">
        <f t="shared" si="177"/>
        <v>-1461</v>
      </c>
    </row>
    <row r="319" spans="1:30" ht="268.5" outlineLevel="2" thickBot="1" x14ac:dyDescent="0.25">
      <c r="A319" s="118" t="s">
        <v>865</v>
      </c>
      <c r="B319" s="136"/>
      <c r="C319" s="313"/>
      <c r="D319" s="136"/>
      <c r="E319" s="136" t="s">
        <v>494</v>
      </c>
      <c r="F319" s="136" t="s">
        <v>759</v>
      </c>
      <c r="G319" s="136" t="s">
        <v>278</v>
      </c>
      <c r="H319" s="125" t="s">
        <v>178</v>
      </c>
      <c r="I319" s="126">
        <v>3</v>
      </c>
      <c r="J319" s="140" t="s">
        <v>177</v>
      </c>
      <c r="K319" s="127" t="s">
        <v>160</v>
      </c>
      <c r="L319" s="128">
        <v>2</v>
      </c>
      <c r="M319" s="129">
        <f t="shared" ref="M319" si="219">I319*L319</f>
        <v>6</v>
      </c>
      <c r="N319" s="249" t="s">
        <v>1548</v>
      </c>
      <c r="O319" s="70" t="s">
        <v>199</v>
      </c>
      <c r="P319" s="128">
        <v>2</v>
      </c>
      <c r="Q319" s="130">
        <f t="shared" ref="Q319" si="220">I319*L319*P319</f>
        <v>12</v>
      </c>
      <c r="R319" s="238" t="s">
        <v>1480</v>
      </c>
      <c r="S319" s="138" t="s">
        <v>1571</v>
      </c>
      <c r="T319" s="138"/>
      <c r="U319" s="139"/>
      <c r="V319" s="131"/>
      <c r="W319" s="138"/>
      <c r="X319" s="139"/>
      <c r="Y319" s="139"/>
      <c r="Z319" s="131"/>
      <c r="AA319" s="132"/>
      <c r="AB319" s="112"/>
      <c r="AC319" s="79"/>
      <c r="AD319" s="122">
        <f t="shared" si="177"/>
        <v>-5149</v>
      </c>
    </row>
    <row r="320" spans="1:30" ht="268.5" outlineLevel="2" thickBot="1" x14ac:dyDescent="0.25">
      <c r="A320" s="118" t="s">
        <v>444</v>
      </c>
      <c r="B320" s="136" t="s">
        <v>709</v>
      </c>
      <c r="C320" s="310" t="s">
        <v>1027</v>
      </c>
      <c r="D320" s="136" t="s">
        <v>710</v>
      </c>
      <c r="E320" s="136" t="s">
        <v>283</v>
      </c>
      <c r="F320" s="136" t="s">
        <v>277</v>
      </c>
      <c r="G320" s="136" t="s">
        <v>278</v>
      </c>
      <c r="H320" s="125" t="s">
        <v>178</v>
      </c>
      <c r="I320" s="126">
        <v>3</v>
      </c>
      <c r="J320" s="140" t="s">
        <v>177</v>
      </c>
      <c r="K320" s="127" t="s">
        <v>160</v>
      </c>
      <c r="L320" s="128">
        <v>2</v>
      </c>
      <c r="M320" s="129">
        <f t="shared" si="200"/>
        <v>6</v>
      </c>
      <c r="N320" s="249" t="s">
        <v>1548</v>
      </c>
      <c r="O320" s="70" t="s">
        <v>199</v>
      </c>
      <c r="P320" s="128">
        <v>2</v>
      </c>
      <c r="Q320" s="130">
        <f t="shared" si="201"/>
        <v>12</v>
      </c>
      <c r="R320" s="238" t="s">
        <v>1480</v>
      </c>
      <c r="S320" s="138" t="s">
        <v>1571</v>
      </c>
      <c r="T320" s="138"/>
      <c r="U320" s="139"/>
      <c r="V320" s="131"/>
      <c r="W320" s="138"/>
      <c r="X320" s="139"/>
      <c r="Y320" s="139"/>
      <c r="Z320" s="131"/>
      <c r="AA320" s="132"/>
      <c r="AB320" s="112"/>
      <c r="AC320" s="79"/>
      <c r="AD320" s="122">
        <f t="shared" si="177"/>
        <v>-1462</v>
      </c>
    </row>
    <row r="321" spans="1:30" ht="268.5" outlineLevel="2" thickBot="1" x14ac:dyDescent="0.25">
      <c r="A321" s="118" t="s">
        <v>866</v>
      </c>
      <c r="B321" s="136"/>
      <c r="C321" s="313"/>
      <c r="D321" s="136"/>
      <c r="E321" s="136" t="s">
        <v>760</v>
      </c>
      <c r="F321" s="136" t="s">
        <v>761</v>
      </c>
      <c r="G321" s="136" t="s">
        <v>278</v>
      </c>
      <c r="H321" s="125" t="s">
        <v>178</v>
      </c>
      <c r="I321" s="126">
        <v>3</v>
      </c>
      <c r="J321" s="140" t="s">
        <v>177</v>
      </c>
      <c r="K321" s="127" t="s">
        <v>160</v>
      </c>
      <c r="L321" s="128">
        <v>2</v>
      </c>
      <c r="M321" s="129">
        <f t="shared" ref="M321" si="221">I321*L321</f>
        <v>6</v>
      </c>
      <c r="N321" s="249" t="s">
        <v>1548</v>
      </c>
      <c r="O321" s="70" t="s">
        <v>199</v>
      </c>
      <c r="P321" s="128">
        <v>2</v>
      </c>
      <c r="Q321" s="130">
        <f t="shared" ref="Q321" si="222">I321*L321*P321</f>
        <v>12</v>
      </c>
      <c r="R321" s="238" t="s">
        <v>1480</v>
      </c>
      <c r="S321" s="138" t="s">
        <v>1571</v>
      </c>
      <c r="T321" s="138"/>
      <c r="U321" s="139"/>
      <c r="V321" s="131"/>
      <c r="W321" s="138"/>
      <c r="X321" s="139"/>
      <c r="Y321" s="139"/>
      <c r="Z321" s="131"/>
      <c r="AA321" s="132"/>
      <c r="AB321" s="112"/>
      <c r="AC321" s="79"/>
      <c r="AD321" s="122">
        <f t="shared" si="177"/>
        <v>-5150</v>
      </c>
    </row>
    <row r="322" spans="1:30" ht="230.25" outlineLevel="2" thickBot="1" x14ac:dyDescent="0.25">
      <c r="A322" s="118" t="s">
        <v>445</v>
      </c>
      <c r="B322" s="136" t="s">
        <v>711</v>
      </c>
      <c r="C322" s="310" t="s">
        <v>1028</v>
      </c>
      <c r="D322" s="136" t="s">
        <v>712</v>
      </c>
      <c r="E322" s="136" t="s">
        <v>156</v>
      </c>
      <c r="F322" s="136" t="s">
        <v>280</v>
      </c>
      <c r="G322" s="243" t="s">
        <v>242</v>
      </c>
      <c r="H322" s="125" t="s">
        <v>178</v>
      </c>
      <c r="I322" s="126">
        <v>1</v>
      </c>
      <c r="J322" s="140" t="s">
        <v>177</v>
      </c>
      <c r="K322" s="127" t="s">
        <v>160</v>
      </c>
      <c r="L322" s="128">
        <v>1</v>
      </c>
      <c r="M322" s="129">
        <f t="shared" si="200"/>
        <v>1</v>
      </c>
      <c r="N322" s="249" t="s">
        <v>1548</v>
      </c>
      <c r="O322" s="70" t="s">
        <v>101</v>
      </c>
      <c r="P322" s="128">
        <v>5</v>
      </c>
      <c r="Q322" s="130">
        <f t="shared" si="201"/>
        <v>5</v>
      </c>
      <c r="R322" s="70" t="s">
        <v>101</v>
      </c>
      <c r="S322" s="70" t="s">
        <v>101</v>
      </c>
      <c r="T322" s="138"/>
      <c r="U322" s="139"/>
      <c r="V322" s="131"/>
      <c r="W322" s="138"/>
      <c r="X322" s="139"/>
      <c r="Y322" s="139"/>
      <c r="Z322" s="131"/>
      <c r="AA322" s="132"/>
      <c r="AB322" s="112"/>
      <c r="AC322" s="79"/>
      <c r="AD322" s="122">
        <f t="shared" si="177"/>
        <v>-1463</v>
      </c>
    </row>
    <row r="323" spans="1:30" ht="230.25" outlineLevel="2" thickBot="1" x14ac:dyDescent="0.25">
      <c r="A323" s="118" t="s">
        <v>867</v>
      </c>
      <c r="B323" s="136"/>
      <c r="C323" s="313"/>
      <c r="D323" s="136"/>
      <c r="E323" s="136" t="s">
        <v>492</v>
      </c>
      <c r="F323" s="136" t="s">
        <v>875</v>
      </c>
      <c r="G323" s="243" t="s">
        <v>242</v>
      </c>
      <c r="H323" s="125" t="s">
        <v>178</v>
      </c>
      <c r="I323" s="126">
        <v>1</v>
      </c>
      <c r="J323" s="140" t="s">
        <v>177</v>
      </c>
      <c r="K323" s="127" t="s">
        <v>160</v>
      </c>
      <c r="L323" s="128">
        <v>1</v>
      </c>
      <c r="M323" s="129">
        <f t="shared" ref="M323" si="223">I323*L323</f>
        <v>1</v>
      </c>
      <c r="N323" s="249" t="s">
        <v>1548</v>
      </c>
      <c r="O323" s="70" t="s">
        <v>101</v>
      </c>
      <c r="P323" s="128">
        <v>5</v>
      </c>
      <c r="Q323" s="130">
        <f t="shared" ref="Q323" si="224">I323*L323*P323</f>
        <v>5</v>
      </c>
      <c r="R323" s="70" t="s">
        <v>101</v>
      </c>
      <c r="S323" s="70" t="s">
        <v>101</v>
      </c>
      <c r="T323" s="138"/>
      <c r="U323" s="139"/>
      <c r="V323" s="131"/>
      <c r="W323" s="138"/>
      <c r="X323" s="139"/>
      <c r="Y323" s="139"/>
      <c r="Z323" s="131"/>
      <c r="AA323" s="132"/>
      <c r="AB323" s="112"/>
      <c r="AC323" s="79"/>
      <c r="AD323" s="122">
        <f t="shared" si="177"/>
        <v>-5151</v>
      </c>
    </row>
    <row r="324" spans="1:30" ht="75" customHeight="1" outlineLevel="2" thickBot="1" x14ac:dyDescent="0.25">
      <c r="A324" s="118" t="s">
        <v>446</v>
      </c>
      <c r="B324" s="136" t="s">
        <v>713</v>
      </c>
      <c r="C324" s="250" t="s">
        <v>1029</v>
      </c>
      <c r="D324" s="136" t="s">
        <v>213</v>
      </c>
      <c r="E324" s="136" t="s">
        <v>163</v>
      </c>
      <c r="F324" s="136" t="s">
        <v>1472</v>
      </c>
      <c r="G324" s="243" t="s">
        <v>242</v>
      </c>
      <c r="H324" s="125" t="s">
        <v>178</v>
      </c>
      <c r="I324" s="126">
        <v>1</v>
      </c>
      <c r="J324" s="140" t="s">
        <v>177</v>
      </c>
      <c r="K324" s="127" t="s">
        <v>160</v>
      </c>
      <c r="L324" s="128">
        <v>1</v>
      </c>
      <c r="M324" s="129">
        <f t="shared" si="200"/>
        <v>1</v>
      </c>
      <c r="N324" s="249" t="s">
        <v>1548</v>
      </c>
      <c r="O324" s="70" t="s">
        <v>101</v>
      </c>
      <c r="P324" s="128">
        <v>5</v>
      </c>
      <c r="Q324" s="130">
        <f t="shared" si="201"/>
        <v>5</v>
      </c>
      <c r="R324" s="70" t="s">
        <v>101</v>
      </c>
      <c r="S324" s="70" t="s">
        <v>101</v>
      </c>
      <c r="T324" s="138"/>
      <c r="U324" s="139"/>
      <c r="V324" s="131"/>
      <c r="W324" s="138"/>
      <c r="X324" s="139"/>
      <c r="Y324" s="139"/>
      <c r="Z324" s="131"/>
      <c r="AA324" s="132"/>
      <c r="AB324" s="112"/>
      <c r="AC324" s="79"/>
      <c r="AD324" s="122">
        <f t="shared" ref="AD324:AD387" si="225">VALUE(RIGHT((IF(A324="",0,A324)),5))</f>
        <v>-1464</v>
      </c>
    </row>
    <row r="325" spans="1:30" ht="99.75" customHeight="1" outlineLevel="2" thickBot="1" x14ac:dyDescent="0.25">
      <c r="A325" s="118" t="s">
        <v>447</v>
      </c>
      <c r="B325" s="134" t="s">
        <v>714</v>
      </c>
      <c r="C325" s="310" t="s">
        <v>1030</v>
      </c>
      <c r="D325" s="351" t="s">
        <v>195</v>
      </c>
      <c r="E325" s="136" t="s">
        <v>715</v>
      </c>
      <c r="F325" s="136" t="s">
        <v>276</v>
      </c>
      <c r="G325" s="243" t="s">
        <v>242</v>
      </c>
      <c r="H325" s="125" t="s">
        <v>178</v>
      </c>
      <c r="I325" s="126">
        <v>1</v>
      </c>
      <c r="J325" s="140" t="s">
        <v>177</v>
      </c>
      <c r="K325" s="127" t="s">
        <v>160</v>
      </c>
      <c r="L325" s="128">
        <v>2</v>
      </c>
      <c r="M325" s="129">
        <f t="shared" si="200"/>
        <v>2</v>
      </c>
      <c r="N325" s="249" t="s">
        <v>1548</v>
      </c>
      <c r="O325" s="70" t="s">
        <v>101</v>
      </c>
      <c r="P325" s="128">
        <v>5</v>
      </c>
      <c r="Q325" s="130">
        <f t="shared" si="201"/>
        <v>10</v>
      </c>
      <c r="R325" s="70" t="s">
        <v>101</v>
      </c>
      <c r="S325" s="70" t="s">
        <v>101</v>
      </c>
      <c r="T325" s="138"/>
      <c r="U325" s="139"/>
      <c r="V325" s="131"/>
      <c r="W325" s="138"/>
      <c r="X325" s="139"/>
      <c r="Y325" s="139"/>
      <c r="Z325" s="131"/>
      <c r="AA325" s="132"/>
      <c r="AB325" s="112"/>
      <c r="AC325" s="79"/>
      <c r="AD325" s="122">
        <f t="shared" si="225"/>
        <v>-1465</v>
      </c>
    </row>
    <row r="326" spans="1:30" ht="370.5" outlineLevel="2" thickBot="1" x14ac:dyDescent="0.25">
      <c r="A326" s="118" t="s">
        <v>448</v>
      </c>
      <c r="B326" s="135"/>
      <c r="C326" s="313"/>
      <c r="D326" s="352"/>
      <c r="E326" s="136" t="s">
        <v>716</v>
      </c>
      <c r="F326" s="136" t="s">
        <v>281</v>
      </c>
      <c r="G326" s="136" t="s">
        <v>242</v>
      </c>
      <c r="H326" s="125" t="s">
        <v>178</v>
      </c>
      <c r="I326" s="126">
        <v>3</v>
      </c>
      <c r="J326" s="140" t="s">
        <v>177</v>
      </c>
      <c r="K326" s="127" t="s">
        <v>246</v>
      </c>
      <c r="L326" s="128">
        <v>2</v>
      </c>
      <c r="M326" s="129">
        <f t="shared" si="200"/>
        <v>6</v>
      </c>
      <c r="N326" s="249" t="s">
        <v>1548</v>
      </c>
      <c r="O326" s="70" t="s">
        <v>199</v>
      </c>
      <c r="P326" s="128">
        <v>3</v>
      </c>
      <c r="Q326" s="130">
        <f t="shared" si="201"/>
        <v>18</v>
      </c>
      <c r="R326" s="70" t="s">
        <v>1479</v>
      </c>
      <c r="S326" s="70" t="s">
        <v>101</v>
      </c>
      <c r="T326" s="138"/>
      <c r="U326" s="139"/>
      <c r="V326" s="131"/>
      <c r="W326" s="138"/>
      <c r="X326" s="139"/>
      <c r="Y326" s="139"/>
      <c r="Z326" s="131"/>
      <c r="AA326" s="132"/>
      <c r="AB326" s="112"/>
      <c r="AC326" s="79"/>
      <c r="AD326" s="122">
        <f t="shared" si="225"/>
        <v>-1466</v>
      </c>
    </row>
    <row r="327" spans="1:30" ht="370.5" outlineLevel="2" thickBot="1" x14ac:dyDescent="0.25">
      <c r="A327" s="118" t="s">
        <v>449</v>
      </c>
      <c r="B327" s="136" t="s">
        <v>717</v>
      </c>
      <c r="C327" s="310" t="s">
        <v>1031</v>
      </c>
      <c r="D327" s="136" t="s">
        <v>706</v>
      </c>
      <c r="E327" s="136" t="s">
        <v>165</v>
      </c>
      <c r="F327" s="136" t="s">
        <v>281</v>
      </c>
      <c r="G327" s="136" t="s">
        <v>242</v>
      </c>
      <c r="H327" s="125" t="s">
        <v>178</v>
      </c>
      <c r="I327" s="126">
        <v>3</v>
      </c>
      <c r="J327" s="140" t="s">
        <v>177</v>
      </c>
      <c r="K327" s="127" t="s">
        <v>246</v>
      </c>
      <c r="L327" s="128">
        <v>2</v>
      </c>
      <c r="M327" s="129">
        <f t="shared" si="200"/>
        <v>6</v>
      </c>
      <c r="N327" s="249" t="s">
        <v>1548</v>
      </c>
      <c r="O327" s="70" t="s">
        <v>199</v>
      </c>
      <c r="P327" s="128">
        <v>3</v>
      </c>
      <c r="Q327" s="130">
        <f t="shared" si="201"/>
        <v>18</v>
      </c>
      <c r="R327" s="70" t="s">
        <v>1479</v>
      </c>
      <c r="S327" s="70" t="s">
        <v>101</v>
      </c>
      <c r="T327" s="138"/>
      <c r="U327" s="139"/>
      <c r="V327" s="131"/>
      <c r="W327" s="138"/>
      <c r="X327" s="139"/>
      <c r="Y327" s="139"/>
      <c r="Z327" s="131"/>
      <c r="AA327" s="132"/>
      <c r="AB327" s="112"/>
      <c r="AC327" s="79"/>
      <c r="AD327" s="122">
        <f t="shared" si="225"/>
        <v>-1467</v>
      </c>
    </row>
    <row r="328" spans="1:30" ht="370.5" outlineLevel="2" thickBot="1" x14ac:dyDescent="0.25">
      <c r="A328" s="118" t="s">
        <v>868</v>
      </c>
      <c r="B328" s="136"/>
      <c r="C328" s="313"/>
      <c r="D328" s="136"/>
      <c r="E328" s="136" t="s">
        <v>494</v>
      </c>
      <c r="F328" s="136" t="s">
        <v>762</v>
      </c>
      <c r="G328" s="136" t="s">
        <v>242</v>
      </c>
      <c r="H328" s="125" t="s">
        <v>178</v>
      </c>
      <c r="I328" s="126">
        <v>3</v>
      </c>
      <c r="J328" s="140" t="s">
        <v>177</v>
      </c>
      <c r="K328" s="127" t="s">
        <v>246</v>
      </c>
      <c r="L328" s="128">
        <v>2</v>
      </c>
      <c r="M328" s="129">
        <f t="shared" ref="M328" si="226">I328*L328</f>
        <v>6</v>
      </c>
      <c r="N328" s="249" t="s">
        <v>1548</v>
      </c>
      <c r="O328" s="70" t="s">
        <v>199</v>
      </c>
      <c r="P328" s="128">
        <v>3</v>
      </c>
      <c r="Q328" s="130">
        <f t="shared" ref="Q328" si="227">I328*L328*P328</f>
        <v>18</v>
      </c>
      <c r="R328" s="70" t="s">
        <v>1479</v>
      </c>
      <c r="S328" s="70" t="s">
        <v>101</v>
      </c>
      <c r="T328" s="138"/>
      <c r="U328" s="139"/>
      <c r="V328" s="131"/>
      <c r="W328" s="138"/>
      <c r="X328" s="139"/>
      <c r="Y328" s="139"/>
      <c r="Z328" s="131"/>
      <c r="AA328" s="132"/>
      <c r="AB328" s="112"/>
      <c r="AC328" s="79"/>
      <c r="AD328" s="122">
        <f t="shared" si="225"/>
        <v>-5152</v>
      </c>
    </row>
    <row r="329" spans="1:30" ht="370.5" outlineLevel="2" thickBot="1" x14ac:dyDescent="0.25">
      <c r="A329" s="118" t="s">
        <v>450</v>
      </c>
      <c r="B329" s="136" t="s">
        <v>718</v>
      </c>
      <c r="C329" s="310" t="s">
        <v>1032</v>
      </c>
      <c r="D329" s="136" t="s">
        <v>583</v>
      </c>
      <c r="E329" s="136" t="s">
        <v>156</v>
      </c>
      <c r="F329" s="136" t="s">
        <v>281</v>
      </c>
      <c r="G329" s="136" t="s">
        <v>242</v>
      </c>
      <c r="H329" s="125" t="s">
        <v>178</v>
      </c>
      <c r="I329" s="126">
        <v>3</v>
      </c>
      <c r="J329" s="140" t="s">
        <v>177</v>
      </c>
      <c r="K329" s="127" t="s">
        <v>246</v>
      </c>
      <c r="L329" s="128">
        <v>1</v>
      </c>
      <c r="M329" s="129">
        <f t="shared" si="200"/>
        <v>3</v>
      </c>
      <c r="N329" s="249" t="s">
        <v>1548</v>
      </c>
      <c r="O329" s="70" t="s">
        <v>199</v>
      </c>
      <c r="P329" s="128">
        <v>3</v>
      </c>
      <c r="Q329" s="130">
        <f t="shared" si="201"/>
        <v>9</v>
      </c>
      <c r="R329" s="70" t="s">
        <v>1479</v>
      </c>
      <c r="S329" s="70" t="s">
        <v>101</v>
      </c>
      <c r="T329" s="138"/>
      <c r="U329" s="139"/>
      <c r="V329" s="131"/>
      <c r="W329" s="138"/>
      <c r="X329" s="139"/>
      <c r="Y329" s="139"/>
      <c r="Z329" s="131"/>
      <c r="AA329" s="132"/>
      <c r="AB329" s="112"/>
      <c r="AC329" s="79"/>
      <c r="AD329" s="122">
        <f t="shared" si="225"/>
        <v>-1468</v>
      </c>
    </row>
    <row r="330" spans="1:30" ht="370.5" outlineLevel="2" thickBot="1" x14ac:dyDescent="0.25">
      <c r="A330" s="118" t="s">
        <v>869</v>
      </c>
      <c r="B330" s="136"/>
      <c r="C330" s="313"/>
      <c r="D330" s="136"/>
      <c r="E330" s="136" t="s">
        <v>492</v>
      </c>
      <c r="F330" s="136" t="s">
        <v>876</v>
      </c>
      <c r="G330" s="136" t="s">
        <v>242</v>
      </c>
      <c r="H330" s="125" t="s">
        <v>178</v>
      </c>
      <c r="I330" s="126">
        <v>3</v>
      </c>
      <c r="J330" s="140" t="s">
        <v>177</v>
      </c>
      <c r="K330" s="127" t="s">
        <v>246</v>
      </c>
      <c r="L330" s="128">
        <v>1</v>
      </c>
      <c r="M330" s="129">
        <f t="shared" ref="M330" si="228">I330*L330</f>
        <v>3</v>
      </c>
      <c r="N330" s="249" t="s">
        <v>1548</v>
      </c>
      <c r="O330" s="70" t="s">
        <v>199</v>
      </c>
      <c r="P330" s="128">
        <v>3</v>
      </c>
      <c r="Q330" s="130">
        <f t="shared" ref="Q330" si="229">I330*L330*P330</f>
        <v>9</v>
      </c>
      <c r="R330" s="70" t="s">
        <v>1479</v>
      </c>
      <c r="S330" s="70" t="s">
        <v>101</v>
      </c>
      <c r="T330" s="138"/>
      <c r="U330" s="139"/>
      <c r="V330" s="131"/>
      <c r="W330" s="138"/>
      <c r="X330" s="139"/>
      <c r="Y330" s="139"/>
      <c r="Z330" s="131"/>
      <c r="AA330" s="132"/>
      <c r="AB330" s="112"/>
      <c r="AC330" s="79"/>
      <c r="AD330" s="122">
        <f t="shared" si="225"/>
        <v>-5153</v>
      </c>
    </row>
    <row r="331" spans="1:30" ht="230.25" outlineLevel="2" thickBot="1" x14ac:dyDescent="0.25">
      <c r="A331" s="118" t="s">
        <v>451</v>
      </c>
      <c r="B331" s="136" t="s">
        <v>719</v>
      </c>
      <c r="C331" s="310" t="s">
        <v>1037</v>
      </c>
      <c r="D331" s="136" t="s">
        <v>720</v>
      </c>
      <c r="E331" s="136" t="s">
        <v>156</v>
      </c>
      <c r="F331" s="136" t="s">
        <v>282</v>
      </c>
      <c r="G331" s="243" t="s">
        <v>242</v>
      </c>
      <c r="H331" s="125" t="s">
        <v>178</v>
      </c>
      <c r="I331" s="126">
        <v>1</v>
      </c>
      <c r="J331" s="140" t="s">
        <v>177</v>
      </c>
      <c r="K331" s="127" t="s">
        <v>160</v>
      </c>
      <c r="L331" s="128">
        <v>1</v>
      </c>
      <c r="M331" s="129">
        <f t="shared" si="200"/>
        <v>1</v>
      </c>
      <c r="N331" s="249" t="s">
        <v>1548</v>
      </c>
      <c r="O331" s="70" t="s">
        <v>101</v>
      </c>
      <c r="P331" s="128">
        <v>5</v>
      </c>
      <c r="Q331" s="130">
        <f t="shared" si="201"/>
        <v>5</v>
      </c>
      <c r="R331" s="70" t="s">
        <v>101</v>
      </c>
      <c r="S331" s="70" t="s">
        <v>101</v>
      </c>
      <c r="T331" s="138"/>
      <c r="U331" s="139"/>
      <c r="V331" s="131"/>
      <c r="W331" s="138"/>
      <c r="X331" s="139"/>
      <c r="Y331" s="139"/>
      <c r="Z331" s="131"/>
      <c r="AA331" s="132"/>
      <c r="AB331" s="112"/>
      <c r="AC331" s="79"/>
      <c r="AD331" s="122">
        <f t="shared" si="225"/>
        <v>-1469</v>
      </c>
    </row>
    <row r="332" spans="1:30" ht="230.25" outlineLevel="2" thickBot="1" x14ac:dyDescent="0.25">
      <c r="A332" s="118" t="s">
        <v>870</v>
      </c>
      <c r="B332" s="136"/>
      <c r="C332" s="311"/>
      <c r="D332" s="136"/>
      <c r="E332" s="136" t="s">
        <v>492</v>
      </c>
      <c r="F332" s="136" t="s">
        <v>763</v>
      </c>
      <c r="G332" s="243" t="s">
        <v>242</v>
      </c>
      <c r="H332" s="125" t="s">
        <v>178</v>
      </c>
      <c r="I332" s="126">
        <v>1</v>
      </c>
      <c r="J332" s="140" t="s">
        <v>177</v>
      </c>
      <c r="K332" s="127" t="s">
        <v>160</v>
      </c>
      <c r="L332" s="128">
        <v>1</v>
      </c>
      <c r="M332" s="129">
        <f t="shared" ref="M332" si="230">I332*L332</f>
        <v>1</v>
      </c>
      <c r="N332" s="249" t="s">
        <v>1548</v>
      </c>
      <c r="O332" s="70" t="s">
        <v>101</v>
      </c>
      <c r="P332" s="128">
        <v>5</v>
      </c>
      <c r="Q332" s="130">
        <f t="shared" ref="Q332" si="231">I332*L332*P332</f>
        <v>5</v>
      </c>
      <c r="R332" s="70" t="s">
        <v>101</v>
      </c>
      <c r="S332" s="70" t="s">
        <v>101</v>
      </c>
      <c r="T332" s="138"/>
      <c r="U332" s="139"/>
      <c r="V332" s="131"/>
      <c r="W332" s="138"/>
      <c r="X332" s="139"/>
      <c r="Y332" s="139"/>
      <c r="Z332" s="131"/>
      <c r="AA332" s="132"/>
      <c r="AB332" s="112"/>
      <c r="AC332" s="79"/>
      <c r="AD332" s="122">
        <f t="shared" si="225"/>
        <v>-5154</v>
      </c>
    </row>
    <row r="333" spans="1:30" ht="21" outlineLevel="1" thickBot="1" x14ac:dyDescent="0.25">
      <c r="A333" s="118"/>
      <c r="B333" s="80" t="s">
        <v>1572</v>
      </c>
      <c r="C333" s="252"/>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c r="AB333" s="82"/>
      <c r="AC333" s="79"/>
      <c r="AD333" s="122">
        <f t="shared" si="225"/>
        <v>0</v>
      </c>
    </row>
    <row r="334" spans="1:30" ht="230.25" outlineLevel="2" thickBot="1" x14ac:dyDescent="0.25">
      <c r="A334" s="118" t="s">
        <v>452</v>
      </c>
      <c r="B334" s="137" t="s">
        <v>189</v>
      </c>
      <c r="C334" s="312" t="s">
        <v>1038</v>
      </c>
      <c r="D334" s="353" t="s">
        <v>190</v>
      </c>
      <c r="E334" s="136" t="s">
        <v>694</v>
      </c>
      <c r="F334" s="136" t="s">
        <v>1542</v>
      </c>
      <c r="G334" s="243" t="s">
        <v>242</v>
      </c>
      <c r="H334" s="125" t="s">
        <v>178</v>
      </c>
      <c r="I334" s="126">
        <v>2</v>
      </c>
      <c r="J334" s="140" t="s">
        <v>175</v>
      </c>
      <c r="K334" s="127" t="s">
        <v>176</v>
      </c>
      <c r="L334" s="128">
        <v>2</v>
      </c>
      <c r="M334" s="129">
        <f t="shared" ref="M334:M350" si="232">I334*L334</f>
        <v>4</v>
      </c>
      <c r="N334" s="249" t="s">
        <v>1548</v>
      </c>
      <c r="O334" s="70" t="s">
        <v>101</v>
      </c>
      <c r="P334" s="128">
        <v>5</v>
      </c>
      <c r="Q334" s="130">
        <f t="shared" ref="Q334:Q350" si="233">I334*L334*P334</f>
        <v>20</v>
      </c>
      <c r="R334" s="70" t="s">
        <v>101</v>
      </c>
      <c r="S334" s="70" t="s">
        <v>101</v>
      </c>
      <c r="T334" s="138"/>
      <c r="U334" s="139"/>
      <c r="V334" s="131"/>
      <c r="W334" s="138"/>
      <c r="X334" s="139"/>
      <c r="Y334" s="139"/>
      <c r="Z334" s="131"/>
      <c r="AA334" s="132">
        <v>0</v>
      </c>
      <c r="AB334" s="112" t="s">
        <v>106</v>
      </c>
      <c r="AC334" s="79"/>
      <c r="AD334" s="122">
        <f t="shared" si="225"/>
        <v>-1471</v>
      </c>
    </row>
    <row r="335" spans="1:30" ht="230.25" outlineLevel="2" thickBot="1" x14ac:dyDescent="0.25">
      <c r="A335" s="118" t="s">
        <v>453</v>
      </c>
      <c r="B335" s="135"/>
      <c r="C335" s="313"/>
      <c r="D335" s="352"/>
      <c r="E335" s="136" t="s">
        <v>721</v>
      </c>
      <c r="F335" s="136" t="s">
        <v>1543</v>
      </c>
      <c r="G335" s="243" t="s">
        <v>242</v>
      </c>
      <c r="H335" s="125" t="s">
        <v>178</v>
      </c>
      <c r="I335" s="126">
        <v>2</v>
      </c>
      <c r="J335" s="140" t="s">
        <v>175</v>
      </c>
      <c r="K335" s="127" t="s">
        <v>176</v>
      </c>
      <c r="L335" s="128">
        <v>1</v>
      </c>
      <c r="M335" s="129">
        <f t="shared" si="232"/>
        <v>2</v>
      </c>
      <c r="N335" s="249" t="s">
        <v>1548</v>
      </c>
      <c r="O335" s="70" t="s">
        <v>199</v>
      </c>
      <c r="P335" s="128">
        <v>1</v>
      </c>
      <c r="Q335" s="130">
        <f t="shared" si="233"/>
        <v>2</v>
      </c>
      <c r="R335" s="138" t="s">
        <v>1469</v>
      </c>
      <c r="S335" s="138" t="s">
        <v>1549</v>
      </c>
      <c r="T335" s="138"/>
      <c r="U335" s="139"/>
      <c r="V335" s="131"/>
      <c r="W335" s="138"/>
      <c r="X335" s="139"/>
      <c r="Y335" s="139"/>
      <c r="Z335" s="131"/>
      <c r="AA335" s="132"/>
      <c r="AB335" s="112"/>
      <c r="AC335" s="79"/>
      <c r="AD335" s="122">
        <f t="shared" si="225"/>
        <v>-1472</v>
      </c>
    </row>
    <row r="336" spans="1:30" ht="230.25" outlineLevel="2" thickBot="1" x14ac:dyDescent="0.25">
      <c r="A336" s="160" t="s">
        <v>1380</v>
      </c>
      <c r="B336" s="363" t="s">
        <v>1174</v>
      </c>
      <c r="C336" s="321" t="s">
        <v>1175</v>
      </c>
      <c r="D336" s="363" t="s">
        <v>1230</v>
      </c>
      <c r="E336" s="136" t="s">
        <v>1211</v>
      </c>
      <c r="F336" s="136" t="s">
        <v>1231</v>
      </c>
      <c r="G336" s="243" t="s">
        <v>242</v>
      </c>
      <c r="H336" s="125" t="s">
        <v>178</v>
      </c>
      <c r="I336" s="126">
        <v>2</v>
      </c>
      <c r="J336" s="140" t="s">
        <v>175</v>
      </c>
      <c r="K336" s="127" t="s">
        <v>176</v>
      </c>
      <c r="L336" s="128">
        <v>1</v>
      </c>
      <c r="M336" s="129">
        <f t="shared" ref="M336:M337" si="234">I336*L336</f>
        <v>2</v>
      </c>
      <c r="N336" s="249" t="s">
        <v>1548</v>
      </c>
      <c r="O336" s="70" t="s">
        <v>101</v>
      </c>
      <c r="P336" s="128">
        <v>5</v>
      </c>
      <c r="Q336" s="130">
        <f t="shared" ref="Q336:Q337" si="235">I336*L336*P336</f>
        <v>10</v>
      </c>
      <c r="R336" s="70" t="s">
        <v>101</v>
      </c>
      <c r="S336" s="70" t="s">
        <v>101</v>
      </c>
      <c r="T336" s="138"/>
      <c r="U336" s="139"/>
      <c r="V336" s="131"/>
      <c r="W336" s="138"/>
      <c r="X336" s="139"/>
      <c r="Y336" s="139"/>
      <c r="Z336" s="131"/>
      <c r="AA336" s="132"/>
      <c r="AB336" s="112"/>
      <c r="AC336" s="79"/>
      <c r="AD336" s="122">
        <f t="shared" si="225"/>
        <v>13722</v>
      </c>
    </row>
    <row r="337" spans="1:30" ht="230.25" outlineLevel="2" thickBot="1" x14ac:dyDescent="0.25">
      <c r="A337" s="160" t="s">
        <v>1381</v>
      </c>
      <c r="B337" s="363"/>
      <c r="C337" s="321"/>
      <c r="D337" s="363"/>
      <c r="E337" s="136" t="s">
        <v>1207</v>
      </c>
      <c r="F337" s="136" t="s">
        <v>1544</v>
      </c>
      <c r="G337" s="243" t="s">
        <v>242</v>
      </c>
      <c r="H337" s="125" t="s">
        <v>178</v>
      </c>
      <c r="I337" s="126">
        <v>2</v>
      </c>
      <c r="J337" s="140" t="s">
        <v>175</v>
      </c>
      <c r="K337" s="127" t="s">
        <v>176</v>
      </c>
      <c r="L337" s="128">
        <v>1</v>
      </c>
      <c r="M337" s="129">
        <f t="shared" si="234"/>
        <v>2</v>
      </c>
      <c r="N337" s="249" t="s">
        <v>1548</v>
      </c>
      <c r="O337" s="70" t="s">
        <v>199</v>
      </c>
      <c r="P337" s="128">
        <v>1</v>
      </c>
      <c r="Q337" s="130">
        <f t="shared" si="235"/>
        <v>2</v>
      </c>
      <c r="R337" s="138" t="s">
        <v>1469</v>
      </c>
      <c r="S337" s="138" t="s">
        <v>1549</v>
      </c>
      <c r="T337" s="138"/>
      <c r="U337" s="139"/>
      <c r="V337" s="131"/>
      <c r="W337" s="138"/>
      <c r="X337" s="139"/>
      <c r="Y337" s="139"/>
      <c r="Z337" s="131"/>
      <c r="AA337" s="132"/>
      <c r="AB337" s="112"/>
      <c r="AC337" s="79"/>
      <c r="AD337" s="122">
        <f t="shared" si="225"/>
        <v>13723</v>
      </c>
    </row>
    <row r="338" spans="1:30" ht="230.25" outlineLevel="2" thickBot="1" x14ac:dyDescent="0.25">
      <c r="A338" s="160" t="s">
        <v>1382</v>
      </c>
      <c r="B338" s="351" t="s">
        <v>1113</v>
      </c>
      <c r="C338" s="321" t="s">
        <v>1176</v>
      </c>
      <c r="D338" s="351" t="s">
        <v>1110</v>
      </c>
      <c r="E338" s="136" t="s">
        <v>163</v>
      </c>
      <c r="F338" s="136" t="s">
        <v>264</v>
      </c>
      <c r="G338" s="136" t="s">
        <v>242</v>
      </c>
      <c r="H338" s="125" t="s">
        <v>178</v>
      </c>
      <c r="I338" s="126">
        <v>1</v>
      </c>
      <c r="J338" s="140" t="s">
        <v>205</v>
      </c>
      <c r="K338" s="127" t="s">
        <v>160</v>
      </c>
      <c r="L338" s="128">
        <v>1</v>
      </c>
      <c r="M338" s="129">
        <f t="shared" ref="M338:M339" si="236">I338*L338</f>
        <v>1</v>
      </c>
      <c r="N338" s="249" t="s">
        <v>1548</v>
      </c>
      <c r="O338" s="70" t="s">
        <v>101</v>
      </c>
      <c r="P338" s="128">
        <v>5</v>
      </c>
      <c r="Q338" s="130">
        <f t="shared" ref="Q338:Q339" si="237">I338*L338*P338</f>
        <v>5</v>
      </c>
      <c r="R338" s="70" t="s">
        <v>101</v>
      </c>
      <c r="S338" s="70" t="s">
        <v>101</v>
      </c>
      <c r="T338" s="138"/>
      <c r="U338" s="139"/>
      <c r="V338" s="131"/>
      <c r="W338" s="138"/>
      <c r="X338" s="139"/>
      <c r="Y338" s="139"/>
      <c r="Z338" s="131"/>
      <c r="AA338" s="132"/>
      <c r="AB338" s="112"/>
      <c r="AC338" s="79"/>
      <c r="AD338" s="122">
        <f t="shared" si="225"/>
        <v>13724</v>
      </c>
    </row>
    <row r="339" spans="1:30" ht="230.25" outlineLevel="2" thickBot="1" x14ac:dyDescent="0.25">
      <c r="A339" s="160" t="s">
        <v>1383</v>
      </c>
      <c r="B339" s="352"/>
      <c r="C339" s="321"/>
      <c r="D339" s="352"/>
      <c r="E339" s="136" t="s">
        <v>197</v>
      </c>
      <c r="F339" s="136" t="s">
        <v>1111</v>
      </c>
      <c r="G339" s="136" t="s">
        <v>242</v>
      </c>
      <c r="H339" s="125" t="s">
        <v>178</v>
      </c>
      <c r="I339" s="126">
        <v>1</v>
      </c>
      <c r="J339" s="140" t="s">
        <v>205</v>
      </c>
      <c r="K339" s="127" t="s">
        <v>160</v>
      </c>
      <c r="L339" s="128">
        <v>1</v>
      </c>
      <c r="M339" s="129">
        <f t="shared" si="236"/>
        <v>1</v>
      </c>
      <c r="N339" s="249" t="s">
        <v>1548</v>
      </c>
      <c r="O339" s="175" t="s">
        <v>101</v>
      </c>
      <c r="P339" s="128">
        <v>5</v>
      </c>
      <c r="Q339" s="130">
        <f t="shared" si="237"/>
        <v>5</v>
      </c>
      <c r="R339" s="70" t="s">
        <v>101</v>
      </c>
      <c r="S339" s="70" t="s">
        <v>101</v>
      </c>
      <c r="T339" s="138"/>
      <c r="U339" s="139"/>
      <c r="V339" s="131"/>
      <c r="W339" s="138"/>
      <c r="X339" s="139"/>
      <c r="Y339" s="139"/>
      <c r="Z339" s="131"/>
      <c r="AA339" s="132"/>
      <c r="AB339" s="112"/>
      <c r="AC339" s="79"/>
      <c r="AD339" s="122">
        <f t="shared" si="225"/>
        <v>13725</v>
      </c>
    </row>
    <row r="340" spans="1:30" ht="230.25" outlineLevel="2" thickBot="1" x14ac:dyDescent="0.25">
      <c r="A340" s="118" t="s">
        <v>454</v>
      </c>
      <c r="B340" s="134" t="s">
        <v>722</v>
      </c>
      <c r="C340" s="310" t="s">
        <v>1039</v>
      </c>
      <c r="D340" s="351" t="s">
        <v>190</v>
      </c>
      <c r="E340" s="136" t="s">
        <v>694</v>
      </c>
      <c r="F340" s="136" t="s">
        <v>1542</v>
      </c>
      <c r="G340" s="243" t="s">
        <v>242</v>
      </c>
      <c r="H340" s="125" t="s">
        <v>178</v>
      </c>
      <c r="I340" s="126">
        <v>2</v>
      </c>
      <c r="J340" s="140" t="s">
        <v>175</v>
      </c>
      <c r="K340" s="127" t="s">
        <v>176</v>
      </c>
      <c r="L340" s="128">
        <v>2</v>
      </c>
      <c r="M340" s="129">
        <f t="shared" si="232"/>
        <v>4</v>
      </c>
      <c r="N340" s="249" t="s">
        <v>1548</v>
      </c>
      <c r="O340" s="70" t="s">
        <v>101</v>
      </c>
      <c r="P340" s="128">
        <v>5</v>
      </c>
      <c r="Q340" s="130">
        <f t="shared" si="233"/>
        <v>20</v>
      </c>
      <c r="R340" s="70" t="s">
        <v>101</v>
      </c>
      <c r="S340" s="70" t="s">
        <v>101</v>
      </c>
      <c r="T340" s="138"/>
      <c r="U340" s="139"/>
      <c r="V340" s="131"/>
      <c r="W340" s="138"/>
      <c r="X340" s="139"/>
      <c r="Y340" s="139"/>
      <c r="Z340" s="131"/>
      <c r="AA340" s="132"/>
      <c r="AB340" s="112"/>
      <c r="AC340" s="79"/>
      <c r="AD340" s="122">
        <f t="shared" si="225"/>
        <v>-1473</v>
      </c>
    </row>
    <row r="341" spans="1:30" ht="230.25" outlineLevel="2" thickBot="1" x14ac:dyDescent="0.25">
      <c r="A341" s="118" t="s">
        <v>455</v>
      </c>
      <c r="B341" s="135" t="s">
        <v>505</v>
      </c>
      <c r="C341" s="313"/>
      <c r="D341" s="352"/>
      <c r="E341" s="136" t="s">
        <v>721</v>
      </c>
      <c r="F341" s="136" t="s">
        <v>1543</v>
      </c>
      <c r="G341" s="243" t="s">
        <v>242</v>
      </c>
      <c r="H341" s="125" t="s">
        <v>178</v>
      </c>
      <c r="I341" s="126">
        <v>2</v>
      </c>
      <c r="J341" s="140" t="s">
        <v>175</v>
      </c>
      <c r="K341" s="127" t="s">
        <v>176</v>
      </c>
      <c r="L341" s="128">
        <v>1</v>
      </c>
      <c r="M341" s="129">
        <f t="shared" si="232"/>
        <v>2</v>
      </c>
      <c r="N341" s="249" t="s">
        <v>1548</v>
      </c>
      <c r="O341" s="70" t="s">
        <v>199</v>
      </c>
      <c r="P341" s="128">
        <v>1</v>
      </c>
      <c r="Q341" s="130">
        <f t="shared" si="233"/>
        <v>2</v>
      </c>
      <c r="R341" s="138" t="s">
        <v>1469</v>
      </c>
      <c r="S341" s="138" t="s">
        <v>1549</v>
      </c>
      <c r="T341" s="138"/>
      <c r="U341" s="139"/>
      <c r="V341" s="131"/>
      <c r="W341" s="138"/>
      <c r="X341" s="139"/>
      <c r="Y341" s="139"/>
      <c r="Z341" s="131"/>
      <c r="AA341" s="132"/>
      <c r="AB341" s="112"/>
      <c r="AC341" s="79"/>
      <c r="AD341" s="122">
        <f t="shared" si="225"/>
        <v>-1474</v>
      </c>
    </row>
    <row r="342" spans="1:30" ht="230.25" outlineLevel="2" thickBot="1" x14ac:dyDescent="0.25">
      <c r="A342" s="118" t="s">
        <v>456</v>
      </c>
      <c r="B342" s="134" t="s">
        <v>723</v>
      </c>
      <c r="C342" s="310" t="s">
        <v>1040</v>
      </c>
      <c r="D342" s="351" t="s">
        <v>187</v>
      </c>
      <c r="E342" s="136" t="s">
        <v>694</v>
      </c>
      <c r="F342" s="136" t="s">
        <v>1542</v>
      </c>
      <c r="G342" s="243" t="s">
        <v>242</v>
      </c>
      <c r="H342" s="125" t="s">
        <v>178</v>
      </c>
      <c r="I342" s="126">
        <v>2</v>
      </c>
      <c r="J342" s="140" t="s">
        <v>175</v>
      </c>
      <c r="K342" s="127" t="s">
        <v>176</v>
      </c>
      <c r="L342" s="128">
        <v>2</v>
      </c>
      <c r="M342" s="129">
        <f t="shared" si="232"/>
        <v>4</v>
      </c>
      <c r="N342" s="249" t="s">
        <v>1548</v>
      </c>
      <c r="O342" s="70" t="s">
        <v>101</v>
      </c>
      <c r="P342" s="128">
        <v>5</v>
      </c>
      <c r="Q342" s="130">
        <f t="shared" si="233"/>
        <v>20</v>
      </c>
      <c r="R342" s="70" t="s">
        <v>101</v>
      </c>
      <c r="S342" s="70" t="s">
        <v>101</v>
      </c>
      <c r="T342" s="138"/>
      <c r="U342" s="139"/>
      <c r="V342" s="131"/>
      <c r="W342" s="138"/>
      <c r="X342" s="139"/>
      <c r="Y342" s="139"/>
      <c r="Z342" s="131"/>
      <c r="AA342" s="132"/>
      <c r="AB342" s="112"/>
      <c r="AC342" s="79"/>
      <c r="AD342" s="122">
        <f t="shared" si="225"/>
        <v>-1475</v>
      </c>
    </row>
    <row r="343" spans="1:30" ht="230.25" outlineLevel="2" thickBot="1" x14ac:dyDescent="0.25">
      <c r="A343" s="118" t="s">
        <v>457</v>
      </c>
      <c r="B343" s="135" t="s">
        <v>505</v>
      </c>
      <c r="C343" s="313"/>
      <c r="D343" s="352"/>
      <c r="E343" s="136" t="s">
        <v>721</v>
      </c>
      <c r="F343" s="136" t="s">
        <v>1543</v>
      </c>
      <c r="G343" s="243" t="s">
        <v>242</v>
      </c>
      <c r="H343" s="125" t="s">
        <v>178</v>
      </c>
      <c r="I343" s="126">
        <v>2</v>
      </c>
      <c r="J343" s="140" t="s">
        <v>175</v>
      </c>
      <c r="K343" s="127" t="s">
        <v>176</v>
      </c>
      <c r="L343" s="128">
        <v>1</v>
      </c>
      <c r="M343" s="129">
        <f t="shared" si="232"/>
        <v>2</v>
      </c>
      <c r="N343" s="249" t="s">
        <v>1548</v>
      </c>
      <c r="O343" s="70" t="s">
        <v>199</v>
      </c>
      <c r="P343" s="128">
        <v>1</v>
      </c>
      <c r="Q343" s="130">
        <f t="shared" si="233"/>
        <v>2</v>
      </c>
      <c r="R343" s="138" t="s">
        <v>1469</v>
      </c>
      <c r="S343" s="138" t="s">
        <v>1549</v>
      </c>
      <c r="T343" s="138"/>
      <c r="U343" s="139"/>
      <c r="V343" s="131"/>
      <c r="W343" s="138"/>
      <c r="X343" s="139"/>
      <c r="Y343" s="139"/>
      <c r="Z343" s="131"/>
      <c r="AA343" s="132"/>
      <c r="AB343" s="112"/>
      <c r="AC343" s="79"/>
      <c r="AD343" s="122">
        <f t="shared" si="225"/>
        <v>-1476</v>
      </c>
    </row>
    <row r="344" spans="1:30" ht="230.25" outlineLevel="2" thickBot="1" x14ac:dyDescent="0.25">
      <c r="A344" s="118" t="s">
        <v>458</v>
      </c>
      <c r="B344" s="136" t="s">
        <v>724</v>
      </c>
      <c r="C344" s="310" t="s">
        <v>1041</v>
      </c>
      <c r="D344" s="136" t="s">
        <v>725</v>
      </c>
      <c r="E344" s="136" t="s">
        <v>156</v>
      </c>
      <c r="F344" s="136" t="s">
        <v>1542</v>
      </c>
      <c r="G344" s="243" t="s">
        <v>242</v>
      </c>
      <c r="H344" s="125" t="s">
        <v>178</v>
      </c>
      <c r="I344" s="126">
        <v>2</v>
      </c>
      <c r="J344" s="140" t="s">
        <v>175</v>
      </c>
      <c r="K344" s="127" t="s">
        <v>176</v>
      </c>
      <c r="L344" s="128">
        <v>1</v>
      </c>
      <c r="M344" s="129">
        <f t="shared" si="232"/>
        <v>2</v>
      </c>
      <c r="N344" s="249" t="s">
        <v>1548</v>
      </c>
      <c r="O344" s="70" t="s">
        <v>101</v>
      </c>
      <c r="P344" s="128">
        <v>5</v>
      </c>
      <c r="Q344" s="130">
        <f t="shared" si="233"/>
        <v>10</v>
      </c>
      <c r="R344" s="70" t="s">
        <v>101</v>
      </c>
      <c r="S344" s="70" t="s">
        <v>101</v>
      </c>
      <c r="T344" s="138"/>
      <c r="U344" s="139"/>
      <c r="V344" s="131"/>
      <c r="W344" s="138"/>
      <c r="X344" s="139"/>
      <c r="Y344" s="139"/>
      <c r="Z344" s="131"/>
      <c r="AA344" s="132"/>
      <c r="AB344" s="112"/>
      <c r="AC344" s="79"/>
      <c r="AD344" s="122">
        <f t="shared" si="225"/>
        <v>-1477</v>
      </c>
    </row>
    <row r="345" spans="1:30" ht="230.25" outlineLevel="2" thickBot="1" x14ac:dyDescent="0.25">
      <c r="A345" s="118" t="s">
        <v>871</v>
      </c>
      <c r="B345" s="136"/>
      <c r="C345" s="313"/>
      <c r="D345" s="136"/>
      <c r="E345" s="136" t="s">
        <v>492</v>
      </c>
      <c r="F345" s="136" t="s">
        <v>1545</v>
      </c>
      <c r="G345" s="243" t="s">
        <v>242</v>
      </c>
      <c r="H345" s="125" t="s">
        <v>178</v>
      </c>
      <c r="I345" s="126">
        <v>2</v>
      </c>
      <c r="J345" s="140" t="s">
        <v>175</v>
      </c>
      <c r="K345" s="127" t="s">
        <v>176</v>
      </c>
      <c r="L345" s="128">
        <v>1</v>
      </c>
      <c r="M345" s="129">
        <f t="shared" ref="M345:M347" si="238">I345*L345</f>
        <v>2</v>
      </c>
      <c r="N345" s="249" t="s">
        <v>1548</v>
      </c>
      <c r="O345" s="70" t="s">
        <v>101</v>
      </c>
      <c r="P345" s="128">
        <v>5</v>
      </c>
      <c r="Q345" s="130">
        <f t="shared" ref="Q345:Q347" si="239">I345*L345*P345</f>
        <v>10</v>
      </c>
      <c r="R345" s="70" t="s">
        <v>101</v>
      </c>
      <c r="S345" s="70" t="s">
        <v>101</v>
      </c>
      <c r="T345" s="138"/>
      <c r="U345" s="139"/>
      <c r="V345" s="131"/>
      <c r="W345" s="138"/>
      <c r="X345" s="139"/>
      <c r="Y345" s="139"/>
      <c r="Z345" s="131"/>
      <c r="AA345" s="132"/>
      <c r="AB345" s="112"/>
      <c r="AC345" s="79"/>
      <c r="AD345" s="122">
        <f t="shared" si="225"/>
        <v>-5156</v>
      </c>
    </row>
    <row r="346" spans="1:30" ht="230.25" outlineLevel="2" thickBot="1" x14ac:dyDescent="0.25">
      <c r="A346" s="160" t="s">
        <v>1384</v>
      </c>
      <c r="B346" s="351" t="s">
        <v>1181</v>
      </c>
      <c r="C346" s="310" t="s">
        <v>1182</v>
      </c>
      <c r="D346" s="351" t="s">
        <v>1267</v>
      </c>
      <c r="E346" s="136" t="s">
        <v>1268</v>
      </c>
      <c r="F346" s="136" t="s">
        <v>1546</v>
      </c>
      <c r="G346" s="243" t="s">
        <v>242</v>
      </c>
      <c r="H346" s="125" t="s">
        <v>178</v>
      </c>
      <c r="I346" s="126">
        <v>2</v>
      </c>
      <c r="J346" s="140" t="s">
        <v>175</v>
      </c>
      <c r="K346" s="127" t="s">
        <v>176</v>
      </c>
      <c r="L346" s="128">
        <v>1</v>
      </c>
      <c r="M346" s="129">
        <f t="shared" si="238"/>
        <v>2</v>
      </c>
      <c r="N346" s="249" t="s">
        <v>1548</v>
      </c>
      <c r="O346" s="70" t="s">
        <v>199</v>
      </c>
      <c r="P346" s="128">
        <v>1</v>
      </c>
      <c r="Q346" s="130">
        <f t="shared" si="239"/>
        <v>2</v>
      </c>
      <c r="R346" s="138" t="s">
        <v>1469</v>
      </c>
      <c r="S346" s="138" t="s">
        <v>1549</v>
      </c>
      <c r="T346" s="138"/>
      <c r="U346" s="139"/>
      <c r="V346" s="131"/>
      <c r="W346" s="138"/>
      <c r="X346" s="139"/>
      <c r="Y346" s="139"/>
      <c r="Z346" s="131"/>
      <c r="AA346" s="132"/>
      <c r="AB346" s="112"/>
      <c r="AC346" s="79"/>
      <c r="AD346" s="122">
        <f t="shared" si="225"/>
        <v>13726</v>
      </c>
    </row>
    <row r="347" spans="1:30" ht="230.25" outlineLevel="2" thickBot="1" x14ac:dyDescent="0.25">
      <c r="A347" s="160" t="s">
        <v>1385</v>
      </c>
      <c r="B347" s="352"/>
      <c r="C347" s="313"/>
      <c r="D347" s="352"/>
      <c r="E347" s="136" t="s">
        <v>1269</v>
      </c>
      <c r="F347" s="136" t="s">
        <v>1270</v>
      </c>
      <c r="G347" s="243" t="s">
        <v>242</v>
      </c>
      <c r="H347" s="125" t="s">
        <v>178</v>
      </c>
      <c r="I347" s="126">
        <v>2</v>
      </c>
      <c r="J347" s="140" t="s">
        <v>175</v>
      </c>
      <c r="K347" s="127" t="s">
        <v>176</v>
      </c>
      <c r="L347" s="128">
        <v>1</v>
      </c>
      <c r="M347" s="129">
        <f t="shared" si="238"/>
        <v>2</v>
      </c>
      <c r="N347" s="249" t="s">
        <v>1548</v>
      </c>
      <c r="O347" s="70" t="s">
        <v>101</v>
      </c>
      <c r="P347" s="128">
        <v>5</v>
      </c>
      <c r="Q347" s="130">
        <f t="shared" si="239"/>
        <v>10</v>
      </c>
      <c r="R347" s="70" t="s">
        <v>101</v>
      </c>
      <c r="S347" s="70" t="s">
        <v>101</v>
      </c>
      <c r="T347" s="138"/>
      <c r="U347" s="139"/>
      <c r="V347" s="131"/>
      <c r="W347" s="138"/>
      <c r="X347" s="139"/>
      <c r="Y347" s="139"/>
      <c r="Z347" s="131"/>
      <c r="AA347" s="132"/>
      <c r="AB347" s="112"/>
      <c r="AC347" s="79"/>
      <c r="AD347" s="122">
        <f t="shared" si="225"/>
        <v>13727</v>
      </c>
    </row>
    <row r="348" spans="1:30" ht="230.25" outlineLevel="2" thickBot="1" x14ac:dyDescent="0.25">
      <c r="A348" s="118" t="s">
        <v>459</v>
      </c>
      <c r="B348" s="227" t="s">
        <v>726</v>
      </c>
      <c r="C348" s="250" t="s">
        <v>1042</v>
      </c>
      <c r="D348" s="136" t="s">
        <v>727</v>
      </c>
      <c r="E348" s="136" t="s">
        <v>174</v>
      </c>
      <c r="F348" s="136" t="s">
        <v>1542</v>
      </c>
      <c r="G348" s="243" t="s">
        <v>242</v>
      </c>
      <c r="H348" s="125" t="s">
        <v>178</v>
      </c>
      <c r="I348" s="126">
        <v>2</v>
      </c>
      <c r="J348" s="140" t="s">
        <v>175</v>
      </c>
      <c r="K348" s="127" t="s">
        <v>176</v>
      </c>
      <c r="L348" s="128">
        <v>2</v>
      </c>
      <c r="M348" s="129">
        <f t="shared" si="232"/>
        <v>4</v>
      </c>
      <c r="N348" s="249" t="s">
        <v>1548</v>
      </c>
      <c r="O348" s="70" t="s">
        <v>101</v>
      </c>
      <c r="P348" s="128">
        <v>5</v>
      </c>
      <c r="Q348" s="130">
        <f t="shared" si="233"/>
        <v>20</v>
      </c>
      <c r="R348" s="70" t="s">
        <v>101</v>
      </c>
      <c r="S348" s="70" t="s">
        <v>101</v>
      </c>
      <c r="T348" s="138"/>
      <c r="U348" s="139"/>
      <c r="V348" s="131"/>
      <c r="W348" s="138"/>
      <c r="X348" s="139"/>
      <c r="Y348" s="139"/>
      <c r="Z348" s="131"/>
      <c r="AA348" s="132"/>
      <c r="AB348" s="112"/>
      <c r="AC348" s="79"/>
      <c r="AD348" s="122">
        <f t="shared" si="225"/>
        <v>-1478</v>
      </c>
    </row>
    <row r="349" spans="1:30" ht="230.25" outlineLevel="2" thickBot="1" x14ac:dyDescent="0.25">
      <c r="A349" s="160" t="s">
        <v>1386</v>
      </c>
      <c r="B349" s="228" t="s">
        <v>1179</v>
      </c>
      <c r="C349" s="261" t="s">
        <v>1180</v>
      </c>
      <c r="D349" s="146" t="s">
        <v>1265</v>
      </c>
      <c r="E349" s="136" t="s">
        <v>1117</v>
      </c>
      <c r="F349" s="136" t="s">
        <v>1547</v>
      </c>
      <c r="G349" s="243" t="s">
        <v>242</v>
      </c>
      <c r="H349" s="125" t="s">
        <v>178</v>
      </c>
      <c r="I349" s="126">
        <v>2</v>
      </c>
      <c r="J349" s="140" t="s">
        <v>175</v>
      </c>
      <c r="K349" s="127" t="s">
        <v>176</v>
      </c>
      <c r="L349" s="128">
        <v>1</v>
      </c>
      <c r="M349" s="129">
        <f>I349*L349</f>
        <v>2</v>
      </c>
      <c r="N349" s="249" t="s">
        <v>1548</v>
      </c>
      <c r="O349" s="70" t="s">
        <v>199</v>
      </c>
      <c r="P349" s="128">
        <v>1</v>
      </c>
      <c r="Q349" s="130">
        <f>I349*L349*P349</f>
        <v>2</v>
      </c>
      <c r="R349" s="138" t="s">
        <v>1469</v>
      </c>
      <c r="S349" s="138" t="s">
        <v>1549</v>
      </c>
      <c r="T349" s="138"/>
      <c r="U349" s="139"/>
      <c r="V349" s="131"/>
      <c r="W349" s="138"/>
      <c r="X349" s="139"/>
      <c r="Y349" s="139"/>
      <c r="Z349" s="131"/>
      <c r="AA349" s="132"/>
      <c r="AB349" s="112"/>
      <c r="AC349" s="79"/>
      <c r="AD349" s="122">
        <f t="shared" si="225"/>
        <v>13728</v>
      </c>
    </row>
    <row r="350" spans="1:30" ht="230.25" outlineLevel="2" thickBot="1" x14ac:dyDescent="0.25">
      <c r="A350" s="118" t="s">
        <v>460</v>
      </c>
      <c r="B350" s="227" t="s">
        <v>695</v>
      </c>
      <c r="C350" s="310" t="s">
        <v>1043</v>
      </c>
      <c r="D350" s="136" t="s">
        <v>213</v>
      </c>
      <c r="E350" s="136" t="s">
        <v>166</v>
      </c>
      <c r="F350" s="136" t="s">
        <v>1543</v>
      </c>
      <c r="G350" s="243" t="s">
        <v>242</v>
      </c>
      <c r="H350" s="125" t="s">
        <v>178</v>
      </c>
      <c r="I350" s="126">
        <v>2</v>
      </c>
      <c r="J350" s="140" t="s">
        <v>175</v>
      </c>
      <c r="K350" s="127" t="s">
        <v>176</v>
      </c>
      <c r="L350" s="128">
        <v>1</v>
      </c>
      <c r="M350" s="129">
        <f t="shared" si="232"/>
        <v>2</v>
      </c>
      <c r="N350" s="249" t="s">
        <v>1548</v>
      </c>
      <c r="O350" s="70" t="s">
        <v>199</v>
      </c>
      <c r="P350" s="128">
        <v>1</v>
      </c>
      <c r="Q350" s="130">
        <f t="shared" si="233"/>
        <v>2</v>
      </c>
      <c r="R350" s="138" t="s">
        <v>1469</v>
      </c>
      <c r="S350" s="138" t="s">
        <v>1549</v>
      </c>
      <c r="T350" s="138"/>
      <c r="U350" s="139"/>
      <c r="V350" s="131"/>
      <c r="W350" s="138"/>
      <c r="X350" s="139"/>
      <c r="Y350" s="139"/>
      <c r="Z350" s="131"/>
      <c r="AA350" s="132"/>
      <c r="AB350" s="112"/>
      <c r="AC350" s="79"/>
      <c r="AD350" s="122">
        <f t="shared" si="225"/>
        <v>-1479</v>
      </c>
    </row>
    <row r="351" spans="1:30" ht="230.25" outlineLevel="2" thickBot="1" x14ac:dyDescent="0.25">
      <c r="A351" s="118" t="s">
        <v>872</v>
      </c>
      <c r="B351" s="159"/>
      <c r="C351" s="313"/>
      <c r="D351" s="201"/>
      <c r="E351" s="136" t="s">
        <v>497</v>
      </c>
      <c r="F351" s="136" t="s">
        <v>877</v>
      </c>
      <c r="G351" s="243" t="s">
        <v>242</v>
      </c>
      <c r="H351" s="125" t="s">
        <v>178</v>
      </c>
      <c r="I351" s="126">
        <v>1</v>
      </c>
      <c r="J351" s="140" t="s">
        <v>175</v>
      </c>
      <c r="K351" s="127" t="s">
        <v>176</v>
      </c>
      <c r="L351" s="128">
        <v>1</v>
      </c>
      <c r="M351" s="129">
        <f t="shared" ref="M351" si="240">I351*L351</f>
        <v>1</v>
      </c>
      <c r="N351" s="249" t="s">
        <v>1548</v>
      </c>
      <c r="O351" s="70" t="s">
        <v>101</v>
      </c>
      <c r="P351" s="128">
        <v>5</v>
      </c>
      <c r="Q351" s="130">
        <f t="shared" ref="Q351" si="241">I351*L351*P351</f>
        <v>5</v>
      </c>
      <c r="R351" s="70" t="s">
        <v>101</v>
      </c>
      <c r="S351" s="70" t="s">
        <v>101</v>
      </c>
      <c r="T351" s="138"/>
      <c r="U351" s="139"/>
      <c r="V351" s="131"/>
      <c r="W351" s="138"/>
      <c r="X351" s="139"/>
      <c r="Y351" s="139"/>
      <c r="Z351" s="131"/>
      <c r="AA351" s="132"/>
      <c r="AB351" s="112"/>
      <c r="AC351" s="79"/>
      <c r="AD351" s="122">
        <f t="shared" si="225"/>
        <v>-5157</v>
      </c>
    </row>
    <row r="352" spans="1:30" ht="230.25" outlineLevel="2" thickBot="1" x14ac:dyDescent="0.25">
      <c r="A352" s="118" t="s">
        <v>461</v>
      </c>
      <c r="B352" s="230" t="s">
        <v>728</v>
      </c>
      <c r="C352" s="310" t="s">
        <v>1044</v>
      </c>
      <c r="D352" s="351" t="s">
        <v>1537</v>
      </c>
      <c r="E352" s="136" t="s">
        <v>729</v>
      </c>
      <c r="F352" s="136" t="s">
        <v>1543</v>
      </c>
      <c r="G352" s="243" t="s">
        <v>242</v>
      </c>
      <c r="H352" s="125" t="s">
        <v>178</v>
      </c>
      <c r="I352" s="126">
        <v>2</v>
      </c>
      <c r="J352" s="140" t="s">
        <v>175</v>
      </c>
      <c r="K352" s="127" t="s">
        <v>176</v>
      </c>
      <c r="L352" s="128">
        <v>2</v>
      </c>
      <c r="M352" s="129">
        <f>I352*L352</f>
        <v>4</v>
      </c>
      <c r="N352" s="249" t="s">
        <v>1548</v>
      </c>
      <c r="O352" s="70" t="s">
        <v>199</v>
      </c>
      <c r="P352" s="128">
        <v>1</v>
      </c>
      <c r="Q352" s="130">
        <f>I352*L352*P352</f>
        <v>4</v>
      </c>
      <c r="R352" s="138" t="s">
        <v>1469</v>
      </c>
      <c r="S352" s="138" t="s">
        <v>1549</v>
      </c>
      <c r="T352" s="138"/>
      <c r="U352" s="139"/>
      <c r="V352" s="131"/>
      <c r="W352" s="138"/>
      <c r="X352" s="139"/>
      <c r="Y352" s="139"/>
      <c r="Z352" s="131"/>
      <c r="AA352" s="132"/>
      <c r="AB352" s="112"/>
      <c r="AC352" s="79"/>
      <c r="AD352" s="122">
        <f t="shared" si="225"/>
        <v>-1480</v>
      </c>
    </row>
    <row r="353" spans="1:30" ht="230.25" outlineLevel="2" thickBot="1" x14ac:dyDescent="0.25">
      <c r="A353" s="118" t="s">
        <v>462</v>
      </c>
      <c r="B353" s="226" t="s">
        <v>505</v>
      </c>
      <c r="C353" s="313"/>
      <c r="D353" s="352"/>
      <c r="E353" s="136" t="s">
        <v>721</v>
      </c>
      <c r="F353" s="136" t="s">
        <v>1543</v>
      </c>
      <c r="G353" s="243" t="s">
        <v>242</v>
      </c>
      <c r="H353" s="125" t="s">
        <v>178</v>
      </c>
      <c r="I353" s="126">
        <v>2</v>
      </c>
      <c r="J353" s="140" t="s">
        <v>175</v>
      </c>
      <c r="K353" s="127" t="s">
        <v>176</v>
      </c>
      <c r="L353" s="128">
        <v>1</v>
      </c>
      <c r="M353" s="129">
        <f>I353*L353</f>
        <v>2</v>
      </c>
      <c r="N353" s="249" t="s">
        <v>1548</v>
      </c>
      <c r="O353" s="70" t="s">
        <v>199</v>
      </c>
      <c r="P353" s="128">
        <v>1</v>
      </c>
      <c r="Q353" s="130">
        <f>I353*L353*P353</f>
        <v>2</v>
      </c>
      <c r="R353" s="138" t="s">
        <v>1469</v>
      </c>
      <c r="S353" s="138" t="s">
        <v>1549</v>
      </c>
      <c r="T353" s="138"/>
      <c r="U353" s="139"/>
      <c r="V353" s="131"/>
      <c r="W353" s="138"/>
      <c r="X353" s="139"/>
      <c r="Y353" s="139"/>
      <c r="Z353" s="131"/>
      <c r="AA353" s="132"/>
      <c r="AB353" s="112"/>
      <c r="AC353" s="79"/>
      <c r="AD353" s="122">
        <f t="shared" si="225"/>
        <v>-1481</v>
      </c>
    </row>
    <row r="354" spans="1:30" ht="267" customHeight="1" outlineLevel="2" thickBot="1" x14ac:dyDescent="0.25">
      <c r="A354" s="160" t="s">
        <v>1387</v>
      </c>
      <c r="B354" s="351" t="s">
        <v>1227</v>
      </c>
      <c r="C354" s="321" t="s">
        <v>1177</v>
      </c>
      <c r="D354" s="363" t="s">
        <v>1228</v>
      </c>
      <c r="E354" s="136" t="s">
        <v>1207</v>
      </c>
      <c r="F354" s="136" t="s">
        <v>1573</v>
      </c>
      <c r="G354" s="243" t="s">
        <v>930</v>
      </c>
      <c r="H354" s="125" t="s">
        <v>188</v>
      </c>
      <c r="I354" s="126">
        <v>4</v>
      </c>
      <c r="J354" s="140" t="s">
        <v>205</v>
      </c>
      <c r="K354" s="127" t="s">
        <v>160</v>
      </c>
      <c r="L354" s="128">
        <v>1</v>
      </c>
      <c r="M354" s="129">
        <f t="shared" ref="M354" si="242">I354*L354</f>
        <v>4</v>
      </c>
      <c r="N354" s="249" t="s">
        <v>1548</v>
      </c>
      <c r="O354" s="70" t="s">
        <v>199</v>
      </c>
      <c r="P354" s="128">
        <v>1</v>
      </c>
      <c r="Q354" s="130">
        <f>I354*L354*P354</f>
        <v>4</v>
      </c>
      <c r="R354" s="138" t="s">
        <v>1469</v>
      </c>
      <c r="S354" s="138" t="s">
        <v>1549</v>
      </c>
      <c r="T354" s="138"/>
      <c r="U354" s="139"/>
      <c r="V354" s="131"/>
      <c r="W354" s="138"/>
      <c r="X354" s="139"/>
      <c r="Y354" s="139"/>
      <c r="Z354" s="131"/>
      <c r="AA354" s="132"/>
      <c r="AB354" s="112"/>
      <c r="AC354" s="79"/>
      <c r="AD354" s="122">
        <f t="shared" si="225"/>
        <v>13729</v>
      </c>
    </row>
    <row r="355" spans="1:30" ht="102.75" customHeight="1" outlineLevel="2" thickBot="1" x14ac:dyDescent="0.25">
      <c r="A355" s="160" t="s">
        <v>1388</v>
      </c>
      <c r="B355" s="352"/>
      <c r="C355" s="321"/>
      <c r="D355" s="363"/>
      <c r="E355" s="136" t="s">
        <v>1211</v>
      </c>
      <c r="F355" s="136" t="s">
        <v>1540</v>
      </c>
      <c r="G355" s="239"/>
      <c r="H355" s="125" t="s">
        <v>178</v>
      </c>
      <c r="I355" s="126">
        <v>1</v>
      </c>
      <c r="J355" s="140" t="s">
        <v>205</v>
      </c>
      <c r="K355" s="127" t="s">
        <v>160</v>
      </c>
      <c r="L355" s="128">
        <v>1</v>
      </c>
      <c r="M355" s="129">
        <f t="shared" ref="M355" si="243">I355*L355</f>
        <v>1</v>
      </c>
      <c r="N355" s="249" t="s">
        <v>1548</v>
      </c>
      <c r="O355" s="70" t="s">
        <v>101</v>
      </c>
      <c r="P355" s="128">
        <v>5</v>
      </c>
      <c r="Q355" s="130">
        <f>I355*L355*P355</f>
        <v>5</v>
      </c>
      <c r="R355" s="70" t="s">
        <v>101</v>
      </c>
      <c r="S355" s="70" t="s">
        <v>101</v>
      </c>
      <c r="T355" s="138"/>
      <c r="U355" s="139"/>
      <c r="V355" s="131"/>
      <c r="W355" s="138"/>
      <c r="X355" s="139"/>
      <c r="Y355" s="139"/>
      <c r="Z355" s="131"/>
      <c r="AA355" s="132"/>
      <c r="AB355" s="112"/>
      <c r="AC355" s="79"/>
      <c r="AD355" s="122">
        <f t="shared" si="225"/>
        <v>13730</v>
      </c>
    </row>
    <row r="356" spans="1:30" ht="102.75" customHeight="1" outlineLevel="2" thickBot="1" x14ac:dyDescent="0.25">
      <c r="A356" s="160" t="s">
        <v>1389</v>
      </c>
      <c r="B356" s="351" t="s">
        <v>1436</v>
      </c>
      <c r="C356" s="310" t="s">
        <v>1178</v>
      </c>
      <c r="D356" s="351" t="s">
        <v>1229</v>
      </c>
      <c r="E356" s="136" t="s">
        <v>1118</v>
      </c>
      <c r="F356" s="136" t="s">
        <v>1541</v>
      </c>
      <c r="G356" s="239" t="s">
        <v>242</v>
      </c>
      <c r="H356" s="125" t="s">
        <v>178</v>
      </c>
      <c r="I356" s="126">
        <v>1</v>
      </c>
      <c r="J356" s="140" t="s">
        <v>205</v>
      </c>
      <c r="K356" s="127" t="s">
        <v>160</v>
      </c>
      <c r="L356" s="128">
        <v>1</v>
      </c>
      <c r="M356" s="129">
        <f t="shared" ref="M356:M357" si="244">I356*L356</f>
        <v>1</v>
      </c>
      <c r="N356" s="249" t="s">
        <v>1548</v>
      </c>
      <c r="O356" s="70" t="s">
        <v>199</v>
      </c>
      <c r="P356" s="128">
        <v>1</v>
      </c>
      <c r="Q356" s="130">
        <f t="shared" ref="Q356:Q357" si="245">I356*L356*P356</f>
        <v>1</v>
      </c>
      <c r="R356" s="138" t="s">
        <v>1469</v>
      </c>
      <c r="S356" s="138" t="s">
        <v>1549</v>
      </c>
      <c r="T356" s="138"/>
      <c r="U356" s="139"/>
      <c r="V356" s="131"/>
      <c r="W356" s="138"/>
      <c r="X356" s="139"/>
      <c r="Y356" s="139"/>
      <c r="Z356" s="131"/>
      <c r="AA356" s="132"/>
      <c r="AB356" s="112"/>
      <c r="AC356" s="79"/>
      <c r="AD356" s="122">
        <f t="shared" si="225"/>
        <v>13731</v>
      </c>
    </row>
    <row r="357" spans="1:30" ht="102.75" customHeight="1" outlineLevel="2" thickBot="1" x14ac:dyDescent="0.25">
      <c r="A357" s="160" t="s">
        <v>1390</v>
      </c>
      <c r="B357" s="352"/>
      <c r="C357" s="313"/>
      <c r="D357" s="352"/>
      <c r="E357" s="136" t="s">
        <v>1117</v>
      </c>
      <c r="F357" s="136" t="s">
        <v>1540</v>
      </c>
      <c r="G357" s="239"/>
      <c r="H357" s="125" t="s">
        <v>178</v>
      </c>
      <c r="I357" s="126">
        <v>1</v>
      </c>
      <c r="J357" s="140" t="s">
        <v>205</v>
      </c>
      <c r="K357" s="127" t="s">
        <v>160</v>
      </c>
      <c r="L357" s="128">
        <v>1</v>
      </c>
      <c r="M357" s="129">
        <f t="shared" si="244"/>
        <v>1</v>
      </c>
      <c r="N357" s="249" t="s">
        <v>1548</v>
      </c>
      <c r="O357" s="70" t="s">
        <v>101</v>
      </c>
      <c r="P357" s="128">
        <v>5</v>
      </c>
      <c r="Q357" s="130">
        <f t="shared" si="245"/>
        <v>5</v>
      </c>
      <c r="R357" s="70" t="s">
        <v>101</v>
      </c>
      <c r="S357" s="70" t="s">
        <v>101</v>
      </c>
      <c r="T357" s="138"/>
      <c r="U357" s="139"/>
      <c r="V357" s="131"/>
      <c r="W357" s="138"/>
      <c r="X357" s="139"/>
      <c r="Y357" s="139"/>
      <c r="Z357" s="131"/>
      <c r="AA357" s="132"/>
      <c r="AB357" s="112"/>
      <c r="AC357" s="79"/>
      <c r="AD357" s="122">
        <f t="shared" si="225"/>
        <v>13732</v>
      </c>
    </row>
    <row r="358" spans="1:30" ht="64.5" customHeight="1" outlineLevel="2" thickBot="1" x14ac:dyDescent="0.25">
      <c r="A358" s="160" t="s">
        <v>1391</v>
      </c>
      <c r="B358" s="363" t="s">
        <v>1148</v>
      </c>
      <c r="C358" s="321" t="s">
        <v>1161</v>
      </c>
      <c r="D358" s="351" t="s">
        <v>201</v>
      </c>
      <c r="E358" s="136" t="s">
        <v>166</v>
      </c>
      <c r="F358" s="136" t="s">
        <v>509</v>
      </c>
      <c r="G358" s="239" t="s">
        <v>1471</v>
      </c>
      <c r="H358" s="125" t="s">
        <v>178</v>
      </c>
      <c r="I358" s="126">
        <v>3</v>
      </c>
      <c r="J358" s="140" t="s">
        <v>177</v>
      </c>
      <c r="K358" s="127" t="s">
        <v>160</v>
      </c>
      <c r="L358" s="128">
        <v>1</v>
      </c>
      <c r="M358" s="129">
        <f t="shared" ref="M358:M360" si="246">I358*L358</f>
        <v>3</v>
      </c>
      <c r="N358" s="249" t="s">
        <v>1548</v>
      </c>
      <c r="O358" s="70" t="s">
        <v>101</v>
      </c>
      <c r="P358" s="128">
        <v>5</v>
      </c>
      <c r="Q358" s="130">
        <f t="shared" ref="Q358:Q360" si="247">I358*L358*P358</f>
        <v>15</v>
      </c>
      <c r="R358" s="70" t="s">
        <v>101</v>
      </c>
      <c r="S358" s="70" t="s">
        <v>101</v>
      </c>
      <c r="T358" s="138"/>
      <c r="U358" s="139"/>
      <c r="V358" s="131"/>
      <c r="W358" s="138"/>
      <c r="X358" s="139"/>
      <c r="Y358" s="139"/>
      <c r="Z358" s="131"/>
      <c r="AA358" s="132"/>
      <c r="AB358" s="112"/>
      <c r="AC358" s="79"/>
      <c r="AD358" s="122">
        <f t="shared" si="225"/>
        <v>13733</v>
      </c>
    </row>
    <row r="359" spans="1:30" ht="230.25" outlineLevel="2" thickBot="1" x14ac:dyDescent="0.25">
      <c r="A359" s="160" t="s">
        <v>1392</v>
      </c>
      <c r="B359" s="363"/>
      <c r="C359" s="321"/>
      <c r="D359" s="352"/>
      <c r="E359" s="136" t="s">
        <v>193</v>
      </c>
      <c r="F359" s="136" t="s">
        <v>511</v>
      </c>
      <c r="G359" s="243" t="s">
        <v>242</v>
      </c>
      <c r="H359" s="125" t="s">
        <v>178</v>
      </c>
      <c r="I359" s="126">
        <v>1</v>
      </c>
      <c r="J359" s="140" t="s">
        <v>177</v>
      </c>
      <c r="K359" s="127" t="s">
        <v>160</v>
      </c>
      <c r="L359" s="128">
        <v>1</v>
      </c>
      <c r="M359" s="174">
        <f t="shared" si="246"/>
        <v>1</v>
      </c>
      <c r="N359" s="249" t="s">
        <v>1548</v>
      </c>
      <c r="O359" s="175" t="s">
        <v>101</v>
      </c>
      <c r="P359" s="128">
        <v>5</v>
      </c>
      <c r="Q359" s="176">
        <f t="shared" si="247"/>
        <v>5</v>
      </c>
      <c r="R359" s="70" t="s">
        <v>101</v>
      </c>
      <c r="S359" s="70" t="s">
        <v>101</v>
      </c>
      <c r="T359" s="138"/>
      <c r="U359" s="139"/>
      <c r="V359" s="131"/>
      <c r="W359" s="138"/>
      <c r="X359" s="139"/>
      <c r="Y359" s="139"/>
      <c r="Z359" s="131"/>
      <c r="AA359" s="132"/>
      <c r="AB359" s="112"/>
      <c r="AC359" s="79"/>
      <c r="AD359" s="122">
        <f t="shared" si="225"/>
        <v>13734</v>
      </c>
    </row>
    <row r="360" spans="1:30" ht="230.25" outlineLevel="2" thickBot="1" x14ac:dyDescent="0.25">
      <c r="A360" s="160" t="s">
        <v>1393</v>
      </c>
      <c r="B360" s="363" t="s">
        <v>1149</v>
      </c>
      <c r="C360" s="321" t="s">
        <v>1162</v>
      </c>
      <c r="D360" s="351" t="s">
        <v>161</v>
      </c>
      <c r="E360" s="136" t="s">
        <v>163</v>
      </c>
      <c r="F360" s="136" t="s">
        <v>511</v>
      </c>
      <c r="G360" s="243" t="s">
        <v>242</v>
      </c>
      <c r="H360" s="125" t="s">
        <v>178</v>
      </c>
      <c r="I360" s="126">
        <v>1</v>
      </c>
      <c r="J360" s="140" t="s">
        <v>177</v>
      </c>
      <c r="K360" s="127" t="s">
        <v>160</v>
      </c>
      <c r="L360" s="128">
        <v>1</v>
      </c>
      <c r="M360" s="129">
        <f t="shared" si="246"/>
        <v>1</v>
      </c>
      <c r="N360" s="249" t="s">
        <v>1548</v>
      </c>
      <c r="O360" s="70" t="s">
        <v>101</v>
      </c>
      <c r="P360" s="128">
        <v>5</v>
      </c>
      <c r="Q360" s="130">
        <f t="shared" si="247"/>
        <v>5</v>
      </c>
      <c r="R360" s="70" t="s">
        <v>101</v>
      </c>
      <c r="S360" s="70" t="s">
        <v>101</v>
      </c>
      <c r="T360" s="138"/>
      <c r="U360" s="139"/>
      <c r="V360" s="131"/>
      <c r="W360" s="138"/>
      <c r="X360" s="139"/>
      <c r="Y360" s="139"/>
      <c r="Z360" s="131"/>
      <c r="AA360" s="132"/>
      <c r="AB360" s="112"/>
      <c r="AC360" s="79"/>
      <c r="AD360" s="122">
        <f t="shared" si="225"/>
        <v>13735</v>
      </c>
    </row>
    <row r="361" spans="1:30" ht="255.75" outlineLevel="2" thickBot="1" x14ac:dyDescent="0.25">
      <c r="A361" s="160" t="s">
        <v>1394</v>
      </c>
      <c r="B361" s="363"/>
      <c r="C361" s="321"/>
      <c r="D361" s="352"/>
      <c r="E361" s="136" t="s">
        <v>164</v>
      </c>
      <c r="F361" s="136" t="s">
        <v>1561</v>
      </c>
      <c r="G361" s="243" t="s">
        <v>930</v>
      </c>
      <c r="H361" s="125" t="s">
        <v>178</v>
      </c>
      <c r="I361" s="126">
        <v>4</v>
      </c>
      <c r="J361" s="140" t="s">
        <v>177</v>
      </c>
      <c r="K361" s="127" t="s">
        <v>176</v>
      </c>
      <c r="L361" s="128">
        <v>1</v>
      </c>
      <c r="M361" s="129">
        <f>I361*L361</f>
        <v>4</v>
      </c>
      <c r="N361" s="249" t="s">
        <v>1548</v>
      </c>
      <c r="O361" s="70" t="s">
        <v>199</v>
      </c>
      <c r="P361" s="128">
        <v>1</v>
      </c>
      <c r="Q361" s="130">
        <f>I361*L361*P361</f>
        <v>4</v>
      </c>
      <c r="R361" s="138" t="s">
        <v>1469</v>
      </c>
      <c r="S361" s="138" t="s">
        <v>1549</v>
      </c>
      <c r="T361" s="138"/>
      <c r="U361" s="139"/>
      <c r="V361" s="131"/>
      <c r="W361" s="138"/>
      <c r="X361" s="139"/>
      <c r="Y361" s="139"/>
      <c r="Z361" s="131"/>
      <c r="AA361" s="132"/>
      <c r="AB361" s="112"/>
      <c r="AC361" s="79"/>
      <c r="AD361" s="122">
        <f t="shared" si="225"/>
        <v>13736</v>
      </c>
    </row>
    <row r="362" spans="1:30" ht="230.25" outlineLevel="2" thickBot="1" x14ac:dyDescent="0.25">
      <c r="A362" s="160" t="s">
        <v>1395</v>
      </c>
      <c r="B362" s="351" t="s">
        <v>1150</v>
      </c>
      <c r="C362" s="310" t="s">
        <v>1163</v>
      </c>
      <c r="D362" s="351" t="s">
        <v>515</v>
      </c>
      <c r="E362" s="136" t="s">
        <v>516</v>
      </c>
      <c r="F362" s="136" t="s">
        <v>206</v>
      </c>
      <c r="G362" s="243" t="s">
        <v>242</v>
      </c>
      <c r="H362" s="125" t="s">
        <v>178</v>
      </c>
      <c r="I362" s="126">
        <v>3</v>
      </c>
      <c r="J362" s="140" t="s">
        <v>207</v>
      </c>
      <c r="K362" s="127" t="s">
        <v>160</v>
      </c>
      <c r="L362" s="128">
        <v>1</v>
      </c>
      <c r="M362" s="129">
        <f t="shared" ref="M362:M364" si="248">I362*L362</f>
        <v>3</v>
      </c>
      <c r="N362" s="249" t="s">
        <v>1548</v>
      </c>
      <c r="O362" s="70" t="s">
        <v>101</v>
      </c>
      <c r="P362" s="128">
        <v>5</v>
      </c>
      <c r="Q362" s="130">
        <f t="shared" ref="Q362:Q364" si="249">I362*L362*P362</f>
        <v>15</v>
      </c>
      <c r="R362" s="70" t="s">
        <v>101</v>
      </c>
      <c r="S362" s="70" t="s">
        <v>101</v>
      </c>
      <c r="T362" s="138"/>
      <c r="U362" s="139"/>
      <c r="V362" s="131"/>
      <c r="W362" s="138"/>
      <c r="X362" s="139"/>
      <c r="Y362" s="139"/>
      <c r="Z362" s="131"/>
      <c r="AA362" s="132"/>
      <c r="AB362" s="112"/>
      <c r="AC362" s="79"/>
      <c r="AD362" s="122">
        <f t="shared" si="225"/>
        <v>13737</v>
      </c>
    </row>
    <row r="363" spans="1:30" ht="230.25" outlineLevel="2" thickBot="1" x14ac:dyDescent="0.25">
      <c r="A363" s="160" t="s">
        <v>1396</v>
      </c>
      <c r="B363" s="354"/>
      <c r="C363" s="325"/>
      <c r="D363" s="354"/>
      <c r="E363" s="136" t="s">
        <v>732</v>
      </c>
      <c r="F363" s="136" t="s">
        <v>745</v>
      </c>
      <c r="G363" s="243" t="s">
        <v>242</v>
      </c>
      <c r="H363" s="125" t="s">
        <v>178</v>
      </c>
      <c r="I363" s="126">
        <v>3</v>
      </c>
      <c r="J363" s="140" t="s">
        <v>207</v>
      </c>
      <c r="K363" s="127" t="s">
        <v>160</v>
      </c>
      <c r="L363" s="128">
        <v>1</v>
      </c>
      <c r="M363" s="129">
        <f t="shared" si="248"/>
        <v>3</v>
      </c>
      <c r="N363" s="249" t="s">
        <v>1548</v>
      </c>
      <c r="O363" s="70" t="s">
        <v>101</v>
      </c>
      <c r="P363" s="128">
        <v>5</v>
      </c>
      <c r="Q363" s="130">
        <f t="shared" si="249"/>
        <v>15</v>
      </c>
      <c r="R363" s="70" t="s">
        <v>101</v>
      </c>
      <c r="S363" s="70" t="s">
        <v>101</v>
      </c>
      <c r="T363" s="138"/>
      <c r="U363" s="139"/>
      <c r="V363" s="131"/>
      <c r="W363" s="138"/>
      <c r="X363" s="139"/>
      <c r="Y363" s="139"/>
      <c r="Z363" s="131"/>
      <c r="AA363" s="132"/>
      <c r="AB363" s="112"/>
      <c r="AC363" s="79"/>
      <c r="AD363" s="122">
        <f t="shared" si="225"/>
        <v>13738</v>
      </c>
    </row>
    <row r="364" spans="1:30" ht="230.25" outlineLevel="2" thickBot="1" x14ac:dyDescent="0.25">
      <c r="A364" s="160" t="s">
        <v>1397</v>
      </c>
      <c r="B364" s="352"/>
      <c r="C364" s="313"/>
      <c r="D364" s="352"/>
      <c r="E364" s="136" t="s">
        <v>733</v>
      </c>
      <c r="F364" s="136" t="s">
        <v>206</v>
      </c>
      <c r="G364" s="243" t="s">
        <v>242</v>
      </c>
      <c r="H364" s="125" t="s">
        <v>178</v>
      </c>
      <c r="I364" s="126">
        <v>3</v>
      </c>
      <c r="J364" s="140" t="s">
        <v>207</v>
      </c>
      <c r="K364" s="127" t="s">
        <v>160</v>
      </c>
      <c r="L364" s="128">
        <v>1</v>
      </c>
      <c r="M364" s="129">
        <f t="shared" si="248"/>
        <v>3</v>
      </c>
      <c r="N364" s="249" t="s">
        <v>1548</v>
      </c>
      <c r="O364" s="70" t="s">
        <v>101</v>
      </c>
      <c r="P364" s="128">
        <v>5</v>
      </c>
      <c r="Q364" s="130">
        <f t="shared" si="249"/>
        <v>15</v>
      </c>
      <c r="R364" s="70" t="s">
        <v>101</v>
      </c>
      <c r="S364" s="70" t="s">
        <v>101</v>
      </c>
      <c r="T364" s="138"/>
      <c r="U364" s="139"/>
      <c r="V364" s="131"/>
      <c r="W364" s="138"/>
      <c r="X364" s="139"/>
      <c r="Y364" s="139"/>
      <c r="Z364" s="131"/>
      <c r="AA364" s="132"/>
      <c r="AB364" s="112"/>
      <c r="AC364" s="79"/>
      <c r="AD364" s="122">
        <f t="shared" si="225"/>
        <v>13739</v>
      </c>
    </row>
    <row r="365" spans="1:30" ht="230.25" outlineLevel="2" thickBot="1" x14ac:dyDescent="0.25">
      <c r="A365" s="160" t="s">
        <v>1398</v>
      </c>
      <c r="B365" s="351" t="s">
        <v>1151</v>
      </c>
      <c r="C365" s="310" t="s">
        <v>1164</v>
      </c>
      <c r="D365" s="351" t="s">
        <v>513</v>
      </c>
      <c r="E365" s="136" t="s">
        <v>165</v>
      </c>
      <c r="F365" s="136" t="s">
        <v>204</v>
      </c>
      <c r="G365" s="243" t="s">
        <v>242</v>
      </c>
      <c r="H365" s="125" t="s">
        <v>178</v>
      </c>
      <c r="I365" s="126">
        <v>2</v>
      </c>
      <c r="J365" s="140" t="s">
        <v>205</v>
      </c>
      <c r="K365" s="127" t="s">
        <v>160</v>
      </c>
      <c r="L365" s="128">
        <v>2</v>
      </c>
      <c r="M365" s="129">
        <f t="shared" ref="M365" si="250">I365*L365</f>
        <v>4</v>
      </c>
      <c r="N365" s="249" t="s">
        <v>1548</v>
      </c>
      <c r="O365" s="70" t="s">
        <v>101</v>
      </c>
      <c r="P365" s="128">
        <v>5</v>
      </c>
      <c r="Q365" s="130">
        <f t="shared" ref="Q365" si="251">I365*L365*P365</f>
        <v>20</v>
      </c>
      <c r="R365" s="70" t="s">
        <v>101</v>
      </c>
      <c r="S365" s="70" t="s">
        <v>101</v>
      </c>
      <c r="T365" s="138"/>
      <c r="U365" s="139"/>
      <c r="V365" s="131"/>
      <c r="W365" s="138"/>
      <c r="X365" s="139"/>
      <c r="Y365" s="139"/>
      <c r="Z365" s="131"/>
      <c r="AA365" s="132"/>
      <c r="AB365" s="112"/>
      <c r="AC365" s="79"/>
      <c r="AD365" s="122">
        <f t="shared" si="225"/>
        <v>13740</v>
      </c>
    </row>
    <row r="366" spans="1:30" ht="230.25" outlineLevel="2" thickBot="1" x14ac:dyDescent="0.25">
      <c r="A366" s="160" t="s">
        <v>1399</v>
      </c>
      <c r="B366" s="352"/>
      <c r="C366" s="313"/>
      <c r="D366" s="352"/>
      <c r="E366" s="136" t="s">
        <v>494</v>
      </c>
      <c r="F366" s="136" t="s">
        <v>1470</v>
      </c>
      <c r="G366" s="243" t="s">
        <v>242</v>
      </c>
      <c r="H366" s="125" t="s">
        <v>178</v>
      </c>
      <c r="I366" s="126">
        <v>3</v>
      </c>
      <c r="J366" s="140" t="s">
        <v>177</v>
      </c>
      <c r="K366" s="127" t="s">
        <v>176</v>
      </c>
      <c r="L366" s="128">
        <v>1</v>
      </c>
      <c r="M366" s="129">
        <f>I366*L366</f>
        <v>3</v>
      </c>
      <c r="N366" s="249" t="s">
        <v>1548</v>
      </c>
      <c r="O366" s="70" t="s">
        <v>101</v>
      </c>
      <c r="P366" s="128">
        <v>5</v>
      </c>
      <c r="Q366" s="130">
        <f>I366*L366*P366</f>
        <v>15</v>
      </c>
      <c r="R366" s="70" t="s">
        <v>101</v>
      </c>
      <c r="S366" s="70" t="s">
        <v>101</v>
      </c>
      <c r="T366" s="138"/>
      <c r="U366" s="139"/>
      <c r="V366" s="131"/>
      <c r="W366" s="138"/>
      <c r="X366" s="139"/>
      <c r="Y366" s="139"/>
      <c r="Z366" s="131"/>
      <c r="AA366" s="132"/>
      <c r="AB366" s="112"/>
      <c r="AC366" s="79"/>
      <c r="AD366" s="122">
        <f t="shared" si="225"/>
        <v>13741</v>
      </c>
    </row>
    <row r="367" spans="1:30" ht="230.25" outlineLevel="2" thickBot="1" x14ac:dyDescent="0.25">
      <c r="A367" s="160" t="s">
        <v>1400</v>
      </c>
      <c r="B367" s="351" t="s">
        <v>1152</v>
      </c>
      <c r="C367" s="310" t="s">
        <v>1165</v>
      </c>
      <c r="D367" s="351" t="s">
        <v>518</v>
      </c>
      <c r="E367" s="136" t="s">
        <v>157</v>
      </c>
      <c r="F367" s="239" t="s">
        <v>1470</v>
      </c>
      <c r="G367" s="243" t="s">
        <v>242</v>
      </c>
      <c r="H367" s="125" t="s">
        <v>178</v>
      </c>
      <c r="I367" s="126">
        <v>3</v>
      </c>
      <c r="J367" s="140" t="s">
        <v>208</v>
      </c>
      <c r="K367" s="127" t="s">
        <v>160</v>
      </c>
      <c r="L367" s="128">
        <v>1</v>
      </c>
      <c r="M367" s="129">
        <f t="shared" ref="M367:M368" si="252">I367*L367</f>
        <v>3</v>
      </c>
      <c r="N367" s="249" t="s">
        <v>1548</v>
      </c>
      <c r="O367" s="70" t="s">
        <v>101</v>
      </c>
      <c r="P367" s="128">
        <v>5</v>
      </c>
      <c r="Q367" s="130">
        <f t="shared" ref="Q367:Q368" si="253">I367*L367*P367</f>
        <v>15</v>
      </c>
      <c r="R367" s="70" t="s">
        <v>101</v>
      </c>
      <c r="S367" s="70" t="s">
        <v>101</v>
      </c>
      <c r="T367" s="138"/>
      <c r="U367" s="139"/>
      <c r="V367" s="131"/>
      <c r="W367" s="138"/>
      <c r="X367" s="139"/>
      <c r="Y367" s="139"/>
      <c r="Z367" s="131"/>
      <c r="AA367" s="132"/>
      <c r="AB367" s="112"/>
      <c r="AC367" s="79"/>
      <c r="AD367" s="122">
        <f t="shared" si="225"/>
        <v>13742</v>
      </c>
    </row>
    <row r="368" spans="1:30" ht="230.25" outlineLevel="2" thickBot="1" x14ac:dyDescent="0.25">
      <c r="A368" s="160" t="s">
        <v>1401</v>
      </c>
      <c r="B368" s="352"/>
      <c r="C368" s="313"/>
      <c r="D368" s="352"/>
      <c r="E368" s="136" t="s">
        <v>158</v>
      </c>
      <c r="F368" s="239" t="s">
        <v>1470</v>
      </c>
      <c r="G368" s="243" t="s">
        <v>242</v>
      </c>
      <c r="H368" s="125" t="s">
        <v>178</v>
      </c>
      <c r="I368" s="126">
        <v>3</v>
      </c>
      <c r="J368" s="140" t="s">
        <v>208</v>
      </c>
      <c r="K368" s="127" t="s">
        <v>160</v>
      </c>
      <c r="L368" s="128">
        <v>1</v>
      </c>
      <c r="M368" s="129">
        <f t="shared" si="252"/>
        <v>3</v>
      </c>
      <c r="N368" s="249" t="s">
        <v>1548</v>
      </c>
      <c r="O368" s="70" t="s">
        <v>101</v>
      </c>
      <c r="P368" s="128">
        <v>5</v>
      </c>
      <c r="Q368" s="130">
        <f t="shared" si="253"/>
        <v>15</v>
      </c>
      <c r="R368" s="70" t="s">
        <v>101</v>
      </c>
      <c r="S368" s="70" t="s">
        <v>101</v>
      </c>
      <c r="T368" s="138"/>
      <c r="U368" s="139"/>
      <c r="V368" s="131"/>
      <c r="W368" s="138"/>
      <c r="X368" s="139"/>
      <c r="Y368" s="139"/>
      <c r="Z368" s="131"/>
      <c r="AA368" s="132"/>
      <c r="AB368" s="112"/>
      <c r="AC368" s="79"/>
      <c r="AD368" s="122">
        <f t="shared" si="225"/>
        <v>13743</v>
      </c>
    </row>
    <row r="369" spans="1:30" ht="230.25" outlineLevel="2" thickBot="1" x14ac:dyDescent="0.25">
      <c r="A369" s="160" t="s">
        <v>1402</v>
      </c>
      <c r="B369" s="351" t="s">
        <v>1153</v>
      </c>
      <c r="C369" s="310" t="s">
        <v>1166</v>
      </c>
      <c r="D369" s="351" t="s">
        <v>211</v>
      </c>
      <c r="E369" s="136" t="s">
        <v>165</v>
      </c>
      <c r="F369" s="136" t="s">
        <v>212</v>
      </c>
      <c r="G369" s="243" t="s">
        <v>242</v>
      </c>
      <c r="H369" s="125" t="s">
        <v>178</v>
      </c>
      <c r="I369" s="126">
        <v>2</v>
      </c>
      <c r="J369" s="140" t="s">
        <v>210</v>
      </c>
      <c r="K369" s="127" t="s">
        <v>160</v>
      </c>
      <c r="L369" s="128">
        <v>2</v>
      </c>
      <c r="M369" s="129">
        <f t="shared" ref="M369:M372" si="254">I369*L369</f>
        <v>4</v>
      </c>
      <c r="N369" s="249" t="s">
        <v>1548</v>
      </c>
      <c r="O369" s="70" t="s">
        <v>101</v>
      </c>
      <c r="P369" s="128">
        <v>5</v>
      </c>
      <c r="Q369" s="130">
        <f t="shared" ref="Q369:Q372" si="255">I369*L369*P369</f>
        <v>20</v>
      </c>
      <c r="R369" s="70" t="s">
        <v>101</v>
      </c>
      <c r="S369" s="70" t="s">
        <v>101</v>
      </c>
      <c r="T369" s="138"/>
      <c r="U369" s="139"/>
      <c r="V369" s="131"/>
      <c r="W369" s="138"/>
      <c r="X369" s="139"/>
      <c r="Y369" s="139"/>
      <c r="Z369" s="131"/>
      <c r="AA369" s="132"/>
      <c r="AB369" s="112"/>
      <c r="AC369" s="79"/>
      <c r="AD369" s="122">
        <f t="shared" si="225"/>
        <v>13744</v>
      </c>
    </row>
    <row r="370" spans="1:30" ht="230.25" outlineLevel="2" thickBot="1" x14ac:dyDescent="0.25">
      <c r="A370" s="160" t="s">
        <v>1403</v>
      </c>
      <c r="B370" s="352"/>
      <c r="C370" s="313"/>
      <c r="D370" s="352"/>
      <c r="E370" s="136" t="s">
        <v>494</v>
      </c>
      <c r="F370" s="136" t="s">
        <v>747</v>
      </c>
      <c r="G370" s="243" t="s">
        <v>242</v>
      </c>
      <c r="H370" s="125" t="s">
        <v>178</v>
      </c>
      <c r="I370" s="126">
        <v>3</v>
      </c>
      <c r="J370" s="140" t="s">
        <v>210</v>
      </c>
      <c r="K370" s="127" t="s">
        <v>160</v>
      </c>
      <c r="L370" s="128">
        <v>1</v>
      </c>
      <c r="M370" s="129">
        <f t="shared" si="254"/>
        <v>3</v>
      </c>
      <c r="N370" s="249" t="s">
        <v>1548</v>
      </c>
      <c r="O370" s="70" t="s">
        <v>101</v>
      </c>
      <c r="P370" s="128">
        <v>5</v>
      </c>
      <c r="Q370" s="130">
        <f t="shared" si="255"/>
        <v>15</v>
      </c>
      <c r="R370" s="70" t="s">
        <v>101</v>
      </c>
      <c r="S370" s="70" t="s">
        <v>101</v>
      </c>
      <c r="T370" s="138"/>
      <c r="U370" s="139"/>
      <c r="V370" s="131"/>
      <c r="W370" s="138"/>
      <c r="X370" s="139"/>
      <c r="Y370" s="139"/>
      <c r="Z370" s="131"/>
      <c r="AA370" s="132"/>
      <c r="AB370" s="112"/>
      <c r="AC370" s="79"/>
      <c r="AD370" s="122">
        <f t="shared" si="225"/>
        <v>13745</v>
      </c>
    </row>
    <row r="371" spans="1:30" ht="230.25" outlineLevel="2" thickBot="1" x14ac:dyDescent="0.25">
      <c r="A371" s="160" t="s">
        <v>1404</v>
      </c>
      <c r="B371" s="351" t="s">
        <v>1154</v>
      </c>
      <c r="C371" s="310" t="s">
        <v>1167</v>
      </c>
      <c r="D371" s="351" t="s">
        <v>746</v>
      </c>
      <c r="E371" s="136" t="s">
        <v>163</v>
      </c>
      <c r="F371" s="136" t="s">
        <v>202</v>
      </c>
      <c r="G371" s="243" t="s">
        <v>242</v>
      </c>
      <c r="H371" s="125" t="s">
        <v>178</v>
      </c>
      <c r="I371" s="126">
        <v>3</v>
      </c>
      <c r="J371" s="140" t="s">
        <v>210</v>
      </c>
      <c r="K371" s="127" t="s">
        <v>160</v>
      </c>
      <c r="L371" s="128">
        <v>1</v>
      </c>
      <c r="M371" s="129">
        <f t="shared" si="254"/>
        <v>3</v>
      </c>
      <c r="N371" s="249" t="s">
        <v>1548</v>
      </c>
      <c r="O371" s="70" t="s">
        <v>101</v>
      </c>
      <c r="P371" s="128">
        <v>5</v>
      </c>
      <c r="Q371" s="130">
        <f t="shared" si="255"/>
        <v>15</v>
      </c>
      <c r="R371" s="70" t="s">
        <v>101</v>
      </c>
      <c r="S371" s="70" t="s">
        <v>101</v>
      </c>
      <c r="T371" s="138"/>
      <c r="U371" s="139"/>
      <c r="V371" s="131"/>
      <c r="W371" s="138"/>
      <c r="X371" s="139"/>
      <c r="Y371" s="139"/>
      <c r="Z371" s="131"/>
      <c r="AA371" s="132"/>
      <c r="AB371" s="112"/>
      <c r="AC371" s="79"/>
      <c r="AD371" s="122">
        <f t="shared" si="225"/>
        <v>13746</v>
      </c>
    </row>
    <row r="372" spans="1:30" ht="230.25" outlineLevel="2" thickBot="1" x14ac:dyDescent="0.25">
      <c r="A372" s="160" t="s">
        <v>1405</v>
      </c>
      <c r="B372" s="352"/>
      <c r="C372" s="313"/>
      <c r="D372" s="352"/>
      <c r="E372" s="136" t="s">
        <v>197</v>
      </c>
      <c r="F372" s="136" t="s">
        <v>202</v>
      </c>
      <c r="G372" s="243" t="s">
        <v>242</v>
      </c>
      <c r="H372" s="125" t="s">
        <v>178</v>
      </c>
      <c r="I372" s="126">
        <v>3</v>
      </c>
      <c r="J372" s="140" t="s">
        <v>210</v>
      </c>
      <c r="K372" s="127" t="s">
        <v>160</v>
      </c>
      <c r="L372" s="128">
        <v>1</v>
      </c>
      <c r="M372" s="129">
        <f t="shared" si="254"/>
        <v>3</v>
      </c>
      <c r="N372" s="249" t="s">
        <v>1548</v>
      </c>
      <c r="O372" s="70" t="s">
        <v>101</v>
      </c>
      <c r="P372" s="128">
        <v>5</v>
      </c>
      <c r="Q372" s="130">
        <f t="shared" si="255"/>
        <v>15</v>
      </c>
      <c r="R372" s="70" t="s">
        <v>101</v>
      </c>
      <c r="S372" s="70" t="s">
        <v>101</v>
      </c>
      <c r="T372" s="138"/>
      <c r="U372" s="139"/>
      <c r="V372" s="131"/>
      <c r="W372" s="138"/>
      <c r="X372" s="139"/>
      <c r="Y372" s="139"/>
      <c r="Z372" s="131"/>
      <c r="AA372" s="132"/>
      <c r="AB372" s="112"/>
      <c r="AC372" s="79"/>
      <c r="AD372" s="122">
        <f t="shared" si="225"/>
        <v>13747</v>
      </c>
    </row>
    <row r="373" spans="1:30" ht="230.25" outlineLevel="2" thickBot="1" x14ac:dyDescent="0.25">
      <c r="A373" s="160" t="s">
        <v>1406</v>
      </c>
      <c r="B373" s="351" t="s">
        <v>1155</v>
      </c>
      <c r="C373" s="310" t="s">
        <v>1168</v>
      </c>
      <c r="D373" s="351" t="s">
        <v>748</v>
      </c>
      <c r="E373" s="136" t="s">
        <v>166</v>
      </c>
      <c r="F373" s="136" t="s">
        <v>202</v>
      </c>
      <c r="G373" s="243" t="s">
        <v>242</v>
      </c>
      <c r="H373" s="125" t="s">
        <v>178</v>
      </c>
      <c r="I373" s="126">
        <v>3</v>
      </c>
      <c r="J373" s="140" t="s">
        <v>210</v>
      </c>
      <c r="K373" s="127" t="s">
        <v>160</v>
      </c>
      <c r="L373" s="128">
        <v>1</v>
      </c>
      <c r="M373" s="129">
        <f t="shared" ref="M373:M380" si="256">I373*L373</f>
        <v>3</v>
      </c>
      <c r="N373" s="249" t="s">
        <v>1548</v>
      </c>
      <c r="O373" s="70" t="s">
        <v>101</v>
      </c>
      <c r="P373" s="128">
        <v>5</v>
      </c>
      <c r="Q373" s="130">
        <f>I373*L373*P373</f>
        <v>15</v>
      </c>
      <c r="R373" s="70" t="s">
        <v>101</v>
      </c>
      <c r="S373" s="70" t="s">
        <v>101</v>
      </c>
      <c r="T373" s="138"/>
      <c r="U373" s="139"/>
      <c r="V373" s="131"/>
      <c r="W373" s="138"/>
      <c r="X373" s="139"/>
      <c r="Y373" s="139"/>
      <c r="Z373" s="131"/>
      <c r="AA373" s="132"/>
      <c r="AB373" s="112"/>
      <c r="AC373" s="79"/>
      <c r="AD373" s="122">
        <f t="shared" si="225"/>
        <v>13748</v>
      </c>
    </row>
    <row r="374" spans="1:30" ht="230.25" outlineLevel="2" thickBot="1" x14ac:dyDescent="0.25">
      <c r="A374" s="160" t="s">
        <v>1407</v>
      </c>
      <c r="B374" s="352"/>
      <c r="C374" s="313"/>
      <c r="D374" s="352"/>
      <c r="E374" s="139" t="s">
        <v>497</v>
      </c>
      <c r="F374" s="139" t="s">
        <v>878</v>
      </c>
      <c r="G374" s="243" t="s">
        <v>242</v>
      </c>
      <c r="H374" s="133" t="s">
        <v>178</v>
      </c>
      <c r="I374" s="164">
        <v>1</v>
      </c>
      <c r="J374" s="165" t="s">
        <v>210</v>
      </c>
      <c r="K374" s="166" t="s">
        <v>160</v>
      </c>
      <c r="L374" s="167">
        <v>1</v>
      </c>
      <c r="M374" s="168">
        <f t="shared" si="256"/>
        <v>1</v>
      </c>
      <c r="N374" s="249" t="s">
        <v>1548</v>
      </c>
      <c r="O374" s="70" t="s">
        <v>101</v>
      </c>
      <c r="P374" s="167">
        <v>5</v>
      </c>
      <c r="Q374" s="169">
        <f>I374*L374*P374</f>
        <v>5</v>
      </c>
      <c r="R374" s="70" t="s">
        <v>101</v>
      </c>
      <c r="S374" s="70" t="s">
        <v>101</v>
      </c>
      <c r="T374" s="138"/>
      <c r="U374" s="139"/>
      <c r="V374" s="131"/>
      <c r="W374" s="138"/>
      <c r="X374" s="139"/>
      <c r="Y374" s="139"/>
      <c r="Z374" s="131"/>
      <c r="AA374" s="132"/>
      <c r="AB374" s="112"/>
      <c r="AC374" s="79"/>
      <c r="AD374" s="122">
        <f t="shared" si="225"/>
        <v>13749</v>
      </c>
    </row>
    <row r="375" spans="1:30" ht="230.25" outlineLevel="2" thickBot="1" x14ac:dyDescent="0.25">
      <c r="A375" s="160" t="s">
        <v>1408</v>
      </c>
      <c r="B375" s="363" t="s">
        <v>1156</v>
      </c>
      <c r="C375" s="321" t="s">
        <v>1169</v>
      </c>
      <c r="D375" s="363" t="s">
        <v>217</v>
      </c>
      <c r="E375" s="139" t="s">
        <v>1223</v>
      </c>
      <c r="F375" s="139" t="s">
        <v>751</v>
      </c>
      <c r="G375" s="243" t="s">
        <v>242</v>
      </c>
      <c r="H375" s="133" t="s">
        <v>178</v>
      </c>
      <c r="I375" s="164">
        <v>1</v>
      </c>
      <c r="J375" s="165" t="s">
        <v>177</v>
      </c>
      <c r="K375" s="166" t="s">
        <v>160</v>
      </c>
      <c r="L375" s="167">
        <v>1</v>
      </c>
      <c r="M375" s="168">
        <f t="shared" si="256"/>
        <v>1</v>
      </c>
      <c r="N375" s="249" t="s">
        <v>1548</v>
      </c>
      <c r="O375" s="70" t="s">
        <v>101</v>
      </c>
      <c r="P375" s="167">
        <v>5</v>
      </c>
      <c r="Q375" s="169">
        <f t="shared" ref="Q375:Q380" si="257">I375*L375*P375</f>
        <v>5</v>
      </c>
      <c r="R375" s="70" t="s">
        <v>101</v>
      </c>
      <c r="S375" s="70" t="s">
        <v>101</v>
      </c>
      <c r="T375" s="138"/>
      <c r="U375" s="139"/>
      <c r="V375" s="131"/>
      <c r="W375" s="138"/>
      <c r="X375" s="139"/>
      <c r="Y375" s="139"/>
      <c r="Z375" s="131"/>
      <c r="AA375" s="132"/>
      <c r="AB375" s="112"/>
      <c r="AC375" s="79"/>
      <c r="AD375" s="122">
        <f t="shared" si="225"/>
        <v>13750</v>
      </c>
    </row>
    <row r="376" spans="1:30" ht="230.25" outlineLevel="2" thickBot="1" x14ac:dyDescent="0.25">
      <c r="A376" s="160" t="s">
        <v>1409</v>
      </c>
      <c r="B376" s="363"/>
      <c r="C376" s="321"/>
      <c r="D376" s="363"/>
      <c r="E376" s="139" t="s">
        <v>1224</v>
      </c>
      <c r="F376" s="136" t="s">
        <v>202</v>
      </c>
      <c r="G376" s="243" t="s">
        <v>242</v>
      </c>
      <c r="H376" s="125" t="s">
        <v>178</v>
      </c>
      <c r="I376" s="126">
        <v>3</v>
      </c>
      <c r="J376" s="140" t="s">
        <v>177</v>
      </c>
      <c r="K376" s="127" t="s">
        <v>160</v>
      </c>
      <c r="L376" s="128">
        <v>1</v>
      </c>
      <c r="M376" s="129">
        <f t="shared" si="256"/>
        <v>3</v>
      </c>
      <c r="N376" s="249" t="s">
        <v>1548</v>
      </c>
      <c r="O376" s="70" t="s">
        <v>101</v>
      </c>
      <c r="P376" s="128">
        <v>5</v>
      </c>
      <c r="Q376" s="130">
        <f t="shared" si="257"/>
        <v>15</v>
      </c>
      <c r="R376" s="70" t="s">
        <v>101</v>
      </c>
      <c r="S376" s="70" t="s">
        <v>101</v>
      </c>
      <c r="T376" s="138"/>
      <c r="U376" s="139"/>
      <c r="V376" s="131"/>
      <c r="W376" s="138"/>
      <c r="X376" s="139"/>
      <c r="Y376" s="139"/>
      <c r="Z376" s="131"/>
      <c r="AA376" s="132"/>
      <c r="AB376" s="112"/>
      <c r="AC376" s="79"/>
      <c r="AD376" s="122">
        <f t="shared" si="225"/>
        <v>13751</v>
      </c>
    </row>
    <row r="377" spans="1:30" ht="230.25" outlineLevel="2" thickBot="1" x14ac:dyDescent="0.25">
      <c r="A377" s="160" t="s">
        <v>1410</v>
      </c>
      <c r="B377" s="363"/>
      <c r="C377" s="321"/>
      <c r="D377" s="363"/>
      <c r="E377" s="139" t="s">
        <v>1225</v>
      </c>
      <c r="F377" s="139" t="s">
        <v>751</v>
      </c>
      <c r="G377" s="243" t="s">
        <v>242</v>
      </c>
      <c r="H377" s="125" t="s">
        <v>178</v>
      </c>
      <c r="I377" s="126">
        <v>1</v>
      </c>
      <c r="J377" s="140" t="s">
        <v>177</v>
      </c>
      <c r="K377" s="127" t="s">
        <v>160</v>
      </c>
      <c r="L377" s="128">
        <v>1</v>
      </c>
      <c r="M377" s="174">
        <f t="shared" si="256"/>
        <v>1</v>
      </c>
      <c r="N377" s="249" t="s">
        <v>1548</v>
      </c>
      <c r="O377" s="175" t="s">
        <v>101</v>
      </c>
      <c r="P377" s="128">
        <v>5</v>
      </c>
      <c r="Q377" s="176">
        <f t="shared" si="257"/>
        <v>5</v>
      </c>
      <c r="R377" s="70" t="s">
        <v>101</v>
      </c>
      <c r="S377" s="70" t="s">
        <v>101</v>
      </c>
      <c r="T377" s="138"/>
      <c r="U377" s="139"/>
      <c r="V377" s="131"/>
      <c r="W377" s="138"/>
      <c r="X377" s="139"/>
      <c r="Y377" s="139"/>
      <c r="Z377" s="131"/>
      <c r="AA377" s="132"/>
      <c r="AB377" s="112"/>
      <c r="AC377" s="79"/>
      <c r="AD377" s="122">
        <f t="shared" si="225"/>
        <v>13752</v>
      </c>
    </row>
    <row r="378" spans="1:30" ht="230.25" outlineLevel="2" thickBot="1" x14ac:dyDescent="0.25">
      <c r="A378" s="160" t="s">
        <v>1411</v>
      </c>
      <c r="B378" s="363"/>
      <c r="C378" s="321"/>
      <c r="D378" s="363"/>
      <c r="E378" s="136" t="s">
        <v>1226</v>
      </c>
      <c r="F378" s="136" t="s">
        <v>891</v>
      </c>
      <c r="G378" s="243" t="s">
        <v>242</v>
      </c>
      <c r="H378" s="125" t="s">
        <v>178</v>
      </c>
      <c r="I378" s="126">
        <v>1</v>
      </c>
      <c r="J378" s="140" t="s">
        <v>177</v>
      </c>
      <c r="K378" s="127" t="s">
        <v>160</v>
      </c>
      <c r="L378" s="128">
        <v>1</v>
      </c>
      <c r="M378" s="174">
        <f t="shared" si="256"/>
        <v>1</v>
      </c>
      <c r="N378" s="249" t="s">
        <v>1548</v>
      </c>
      <c r="O378" s="175" t="s">
        <v>101</v>
      </c>
      <c r="P378" s="128">
        <v>5</v>
      </c>
      <c r="Q378" s="176">
        <f t="shared" si="257"/>
        <v>5</v>
      </c>
      <c r="R378" s="70" t="s">
        <v>101</v>
      </c>
      <c r="S378" s="70" t="s">
        <v>101</v>
      </c>
      <c r="T378" s="138"/>
      <c r="U378" s="139"/>
      <c r="V378" s="131"/>
      <c r="W378" s="138"/>
      <c r="X378" s="139"/>
      <c r="Y378" s="139"/>
      <c r="Z378" s="131"/>
      <c r="AA378" s="132"/>
      <c r="AB378" s="112"/>
      <c r="AC378" s="79"/>
      <c r="AD378" s="122">
        <f t="shared" si="225"/>
        <v>13753</v>
      </c>
    </row>
    <row r="379" spans="1:30" ht="230.25" outlineLevel="2" thickBot="1" x14ac:dyDescent="0.25">
      <c r="A379" s="160" t="s">
        <v>1412</v>
      </c>
      <c r="B379" s="363"/>
      <c r="C379" s="321"/>
      <c r="D379" s="363"/>
      <c r="E379" s="136" t="s">
        <v>156</v>
      </c>
      <c r="F379" s="136" t="s">
        <v>751</v>
      </c>
      <c r="G379" s="243" t="s">
        <v>242</v>
      </c>
      <c r="H379" s="125" t="s">
        <v>178</v>
      </c>
      <c r="I379" s="126">
        <v>1</v>
      </c>
      <c r="J379" s="140" t="s">
        <v>177</v>
      </c>
      <c r="K379" s="127" t="s">
        <v>160</v>
      </c>
      <c r="L379" s="128">
        <v>1</v>
      </c>
      <c r="M379" s="129">
        <f t="shared" si="256"/>
        <v>1</v>
      </c>
      <c r="N379" s="249" t="s">
        <v>1548</v>
      </c>
      <c r="O379" s="70" t="s">
        <v>101</v>
      </c>
      <c r="P379" s="128">
        <v>5</v>
      </c>
      <c r="Q379" s="130">
        <f t="shared" si="257"/>
        <v>5</v>
      </c>
      <c r="R379" s="70" t="s">
        <v>101</v>
      </c>
      <c r="S379" s="70" t="s">
        <v>101</v>
      </c>
      <c r="T379" s="138"/>
      <c r="U379" s="139"/>
      <c r="V379" s="131"/>
      <c r="W379" s="138"/>
      <c r="X379" s="139"/>
      <c r="Y379" s="139"/>
      <c r="Z379" s="131"/>
      <c r="AA379" s="132"/>
      <c r="AB379" s="112"/>
      <c r="AC379" s="79"/>
      <c r="AD379" s="122">
        <f t="shared" si="225"/>
        <v>13754</v>
      </c>
    </row>
    <row r="380" spans="1:30" ht="230.25" outlineLevel="2" thickBot="1" x14ac:dyDescent="0.25">
      <c r="A380" s="160" t="s">
        <v>1413</v>
      </c>
      <c r="B380" s="363"/>
      <c r="C380" s="321"/>
      <c r="D380" s="363"/>
      <c r="E380" s="136" t="s">
        <v>492</v>
      </c>
      <c r="F380" s="136" t="s">
        <v>873</v>
      </c>
      <c r="G380" s="243" t="s">
        <v>242</v>
      </c>
      <c r="H380" s="125" t="s">
        <v>178</v>
      </c>
      <c r="I380" s="126">
        <v>1</v>
      </c>
      <c r="J380" s="140" t="s">
        <v>177</v>
      </c>
      <c r="K380" s="127" t="s">
        <v>160</v>
      </c>
      <c r="L380" s="128">
        <v>1</v>
      </c>
      <c r="M380" s="129">
        <f t="shared" si="256"/>
        <v>1</v>
      </c>
      <c r="N380" s="249" t="s">
        <v>1548</v>
      </c>
      <c r="O380" s="70" t="s">
        <v>101</v>
      </c>
      <c r="P380" s="128">
        <v>5</v>
      </c>
      <c r="Q380" s="130">
        <f t="shared" si="257"/>
        <v>5</v>
      </c>
      <c r="R380" s="70" t="s">
        <v>101</v>
      </c>
      <c r="S380" s="70" t="s">
        <v>101</v>
      </c>
      <c r="T380" s="138"/>
      <c r="U380" s="139"/>
      <c r="V380" s="131"/>
      <c r="W380" s="138"/>
      <c r="X380" s="139"/>
      <c r="Y380" s="139"/>
      <c r="Z380" s="131"/>
      <c r="AA380" s="132"/>
      <c r="AB380" s="112"/>
      <c r="AC380" s="79"/>
      <c r="AD380" s="122">
        <f t="shared" si="225"/>
        <v>13755</v>
      </c>
    </row>
    <row r="381" spans="1:30" ht="255.75" outlineLevel="2" thickBot="1" x14ac:dyDescent="0.25">
      <c r="A381" s="160" t="s">
        <v>1414</v>
      </c>
      <c r="B381" s="354" t="s">
        <v>1157</v>
      </c>
      <c r="C381" s="325" t="s">
        <v>1170</v>
      </c>
      <c r="D381" s="354" t="s">
        <v>749</v>
      </c>
      <c r="E381" s="136" t="s">
        <v>498</v>
      </c>
      <c r="F381" s="136" t="s">
        <v>948</v>
      </c>
      <c r="G381" s="243" t="s">
        <v>930</v>
      </c>
      <c r="H381" s="125" t="s">
        <v>178</v>
      </c>
      <c r="I381" s="126">
        <v>4</v>
      </c>
      <c r="J381" s="140" t="s">
        <v>177</v>
      </c>
      <c r="K381" s="127" t="s">
        <v>160</v>
      </c>
      <c r="L381" s="128">
        <v>1</v>
      </c>
      <c r="M381" s="174">
        <f t="shared" ref="M381:M383" si="258">I381*L381</f>
        <v>4</v>
      </c>
      <c r="N381" s="249" t="s">
        <v>1548</v>
      </c>
      <c r="O381" s="70" t="s">
        <v>199</v>
      </c>
      <c r="P381" s="128">
        <v>1</v>
      </c>
      <c r="Q381" s="176">
        <f t="shared" ref="Q381" si="259">I381*L381*P381</f>
        <v>4</v>
      </c>
      <c r="R381" s="138" t="s">
        <v>1469</v>
      </c>
      <c r="S381" s="138" t="s">
        <v>1549</v>
      </c>
      <c r="T381" s="138"/>
      <c r="U381" s="139"/>
      <c r="V381" s="131"/>
      <c r="W381" s="138"/>
      <c r="X381" s="139"/>
      <c r="Y381" s="139"/>
      <c r="Z381" s="131"/>
      <c r="AA381" s="132"/>
      <c r="AB381" s="112"/>
      <c r="AC381" s="79"/>
      <c r="AD381" s="122">
        <f t="shared" si="225"/>
        <v>13756</v>
      </c>
    </row>
    <row r="382" spans="1:30" ht="230.25" outlineLevel="2" thickBot="1" x14ac:dyDescent="0.25">
      <c r="A382" s="160" t="s">
        <v>1415</v>
      </c>
      <c r="B382" s="354"/>
      <c r="C382" s="325"/>
      <c r="D382" s="354"/>
      <c r="E382" s="136" t="s">
        <v>750</v>
      </c>
      <c r="F382" s="136" t="s">
        <v>202</v>
      </c>
      <c r="G382" s="243" t="s">
        <v>242</v>
      </c>
      <c r="H382" s="125" t="s">
        <v>178</v>
      </c>
      <c r="I382" s="126">
        <v>3</v>
      </c>
      <c r="J382" s="140" t="s">
        <v>210</v>
      </c>
      <c r="K382" s="127" t="s">
        <v>160</v>
      </c>
      <c r="L382" s="128">
        <v>1</v>
      </c>
      <c r="M382" s="129">
        <f t="shared" si="258"/>
        <v>3</v>
      </c>
      <c r="N382" s="249" t="s">
        <v>1548</v>
      </c>
      <c r="O382" s="70" t="s">
        <v>101</v>
      </c>
      <c r="P382" s="128">
        <v>5</v>
      </c>
      <c r="Q382" s="130">
        <f>I382*L382*P382</f>
        <v>15</v>
      </c>
      <c r="R382" s="70" t="s">
        <v>101</v>
      </c>
      <c r="S382" s="70" t="s">
        <v>101</v>
      </c>
      <c r="T382" s="138"/>
      <c r="U382" s="139"/>
      <c r="V382" s="131"/>
      <c r="W382" s="138"/>
      <c r="X382" s="139"/>
      <c r="Y382" s="139"/>
      <c r="Z382" s="131"/>
      <c r="AA382" s="132"/>
      <c r="AB382" s="112"/>
      <c r="AC382" s="79"/>
      <c r="AD382" s="122">
        <f t="shared" si="225"/>
        <v>13757</v>
      </c>
    </row>
    <row r="383" spans="1:30" ht="255.75" outlineLevel="2" thickBot="1" x14ac:dyDescent="0.25">
      <c r="A383" s="160" t="s">
        <v>1416</v>
      </c>
      <c r="B383" s="352"/>
      <c r="C383" s="313"/>
      <c r="D383" s="352"/>
      <c r="E383" s="136" t="s">
        <v>733</v>
      </c>
      <c r="F383" s="136" t="s">
        <v>948</v>
      </c>
      <c r="G383" s="243" t="s">
        <v>930</v>
      </c>
      <c r="H383" s="125" t="s">
        <v>178</v>
      </c>
      <c r="I383" s="126">
        <v>4</v>
      </c>
      <c r="J383" s="140" t="s">
        <v>177</v>
      </c>
      <c r="K383" s="127" t="s">
        <v>160</v>
      </c>
      <c r="L383" s="128">
        <v>1</v>
      </c>
      <c r="M383" s="174">
        <f t="shared" si="258"/>
        <v>4</v>
      </c>
      <c r="N383" s="249" t="s">
        <v>1548</v>
      </c>
      <c r="O383" s="70" t="s">
        <v>199</v>
      </c>
      <c r="P383" s="128">
        <v>1</v>
      </c>
      <c r="Q383" s="176">
        <f t="shared" ref="Q383" si="260">I383*L383*P383</f>
        <v>4</v>
      </c>
      <c r="R383" s="138" t="s">
        <v>1469</v>
      </c>
      <c r="S383" s="138" t="s">
        <v>1549</v>
      </c>
      <c r="T383" s="138"/>
      <c r="U383" s="139"/>
      <c r="V383" s="131"/>
      <c r="W383" s="138"/>
      <c r="X383" s="139"/>
      <c r="Y383" s="139"/>
      <c r="Z383" s="131"/>
      <c r="AA383" s="132"/>
      <c r="AB383" s="112"/>
      <c r="AC383" s="79"/>
      <c r="AD383" s="122">
        <f t="shared" si="225"/>
        <v>13758</v>
      </c>
    </row>
    <row r="384" spans="1:30" ht="230.25" outlineLevel="2" thickBot="1" x14ac:dyDescent="0.25">
      <c r="A384" s="160" t="s">
        <v>1417</v>
      </c>
      <c r="B384" s="351" t="s">
        <v>1158</v>
      </c>
      <c r="C384" s="321" t="s">
        <v>1171</v>
      </c>
      <c r="D384" s="351" t="s">
        <v>523</v>
      </c>
      <c r="E384" s="136" t="s">
        <v>214</v>
      </c>
      <c r="F384" s="136" t="s">
        <v>215</v>
      </c>
      <c r="G384" s="243" t="s">
        <v>242</v>
      </c>
      <c r="H384" s="125" t="s">
        <v>178</v>
      </c>
      <c r="I384" s="126">
        <v>1</v>
      </c>
      <c r="J384" s="140" t="s">
        <v>210</v>
      </c>
      <c r="K384" s="127" t="s">
        <v>160</v>
      </c>
      <c r="L384" s="128">
        <v>1</v>
      </c>
      <c r="M384" s="129">
        <f t="shared" ref="M384:M385" si="261">I384*L384</f>
        <v>1</v>
      </c>
      <c r="N384" s="249" t="s">
        <v>1548</v>
      </c>
      <c r="O384" s="70" t="s">
        <v>101</v>
      </c>
      <c r="P384" s="128">
        <v>5</v>
      </c>
      <c r="Q384" s="130">
        <f t="shared" ref="Q384:Q385" si="262">I384*L384*P384</f>
        <v>5</v>
      </c>
      <c r="R384" s="70" t="s">
        <v>101</v>
      </c>
      <c r="S384" s="70" t="s">
        <v>101</v>
      </c>
      <c r="T384" s="138"/>
      <c r="U384" s="139"/>
      <c r="V384" s="131"/>
      <c r="W384" s="138"/>
      <c r="X384" s="139"/>
      <c r="Y384" s="139"/>
      <c r="Z384" s="131"/>
      <c r="AA384" s="132"/>
      <c r="AB384" s="112"/>
      <c r="AC384" s="79"/>
      <c r="AD384" s="122">
        <f t="shared" si="225"/>
        <v>13759</v>
      </c>
    </row>
    <row r="385" spans="1:30" ht="230.25" outlineLevel="2" thickBot="1" x14ac:dyDescent="0.25">
      <c r="A385" s="160" t="s">
        <v>1418</v>
      </c>
      <c r="B385" s="352"/>
      <c r="C385" s="321"/>
      <c r="D385" s="352"/>
      <c r="E385" s="136" t="s">
        <v>216</v>
      </c>
      <c r="F385" s="136" t="s">
        <v>203</v>
      </c>
      <c r="G385" s="243" t="s">
        <v>242</v>
      </c>
      <c r="H385" s="125" t="s">
        <v>178</v>
      </c>
      <c r="I385" s="126">
        <v>1</v>
      </c>
      <c r="J385" s="140" t="s">
        <v>177</v>
      </c>
      <c r="K385" s="127" t="s">
        <v>160</v>
      </c>
      <c r="L385" s="128">
        <v>1</v>
      </c>
      <c r="M385" s="129">
        <f t="shared" si="261"/>
        <v>1</v>
      </c>
      <c r="N385" s="249" t="s">
        <v>1548</v>
      </c>
      <c r="O385" s="70" t="s">
        <v>101</v>
      </c>
      <c r="P385" s="128">
        <v>5</v>
      </c>
      <c r="Q385" s="130">
        <f t="shared" si="262"/>
        <v>5</v>
      </c>
      <c r="R385" s="70" t="s">
        <v>101</v>
      </c>
      <c r="S385" s="70" t="s">
        <v>101</v>
      </c>
      <c r="T385" s="138"/>
      <c r="U385" s="139"/>
      <c r="V385" s="131"/>
      <c r="W385" s="138"/>
      <c r="X385" s="139"/>
      <c r="Y385" s="139"/>
      <c r="Z385" s="131"/>
      <c r="AA385" s="132"/>
      <c r="AB385" s="112"/>
      <c r="AC385" s="79"/>
      <c r="AD385" s="122">
        <f t="shared" si="225"/>
        <v>13760</v>
      </c>
    </row>
    <row r="386" spans="1:30" ht="230.25" outlineLevel="2" thickBot="1" x14ac:dyDescent="0.25">
      <c r="A386" s="160" t="s">
        <v>1419</v>
      </c>
      <c r="B386" s="227" t="s">
        <v>1222</v>
      </c>
      <c r="C386" s="261" t="s">
        <v>1221</v>
      </c>
      <c r="D386" s="136" t="s">
        <v>1208</v>
      </c>
      <c r="E386" s="136" t="s">
        <v>154</v>
      </c>
      <c r="F386" s="136" t="s">
        <v>202</v>
      </c>
      <c r="G386" s="243" t="s">
        <v>242</v>
      </c>
      <c r="H386" s="125" t="s">
        <v>178</v>
      </c>
      <c r="I386" s="126">
        <v>3</v>
      </c>
      <c r="J386" s="140" t="s">
        <v>177</v>
      </c>
      <c r="K386" s="127" t="s">
        <v>160</v>
      </c>
      <c r="L386" s="128">
        <v>2</v>
      </c>
      <c r="M386" s="174">
        <f t="shared" ref="M386:M389" si="263">I386*L386</f>
        <v>6</v>
      </c>
      <c r="N386" s="249" t="s">
        <v>1548</v>
      </c>
      <c r="O386" s="70" t="s">
        <v>101</v>
      </c>
      <c r="P386" s="128">
        <v>5</v>
      </c>
      <c r="Q386" s="176">
        <f t="shared" ref="Q386:Q389" si="264">I386*L386*P386</f>
        <v>30</v>
      </c>
      <c r="R386" s="70" t="s">
        <v>101</v>
      </c>
      <c r="S386" s="70" t="s">
        <v>101</v>
      </c>
      <c r="T386" s="138"/>
      <c r="U386" s="139"/>
      <c r="V386" s="131"/>
      <c r="W386" s="138"/>
      <c r="X386" s="139"/>
      <c r="Y386" s="139"/>
      <c r="Z386" s="131"/>
      <c r="AA386" s="132"/>
      <c r="AB386" s="112"/>
      <c r="AC386" s="79"/>
      <c r="AD386" s="122">
        <f t="shared" si="225"/>
        <v>13761</v>
      </c>
    </row>
    <row r="387" spans="1:30" ht="230.25" outlineLevel="2" thickBot="1" x14ac:dyDescent="0.25">
      <c r="A387" s="160" t="s">
        <v>1420</v>
      </c>
      <c r="B387" s="228" t="s">
        <v>1159</v>
      </c>
      <c r="C387" s="261" t="s">
        <v>1172</v>
      </c>
      <c r="D387" s="136" t="s">
        <v>528</v>
      </c>
      <c r="E387" s="136" t="s">
        <v>659</v>
      </c>
      <c r="F387" s="136" t="s">
        <v>202</v>
      </c>
      <c r="G387" s="243" t="s">
        <v>242</v>
      </c>
      <c r="H387" s="125" t="s">
        <v>178</v>
      </c>
      <c r="I387" s="126">
        <v>3</v>
      </c>
      <c r="J387" s="140" t="s">
        <v>177</v>
      </c>
      <c r="K387" s="127" t="s">
        <v>160</v>
      </c>
      <c r="L387" s="128">
        <v>2</v>
      </c>
      <c r="M387" s="129">
        <f t="shared" si="263"/>
        <v>6</v>
      </c>
      <c r="N387" s="249" t="s">
        <v>1548</v>
      </c>
      <c r="O387" s="70" t="s">
        <v>101</v>
      </c>
      <c r="P387" s="128">
        <v>5</v>
      </c>
      <c r="Q387" s="130">
        <f t="shared" si="264"/>
        <v>30</v>
      </c>
      <c r="R387" s="70" t="s">
        <v>101</v>
      </c>
      <c r="S387" s="70" t="s">
        <v>101</v>
      </c>
      <c r="T387" s="138"/>
      <c r="U387" s="139"/>
      <c r="V387" s="131"/>
      <c r="W387" s="138"/>
      <c r="X387" s="139"/>
      <c r="Y387" s="139"/>
      <c r="Z387" s="131"/>
      <c r="AA387" s="132"/>
      <c r="AB387" s="112"/>
      <c r="AC387" s="79"/>
      <c r="AD387" s="122">
        <f t="shared" si="225"/>
        <v>13762</v>
      </c>
    </row>
    <row r="388" spans="1:30" ht="79.5" customHeight="1" outlineLevel="2" thickBot="1" x14ac:dyDescent="0.25">
      <c r="A388" s="160" t="s">
        <v>1421</v>
      </c>
      <c r="B388" s="363" t="s">
        <v>1160</v>
      </c>
      <c r="C388" s="321" t="s">
        <v>1173</v>
      </c>
      <c r="D388" s="351" t="s">
        <v>523</v>
      </c>
      <c r="E388" s="136" t="s">
        <v>214</v>
      </c>
      <c r="F388" s="136" t="s">
        <v>215</v>
      </c>
      <c r="G388" s="243" t="s">
        <v>242</v>
      </c>
      <c r="H388" s="125" t="s">
        <v>178</v>
      </c>
      <c r="I388" s="126">
        <v>1</v>
      </c>
      <c r="J388" s="140" t="s">
        <v>210</v>
      </c>
      <c r="K388" s="127" t="s">
        <v>160</v>
      </c>
      <c r="L388" s="128">
        <v>1</v>
      </c>
      <c r="M388" s="129">
        <f t="shared" si="263"/>
        <v>1</v>
      </c>
      <c r="N388" s="249" t="s">
        <v>1548</v>
      </c>
      <c r="O388" s="70" t="s">
        <v>101</v>
      </c>
      <c r="P388" s="128">
        <v>5</v>
      </c>
      <c r="Q388" s="130">
        <f t="shared" si="264"/>
        <v>5</v>
      </c>
      <c r="R388" s="70" t="s">
        <v>101</v>
      </c>
      <c r="S388" s="70" t="s">
        <v>101</v>
      </c>
      <c r="T388" s="138"/>
      <c r="U388" s="139"/>
      <c r="V388" s="131"/>
      <c r="W388" s="138"/>
      <c r="X388" s="139"/>
      <c r="Y388" s="139"/>
      <c r="Z388" s="131"/>
      <c r="AA388" s="132"/>
      <c r="AB388" s="112"/>
      <c r="AC388" s="79"/>
      <c r="AD388" s="122">
        <f t="shared" ref="AD388:AD391" si="265">VALUE(RIGHT((IF(A388="",0,A388)),5))</f>
        <v>13763</v>
      </c>
    </row>
    <row r="389" spans="1:30" ht="230.25" customHeight="1" outlineLevel="2" thickBot="1" x14ac:dyDescent="0.25">
      <c r="A389" s="160" t="s">
        <v>1422</v>
      </c>
      <c r="B389" s="363"/>
      <c r="C389" s="321"/>
      <c r="D389" s="352"/>
      <c r="E389" s="136" t="s">
        <v>216</v>
      </c>
      <c r="F389" s="136" t="s">
        <v>203</v>
      </c>
      <c r="G389" s="243" t="s">
        <v>242</v>
      </c>
      <c r="H389" s="125" t="s">
        <v>178</v>
      </c>
      <c r="I389" s="126">
        <v>1</v>
      </c>
      <c r="J389" s="140" t="s">
        <v>177</v>
      </c>
      <c r="K389" s="127" t="s">
        <v>160</v>
      </c>
      <c r="L389" s="128">
        <v>1</v>
      </c>
      <c r="M389" s="129">
        <f t="shared" si="263"/>
        <v>1</v>
      </c>
      <c r="N389" s="249" t="s">
        <v>1548</v>
      </c>
      <c r="O389" s="70" t="s">
        <v>101</v>
      </c>
      <c r="P389" s="128">
        <v>5</v>
      </c>
      <c r="Q389" s="130">
        <f t="shared" si="264"/>
        <v>5</v>
      </c>
      <c r="R389" s="70" t="s">
        <v>101</v>
      </c>
      <c r="S389" s="70" t="s">
        <v>101</v>
      </c>
      <c r="T389" s="138"/>
      <c r="U389" s="139"/>
      <c r="V389" s="131"/>
      <c r="W389" s="138"/>
      <c r="X389" s="139"/>
      <c r="Y389" s="139"/>
      <c r="Z389" s="131"/>
      <c r="AA389" s="132"/>
      <c r="AB389" s="112"/>
      <c r="AC389" s="79"/>
      <c r="AD389" s="122">
        <f t="shared" si="265"/>
        <v>13764</v>
      </c>
    </row>
    <row r="390" spans="1:30" x14ac:dyDescent="0.2">
      <c r="A390" s="119"/>
      <c r="B390" s="79"/>
      <c r="E390" s="86"/>
      <c r="N390" s="83"/>
      <c r="AD390" s="122">
        <f t="shared" si="265"/>
        <v>0</v>
      </c>
    </row>
    <row r="391" spans="1:30" x14ac:dyDescent="0.2">
      <c r="A391" s="119"/>
      <c r="B391" s="79"/>
      <c r="E391" s="86"/>
      <c r="AD391" s="122">
        <f t="shared" si="265"/>
        <v>0</v>
      </c>
    </row>
    <row r="392" spans="1:30" x14ac:dyDescent="0.2">
      <c r="A392" s="119"/>
      <c r="B392" s="79"/>
      <c r="E392" s="86"/>
    </row>
    <row r="393" spans="1:30" x14ac:dyDescent="0.2">
      <c r="A393" s="119"/>
      <c r="B393" s="79"/>
      <c r="E393" s="86"/>
    </row>
    <row r="394" spans="1:30" x14ac:dyDescent="0.2">
      <c r="A394" s="119"/>
      <c r="B394" s="79"/>
      <c r="E394" s="86"/>
    </row>
    <row r="395" spans="1:30" x14ac:dyDescent="0.2">
      <c r="A395" s="119"/>
      <c r="B395" s="79"/>
      <c r="E395" s="86"/>
    </row>
    <row r="396" spans="1:30" x14ac:dyDescent="0.2">
      <c r="A396" s="119"/>
      <c r="B396" s="79"/>
      <c r="E396" s="86"/>
    </row>
    <row r="397" spans="1:30" x14ac:dyDescent="0.2">
      <c r="A397" s="119"/>
      <c r="B397" s="79"/>
      <c r="E397" s="86"/>
    </row>
  </sheetData>
  <autoFilter ref="A2:HG389" xr:uid="{B5347EC4-7A88-4A80-A328-7F19B55D9EC4}"/>
  <dataConsolidate/>
  <mergeCells count="354">
    <mergeCell ref="A1:A2"/>
    <mergeCell ref="B304:B305"/>
    <mergeCell ref="C304:C305"/>
    <mergeCell ref="D304:D305"/>
    <mergeCell ref="B312:B313"/>
    <mergeCell ref="C312:C313"/>
    <mergeCell ref="D312:D313"/>
    <mergeCell ref="B308:B309"/>
    <mergeCell ref="C308:C309"/>
    <mergeCell ref="D308:D309"/>
    <mergeCell ref="B310:B311"/>
    <mergeCell ref="C310:C311"/>
    <mergeCell ref="D310:D311"/>
    <mergeCell ref="B300:B301"/>
    <mergeCell ref="C300:C301"/>
    <mergeCell ref="B150:B151"/>
    <mergeCell ref="C150:C151"/>
    <mergeCell ref="B152:B153"/>
    <mergeCell ref="C152:C153"/>
    <mergeCell ref="D150:D151"/>
    <mergeCell ref="D152:D153"/>
    <mergeCell ref="B282:B283"/>
    <mergeCell ref="C282:C283"/>
    <mergeCell ref="D282:D283"/>
    <mergeCell ref="B71:B72"/>
    <mergeCell ref="C71:C72"/>
    <mergeCell ref="D71:D72"/>
    <mergeCell ref="B158:B159"/>
    <mergeCell ref="C158:C159"/>
    <mergeCell ref="D158:D159"/>
    <mergeCell ref="B137:B140"/>
    <mergeCell ref="B141:B142"/>
    <mergeCell ref="C137:C140"/>
    <mergeCell ref="C141:C142"/>
    <mergeCell ref="D137:D140"/>
    <mergeCell ref="D141:D142"/>
    <mergeCell ref="B76:B77"/>
    <mergeCell ref="B135:B136"/>
    <mergeCell ref="B143:B144"/>
    <mergeCell ref="C133:C134"/>
    <mergeCell ref="C135:C136"/>
    <mergeCell ref="C143:C144"/>
    <mergeCell ref="C94:C95"/>
    <mergeCell ref="C99:C101"/>
    <mergeCell ref="C102:C103"/>
    <mergeCell ref="C104:C105"/>
    <mergeCell ref="C108:C109"/>
    <mergeCell ref="C76:C77"/>
    <mergeCell ref="D388:D389"/>
    <mergeCell ref="D373:D374"/>
    <mergeCell ref="D371:D372"/>
    <mergeCell ref="D369:D370"/>
    <mergeCell ref="D367:D368"/>
    <mergeCell ref="D365:D366"/>
    <mergeCell ref="B302:B303"/>
    <mergeCell ref="C302:C303"/>
    <mergeCell ref="D302:D303"/>
    <mergeCell ref="B388:B389"/>
    <mergeCell ref="B360:B361"/>
    <mergeCell ref="C360:C361"/>
    <mergeCell ref="B362:B364"/>
    <mergeCell ref="B365:B366"/>
    <mergeCell ref="B367:B368"/>
    <mergeCell ref="B369:B370"/>
    <mergeCell ref="B371:B372"/>
    <mergeCell ref="B373:B374"/>
    <mergeCell ref="C384:C385"/>
    <mergeCell ref="C388:C389"/>
    <mergeCell ref="B356:B357"/>
    <mergeCell ref="C356:C357"/>
    <mergeCell ref="D356:D357"/>
    <mergeCell ref="B346:B347"/>
    <mergeCell ref="B384:B385"/>
    <mergeCell ref="C362:C364"/>
    <mergeCell ref="C365:C366"/>
    <mergeCell ref="C367:C368"/>
    <mergeCell ref="C369:C370"/>
    <mergeCell ref="C371:C372"/>
    <mergeCell ref="C373:C374"/>
    <mergeCell ref="D360:D361"/>
    <mergeCell ref="B358:B359"/>
    <mergeCell ref="C358:C359"/>
    <mergeCell ref="D358:D359"/>
    <mergeCell ref="D362:D364"/>
    <mergeCell ref="B375:B380"/>
    <mergeCell ref="B381:B383"/>
    <mergeCell ref="C375:C380"/>
    <mergeCell ref="C381:C383"/>
    <mergeCell ref="D375:D380"/>
    <mergeCell ref="D381:D383"/>
    <mergeCell ref="D384:D385"/>
    <mergeCell ref="B336:B337"/>
    <mergeCell ref="C336:C337"/>
    <mergeCell ref="D336:D337"/>
    <mergeCell ref="B338:B339"/>
    <mergeCell ref="C338:C339"/>
    <mergeCell ref="D338:D339"/>
    <mergeCell ref="B354:B355"/>
    <mergeCell ref="C354:C355"/>
    <mergeCell ref="D354:D355"/>
    <mergeCell ref="D346:D347"/>
    <mergeCell ref="C346:C347"/>
    <mergeCell ref="B288:B289"/>
    <mergeCell ref="B290:B291"/>
    <mergeCell ref="C288:C289"/>
    <mergeCell ref="C290:C291"/>
    <mergeCell ref="B292:B293"/>
    <mergeCell ref="C292:C293"/>
    <mergeCell ref="D257:D258"/>
    <mergeCell ref="D259:D260"/>
    <mergeCell ref="B297:B298"/>
    <mergeCell ref="B278:B279"/>
    <mergeCell ref="B257:B258"/>
    <mergeCell ref="B259:B260"/>
    <mergeCell ref="C257:C258"/>
    <mergeCell ref="C259:C260"/>
    <mergeCell ref="B276:B277"/>
    <mergeCell ref="C276:C277"/>
    <mergeCell ref="D271:D272"/>
    <mergeCell ref="B271:B272"/>
    <mergeCell ref="C255:C256"/>
    <mergeCell ref="D288:D289"/>
    <mergeCell ref="B123:B124"/>
    <mergeCell ref="C123:C124"/>
    <mergeCell ref="D123:D124"/>
    <mergeCell ref="B125:B126"/>
    <mergeCell ref="C125:C126"/>
    <mergeCell ref="D125:D126"/>
    <mergeCell ref="B243:B244"/>
    <mergeCell ref="C243:C244"/>
    <mergeCell ref="D243:D244"/>
    <mergeCell ref="B241:B242"/>
    <mergeCell ref="C241:C242"/>
    <mergeCell ref="D241:D242"/>
    <mergeCell ref="D239:D240"/>
    <mergeCell ref="C237:C238"/>
    <mergeCell ref="B237:B238"/>
    <mergeCell ref="B239:B240"/>
    <mergeCell ref="C239:C240"/>
    <mergeCell ref="B214:B215"/>
    <mergeCell ref="D214:D215"/>
    <mergeCell ref="B216:B217"/>
    <mergeCell ref="C214:C215"/>
    <mergeCell ref="C216:C217"/>
    <mergeCell ref="C218:C219"/>
    <mergeCell ref="C178:C179"/>
    <mergeCell ref="B84:B85"/>
    <mergeCell ref="C84:C85"/>
    <mergeCell ref="D84:D85"/>
    <mergeCell ref="B86:B87"/>
    <mergeCell ref="C86:C87"/>
    <mergeCell ref="D86:D87"/>
    <mergeCell ref="B88:B89"/>
    <mergeCell ref="B90:B91"/>
    <mergeCell ref="C88:C89"/>
    <mergeCell ref="C90:C91"/>
    <mergeCell ref="D88:D89"/>
    <mergeCell ref="D90:D91"/>
    <mergeCell ref="B106:B107"/>
    <mergeCell ref="C106:C107"/>
    <mergeCell ref="D106:D107"/>
    <mergeCell ref="B193:B194"/>
    <mergeCell ref="C193:C194"/>
    <mergeCell ref="D193:D194"/>
    <mergeCell ref="B195:B196"/>
    <mergeCell ref="C201:C202"/>
    <mergeCell ref="C203:C204"/>
    <mergeCell ref="C205:C206"/>
    <mergeCell ref="C251:C252"/>
    <mergeCell ref="C253:C254"/>
    <mergeCell ref="C220:C221"/>
    <mergeCell ref="C222:C223"/>
    <mergeCell ref="C224:C225"/>
    <mergeCell ref="C226:C227"/>
    <mergeCell ref="C228:C229"/>
    <mergeCell ref="C230:C231"/>
    <mergeCell ref="C232:C233"/>
    <mergeCell ref="C245:C246"/>
    <mergeCell ref="C249:C250"/>
    <mergeCell ref="C207:C208"/>
    <mergeCell ref="C209:C210"/>
    <mergeCell ref="C211:C212"/>
    <mergeCell ref="C180:C181"/>
    <mergeCell ref="C182:C183"/>
    <mergeCell ref="C184:C185"/>
    <mergeCell ref="C186:C187"/>
    <mergeCell ref="C188:C189"/>
    <mergeCell ref="C190:C191"/>
    <mergeCell ref="C197:C198"/>
    <mergeCell ref="C199:C200"/>
    <mergeCell ref="C195:C196"/>
    <mergeCell ref="D22:D23"/>
    <mergeCell ref="D24:D25"/>
    <mergeCell ref="D92:D93"/>
    <mergeCell ref="D99:D101"/>
    <mergeCell ref="D110:D111"/>
    <mergeCell ref="D62:D65"/>
    <mergeCell ref="I1:I2"/>
    <mergeCell ref="E1:E2"/>
    <mergeCell ref="F1:H1"/>
    <mergeCell ref="D52:D53"/>
    <mergeCell ref="U255:U256"/>
    <mergeCell ref="D127:D128"/>
    <mergeCell ref="D131:D132"/>
    <mergeCell ref="D234:D235"/>
    <mergeCell ref="D245:D246"/>
    <mergeCell ref="D170:D172"/>
    <mergeCell ref="D220:D221"/>
    <mergeCell ref="D222:D223"/>
    <mergeCell ref="D226:D227"/>
    <mergeCell ref="D228:D229"/>
    <mergeCell ref="D133:D134"/>
    <mergeCell ref="D145:D147"/>
    <mergeCell ref="D148:D149"/>
    <mergeCell ref="D195:D196"/>
    <mergeCell ref="D216:D217"/>
    <mergeCell ref="D237:D238"/>
    <mergeCell ref="D135:D136"/>
    <mergeCell ref="D143:D144"/>
    <mergeCell ref="D314:D315"/>
    <mergeCell ref="D230:D231"/>
    <mergeCell ref="D232:D233"/>
    <mergeCell ref="D297:D298"/>
    <mergeCell ref="D306:D307"/>
    <mergeCell ref="D269:D270"/>
    <mergeCell ref="D284:D285"/>
    <mergeCell ref="D267:D268"/>
    <mergeCell ref="D249:D250"/>
    <mergeCell ref="D253:D254"/>
    <mergeCell ref="D292:D293"/>
    <mergeCell ref="D278:D279"/>
    <mergeCell ref="D290:D291"/>
    <mergeCell ref="D300:D301"/>
    <mergeCell ref="D276:D277"/>
    <mergeCell ref="B1:B2"/>
    <mergeCell ref="D1:D2"/>
    <mergeCell ref="B30:B33"/>
    <mergeCell ref="B46:B49"/>
    <mergeCell ref="B54:B57"/>
    <mergeCell ref="B17:B19"/>
    <mergeCell ref="B22:B23"/>
    <mergeCell ref="B24:B25"/>
    <mergeCell ref="B62:B65"/>
    <mergeCell ref="D30:D33"/>
    <mergeCell ref="D46:D49"/>
    <mergeCell ref="D54:D57"/>
    <mergeCell ref="D17:D19"/>
    <mergeCell ref="C15:C16"/>
    <mergeCell ref="C26:C27"/>
    <mergeCell ref="C30:C33"/>
    <mergeCell ref="C34:C39"/>
    <mergeCell ref="C44:C45"/>
    <mergeCell ref="C28:C29"/>
    <mergeCell ref="C41:C42"/>
    <mergeCell ref="C22:C23"/>
    <mergeCell ref="C24:C25"/>
    <mergeCell ref="C20:C21"/>
    <mergeCell ref="C17:C19"/>
    <mergeCell ref="B52:B53"/>
    <mergeCell ref="C1:C2"/>
    <mergeCell ref="D352:D353"/>
    <mergeCell ref="D316:D317"/>
    <mergeCell ref="D325:D326"/>
    <mergeCell ref="D334:D335"/>
    <mergeCell ref="D340:D341"/>
    <mergeCell ref="D342:D343"/>
    <mergeCell ref="D76:D77"/>
    <mergeCell ref="D5:D6"/>
    <mergeCell ref="D7:D9"/>
    <mergeCell ref="D28:D29"/>
    <mergeCell ref="C5:C6"/>
    <mergeCell ref="C7:C10"/>
    <mergeCell ref="C11:C12"/>
    <mergeCell ref="C13:C14"/>
    <mergeCell ref="B255:B256"/>
    <mergeCell ref="D255:D256"/>
    <mergeCell ref="B249:B250"/>
    <mergeCell ref="B251:B252"/>
    <mergeCell ref="D251:D252"/>
    <mergeCell ref="B253:B254"/>
    <mergeCell ref="B129:B130"/>
    <mergeCell ref="D129:D130"/>
    <mergeCell ref="AB1:AB2"/>
    <mergeCell ref="J1:J2"/>
    <mergeCell ref="K1:K2"/>
    <mergeCell ref="L1:L2"/>
    <mergeCell ref="M1:M2"/>
    <mergeCell ref="N1:P1"/>
    <mergeCell ref="Q1:Q2"/>
    <mergeCell ref="R1:R2"/>
    <mergeCell ref="U1:U2"/>
    <mergeCell ref="V1:V2"/>
    <mergeCell ref="W1:AA1"/>
    <mergeCell ref="S1:S2"/>
    <mergeCell ref="T1:T2"/>
    <mergeCell ref="C60:C61"/>
    <mergeCell ref="C62:C65"/>
    <mergeCell ref="C68:C69"/>
    <mergeCell ref="C73:C74"/>
    <mergeCell ref="C66:C67"/>
    <mergeCell ref="C46:C49"/>
    <mergeCell ref="C50:C51"/>
    <mergeCell ref="C52:C53"/>
    <mergeCell ref="C54:C57"/>
    <mergeCell ref="C58:C59"/>
    <mergeCell ref="C78:C79"/>
    <mergeCell ref="C80:C81"/>
    <mergeCell ref="C82:C83"/>
    <mergeCell ref="C92:C93"/>
    <mergeCell ref="C145:C147"/>
    <mergeCell ref="C148:C149"/>
    <mergeCell ref="C154:C155"/>
    <mergeCell ref="C160:C161"/>
    <mergeCell ref="C162:C163"/>
    <mergeCell ref="C110:C111"/>
    <mergeCell ref="C113:C114"/>
    <mergeCell ref="C118:C119"/>
    <mergeCell ref="C120:C121"/>
    <mergeCell ref="C127:C128"/>
    <mergeCell ref="C316:C317"/>
    <mergeCell ref="C261:C262"/>
    <mergeCell ref="C264:C265"/>
    <mergeCell ref="C267:C268"/>
    <mergeCell ref="C269:C270"/>
    <mergeCell ref="C271:C272"/>
    <mergeCell ref="C273:C274"/>
    <mergeCell ref="C284:C285"/>
    <mergeCell ref="C294:C295"/>
    <mergeCell ref="C297:C298"/>
    <mergeCell ref="C278:C279"/>
    <mergeCell ref="B5:B6"/>
    <mergeCell ref="C331:C332"/>
    <mergeCell ref="C334:C335"/>
    <mergeCell ref="C340:C341"/>
    <mergeCell ref="C342:C343"/>
    <mergeCell ref="C344:C345"/>
    <mergeCell ref="C350:C351"/>
    <mergeCell ref="C352:C353"/>
    <mergeCell ref="C234:C235"/>
    <mergeCell ref="C129:C130"/>
    <mergeCell ref="C131:C132"/>
    <mergeCell ref="C166:C167"/>
    <mergeCell ref="C168:C169"/>
    <mergeCell ref="C170:C171"/>
    <mergeCell ref="C172:C174"/>
    <mergeCell ref="C175:C176"/>
    <mergeCell ref="C318:C319"/>
    <mergeCell ref="C320:C321"/>
    <mergeCell ref="C322:C323"/>
    <mergeCell ref="C325:C326"/>
    <mergeCell ref="C327:C328"/>
    <mergeCell ref="C329:C330"/>
    <mergeCell ref="C306:C307"/>
    <mergeCell ref="C314:C315"/>
  </mergeCells>
  <phoneticPr fontId="26" type="noConversion"/>
  <conditionalFormatting sqref="Q11 Q5:Q6 Q13 Q15 Q17 Q20 Q22 Q24 Q26 Q28 Q222:Q225 Q228:Q231 Q147:Q149 Q120:Q122 Q126:Q130 Q345:Q347 Q235 Q154">
    <cfRule type="cellIs" dxfId="2230" priority="16102" stopIfTrue="1" operator="greaterThanOrEqual">
      <formula>70</formula>
    </cfRule>
    <cfRule type="cellIs" dxfId="2229" priority="16103" stopIfTrue="1" operator="between">
      <formula>60</formula>
      <formula>69.999999</formula>
    </cfRule>
    <cfRule type="cellIs" dxfId="2228" priority="16104" stopIfTrue="1" operator="between">
      <formula>50</formula>
      <formula>59.9999</formula>
    </cfRule>
    <cfRule type="cellIs" dxfId="2227" priority="16105" stopIfTrue="1" operator="lessThanOrEqual">
      <formula>50</formula>
    </cfRule>
  </conditionalFormatting>
  <conditionalFormatting sqref="M11 M5:M6 M13 M15 M17 M20 M22 M24 M26 M28 M147:M149 M120:M122 M126 M345:M347 M235 M154">
    <cfRule type="cellIs" dxfId="2226" priority="16099" stopIfTrue="1" operator="greaterThanOrEqual">
      <formula>15</formula>
    </cfRule>
    <cfRule type="cellIs" dxfId="2225" priority="16100" stopIfTrue="1" operator="between">
      <formula>7</formula>
      <formula>14</formula>
    </cfRule>
    <cfRule type="cellIs" dxfId="2224" priority="16101" stopIfTrue="1" operator="lessThan">
      <formula>7</formula>
    </cfRule>
  </conditionalFormatting>
  <conditionalFormatting sqref="Q76">
    <cfRule type="cellIs" dxfId="2223" priority="16095" stopIfTrue="1" operator="greaterThanOrEqual">
      <formula>70</formula>
    </cfRule>
    <cfRule type="cellIs" dxfId="2222" priority="16096" stopIfTrue="1" operator="between">
      <formula>60</formula>
      <formula>69.999999</formula>
    </cfRule>
    <cfRule type="cellIs" dxfId="2221" priority="16097" stopIfTrue="1" operator="between">
      <formula>50</formula>
      <formula>59.9999</formula>
    </cfRule>
    <cfRule type="cellIs" dxfId="2220" priority="16098" stopIfTrue="1" operator="lessThanOrEqual">
      <formula>50</formula>
    </cfRule>
  </conditionalFormatting>
  <conditionalFormatting sqref="M76">
    <cfRule type="cellIs" dxfId="2219" priority="16092" stopIfTrue="1" operator="greaterThanOrEqual">
      <formula>15</formula>
    </cfRule>
    <cfRule type="cellIs" dxfId="2218" priority="16093" stopIfTrue="1" operator="between">
      <formula>7</formula>
      <formula>14</formula>
    </cfRule>
    <cfRule type="cellIs" dxfId="2217" priority="16094" stopIfTrue="1" operator="lessThan">
      <formula>7</formula>
    </cfRule>
  </conditionalFormatting>
  <conditionalFormatting sqref="Q97">
    <cfRule type="cellIs" dxfId="2216" priority="16088" stopIfTrue="1" operator="greaterThanOrEqual">
      <formula>70</formula>
    </cfRule>
    <cfRule type="cellIs" dxfId="2215" priority="16089" stopIfTrue="1" operator="between">
      <formula>60</formula>
      <formula>69.999999</formula>
    </cfRule>
    <cfRule type="cellIs" dxfId="2214" priority="16090" stopIfTrue="1" operator="between">
      <formula>50</formula>
      <formula>59.9999</formula>
    </cfRule>
    <cfRule type="cellIs" dxfId="2213" priority="16091" stopIfTrue="1" operator="lessThanOrEqual">
      <formula>50</formula>
    </cfRule>
  </conditionalFormatting>
  <conditionalFormatting sqref="M97">
    <cfRule type="cellIs" dxfId="2212" priority="16085" stopIfTrue="1" operator="greaterThanOrEqual">
      <formula>15</formula>
    </cfRule>
    <cfRule type="cellIs" dxfId="2211" priority="16086" stopIfTrue="1" operator="between">
      <formula>7</formula>
      <formula>14</formula>
    </cfRule>
    <cfRule type="cellIs" dxfId="2210" priority="16087" stopIfTrue="1" operator="lessThan">
      <formula>7</formula>
    </cfRule>
  </conditionalFormatting>
  <conditionalFormatting sqref="Q78">
    <cfRule type="cellIs" dxfId="2209" priority="16074" stopIfTrue="1" operator="greaterThanOrEqual">
      <formula>70</formula>
    </cfRule>
    <cfRule type="cellIs" dxfId="2208" priority="16075" stopIfTrue="1" operator="between">
      <formula>60</formula>
      <formula>69.999999</formula>
    </cfRule>
    <cfRule type="cellIs" dxfId="2207" priority="16076" stopIfTrue="1" operator="between">
      <formula>50</formula>
      <formula>59.9999</formula>
    </cfRule>
    <cfRule type="cellIs" dxfId="2206" priority="16077" stopIfTrue="1" operator="lessThanOrEqual">
      <formula>50</formula>
    </cfRule>
  </conditionalFormatting>
  <conditionalFormatting sqref="M78">
    <cfRule type="cellIs" dxfId="2205" priority="16071" stopIfTrue="1" operator="greaterThanOrEqual">
      <formula>15</formula>
    </cfRule>
    <cfRule type="cellIs" dxfId="2204" priority="16072" stopIfTrue="1" operator="between">
      <formula>7</formula>
      <formula>14</formula>
    </cfRule>
    <cfRule type="cellIs" dxfId="2203" priority="16073" stopIfTrue="1" operator="lessThan">
      <formula>7</formula>
    </cfRule>
  </conditionalFormatting>
  <conditionalFormatting sqref="Q79">
    <cfRule type="cellIs" dxfId="2202" priority="16067" stopIfTrue="1" operator="greaterThanOrEqual">
      <formula>70</formula>
    </cfRule>
    <cfRule type="cellIs" dxfId="2201" priority="16068" stopIfTrue="1" operator="between">
      <formula>60</formula>
      <formula>69.999999</formula>
    </cfRule>
    <cfRule type="cellIs" dxfId="2200" priority="16069" stopIfTrue="1" operator="between">
      <formula>50</formula>
      <formula>59.9999</formula>
    </cfRule>
    <cfRule type="cellIs" dxfId="2199" priority="16070" stopIfTrue="1" operator="lessThanOrEqual">
      <formula>50</formula>
    </cfRule>
  </conditionalFormatting>
  <conditionalFormatting sqref="M79">
    <cfRule type="cellIs" dxfId="2198" priority="16064" stopIfTrue="1" operator="greaterThanOrEqual">
      <formula>15</formula>
    </cfRule>
    <cfRule type="cellIs" dxfId="2197" priority="16065" stopIfTrue="1" operator="between">
      <formula>7</formula>
      <formula>14</formula>
    </cfRule>
    <cfRule type="cellIs" dxfId="2196" priority="16066" stopIfTrue="1" operator="lessThan">
      <formula>7</formula>
    </cfRule>
  </conditionalFormatting>
  <conditionalFormatting sqref="Q77">
    <cfRule type="cellIs" dxfId="2195" priority="16081" stopIfTrue="1" operator="greaterThanOrEqual">
      <formula>70</formula>
    </cfRule>
    <cfRule type="cellIs" dxfId="2194" priority="16082" stopIfTrue="1" operator="between">
      <formula>60</formula>
      <formula>69.999999</formula>
    </cfRule>
    <cfRule type="cellIs" dxfId="2193" priority="16083" stopIfTrue="1" operator="between">
      <formula>50</formula>
      <formula>59.9999</formula>
    </cfRule>
    <cfRule type="cellIs" dxfId="2192" priority="16084" stopIfTrue="1" operator="lessThanOrEqual">
      <formula>50</formula>
    </cfRule>
  </conditionalFormatting>
  <conditionalFormatting sqref="M77">
    <cfRule type="cellIs" dxfId="2191" priority="16078" stopIfTrue="1" operator="greaterThanOrEqual">
      <formula>15</formula>
    </cfRule>
    <cfRule type="cellIs" dxfId="2190" priority="16079" stopIfTrue="1" operator="between">
      <formula>7</formula>
      <formula>14</formula>
    </cfRule>
    <cfRule type="cellIs" dxfId="2189" priority="16080" stopIfTrue="1" operator="lessThan">
      <formula>7</formula>
    </cfRule>
  </conditionalFormatting>
  <conditionalFormatting sqref="Q29:Q30">
    <cfRule type="cellIs" dxfId="2188" priority="16060" stopIfTrue="1" operator="greaterThanOrEqual">
      <formula>70</formula>
    </cfRule>
    <cfRule type="cellIs" dxfId="2187" priority="16061" stopIfTrue="1" operator="between">
      <formula>60</formula>
      <formula>69.999999</formula>
    </cfRule>
    <cfRule type="cellIs" dxfId="2186" priority="16062" stopIfTrue="1" operator="between">
      <formula>50</formula>
      <formula>59.9999</formula>
    </cfRule>
    <cfRule type="cellIs" dxfId="2185" priority="16063" stopIfTrue="1" operator="lessThanOrEqual">
      <formula>50</formula>
    </cfRule>
  </conditionalFormatting>
  <conditionalFormatting sqref="M29:M30">
    <cfRule type="cellIs" dxfId="2184" priority="16057" stopIfTrue="1" operator="greaterThanOrEqual">
      <formula>15</formula>
    </cfRule>
    <cfRule type="cellIs" dxfId="2183" priority="16058" stopIfTrue="1" operator="between">
      <formula>7</formula>
      <formula>14</formula>
    </cfRule>
    <cfRule type="cellIs" dxfId="2182" priority="16059" stopIfTrue="1" operator="lessThan">
      <formula>7</formula>
    </cfRule>
  </conditionalFormatting>
  <conditionalFormatting sqref="Q34">
    <cfRule type="cellIs" dxfId="2181" priority="16053" stopIfTrue="1" operator="greaterThanOrEqual">
      <formula>70</formula>
    </cfRule>
    <cfRule type="cellIs" dxfId="2180" priority="16054" stopIfTrue="1" operator="between">
      <formula>60</formula>
      <formula>69.999999</formula>
    </cfRule>
    <cfRule type="cellIs" dxfId="2179" priority="16055" stopIfTrue="1" operator="between">
      <formula>50</formula>
      <formula>59.9999</formula>
    </cfRule>
    <cfRule type="cellIs" dxfId="2178" priority="16056" stopIfTrue="1" operator="lessThanOrEqual">
      <formula>50</formula>
    </cfRule>
  </conditionalFormatting>
  <conditionalFormatting sqref="M34">
    <cfRule type="cellIs" dxfId="2177" priority="16050" stopIfTrue="1" operator="greaterThanOrEqual">
      <formula>15</formula>
    </cfRule>
    <cfRule type="cellIs" dxfId="2176" priority="16051" stopIfTrue="1" operator="between">
      <formula>7</formula>
      <formula>14</formula>
    </cfRule>
    <cfRule type="cellIs" dxfId="2175" priority="16052" stopIfTrue="1" operator="lessThan">
      <formula>7</formula>
    </cfRule>
  </conditionalFormatting>
  <conditionalFormatting sqref="Q38">
    <cfRule type="cellIs" dxfId="2174" priority="16046" stopIfTrue="1" operator="greaterThanOrEqual">
      <formula>70</formula>
    </cfRule>
    <cfRule type="cellIs" dxfId="2173" priority="16047" stopIfTrue="1" operator="between">
      <formula>60</formula>
      <formula>69.999999</formula>
    </cfRule>
    <cfRule type="cellIs" dxfId="2172" priority="16048" stopIfTrue="1" operator="between">
      <formula>50</formula>
      <formula>59.9999</formula>
    </cfRule>
    <cfRule type="cellIs" dxfId="2171" priority="16049" stopIfTrue="1" operator="lessThanOrEqual">
      <formula>50</formula>
    </cfRule>
  </conditionalFormatting>
  <conditionalFormatting sqref="M38">
    <cfRule type="cellIs" dxfId="2170" priority="16043" stopIfTrue="1" operator="greaterThanOrEqual">
      <formula>15</formula>
    </cfRule>
    <cfRule type="cellIs" dxfId="2169" priority="16044" stopIfTrue="1" operator="between">
      <formula>7</formula>
      <formula>14</formula>
    </cfRule>
    <cfRule type="cellIs" dxfId="2168" priority="16045" stopIfTrue="1" operator="lessThan">
      <formula>7</formula>
    </cfRule>
  </conditionalFormatting>
  <conditionalFormatting sqref="Q40">
    <cfRule type="cellIs" dxfId="2167" priority="16039" stopIfTrue="1" operator="greaterThanOrEqual">
      <formula>70</formula>
    </cfRule>
    <cfRule type="cellIs" dxfId="2166" priority="16040" stopIfTrue="1" operator="between">
      <formula>60</formula>
      <formula>69.999999</formula>
    </cfRule>
    <cfRule type="cellIs" dxfId="2165" priority="16041" stopIfTrue="1" operator="between">
      <formula>50</formula>
      <formula>59.9999</formula>
    </cfRule>
    <cfRule type="cellIs" dxfId="2164" priority="16042" stopIfTrue="1" operator="lessThanOrEqual">
      <formula>50</formula>
    </cfRule>
  </conditionalFormatting>
  <conditionalFormatting sqref="M40">
    <cfRule type="cellIs" dxfId="2163" priority="16036" stopIfTrue="1" operator="greaterThanOrEqual">
      <formula>15</formula>
    </cfRule>
    <cfRule type="cellIs" dxfId="2162" priority="16037" stopIfTrue="1" operator="between">
      <formula>7</formula>
      <formula>14</formula>
    </cfRule>
    <cfRule type="cellIs" dxfId="2161" priority="16038" stopIfTrue="1" operator="lessThan">
      <formula>7</formula>
    </cfRule>
  </conditionalFormatting>
  <conditionalFormatting sqref="Q41 Q44">
    <cfRule type="cellIs" dxfId="2160" priority="16032" stopIfTrue="1" operator="greaterThanOrEqual">
      <formula>70</formula>
    </cfRule>
    <cfRule type="cellIs" dxfId="2159" priority="16033" stopIfTrue="1" operator="between">
      <formula>60</formula>
      <formula>69.999999</formula>
    </cfRule>
    <cfRule type="cellIs" dxfId="2158" priority="16034" stopIfTrue="1" operator="between">
      <formula>50</formula>
      <formula>59.9999</formula>
    </cfRule>
    <cfRule type="cellIs" dxfId="2157" priority="16035" stopIfTrue="1" operator="lessThanOrEqual">
      <formula>50</formula>
    </cfRule>
  </conditionalFormatting>
  <conditionalFormatting sqref="M41 M44">
    <cfRule type="cellIs" dxfId="2156" priority="16029" stopIfTrue="1" operator="greaterThanOrEqual">
      <formula>15</formula>
    </cfRule>
    <cfRule type="cellIs" dxfId="2155" priority="16030" stopIfTrue="1" operator="between">
      <formula>7</formula>
      <formula>14</formula>
    </cfRule>
    <cfRule type="cellIs" dxfId="2154" priority="16031" stopIfTrue="1" operator="lessThan">
      <formula>7</formula>
    </cfRule>
  </conditionalFormatting>
  <conditionalFormatting sqref="Q7">
    <cfRule type="cellIs" dxfId="2153" priority="16025" stopIfTrue="1" operator="greaterThanOrEqual">
      <formula>70</formula>
    </cfRule>
    <cfRule type="cellIs" dxfId="2152" priority="16026" stopIfTrue="1" operator="between">
      <formula>60</formula>
      <formula>69.999999</formula>
    </cfRule>
    <cfRule type="cellIs" dxfId="2151" priority="16027" stopIfTrue="1" operator="between">
      <formula>50</formula>
      <formula>59.9999</formula>
    </cfRule>
    <cfRule type="cellIs" dxfId="2150" priority="16028" stopIfTrue="1" operator="lessThanOrEqual">
      <formula>50</formula>
    </cfRule>
  </conditionalFormatting>
  <conditionalFormatting sqref="M7">
    <cfRule type="cellIs" dxfId="2149" priority="16022" stopIfTrue="1" operator="greaterThanOrEqual">
      <formula>15</formula>
    </cfRule>
    <cfRule type="cellIs" dxfId="2148" priority="16023" stopIfTrue="1" operator="between">
      <formula>7</formula>
      <formula>14</formula>
    </cfRule>
    <cfRule type="cellIs" dxfId="2147" priority="16024" stopIfTrue="1" operator="lessThan">
      <formula>7</formula>
    </cfRule>
  </conditionalFormatting>
  <conditionalFormatting sqref="Q9">
    <cfRule type="cellIs" dxfId="2146" priority="16018" stopIfTrue="1" operator="greaterThanOrEqual">
      <formula>70</formula>
    </cfRule>
    <cfRule type="cellIs" dxfId="2145" priority="16019" stopIfTrue="1" operator="between">
      <formula>60</formula>
      <formula>69.999999</formula>
    </cfRule>
    <cfRule type="cellIs" dxfId="2144" priority="16020" stopIfTrue="1" operator="between">
      <formula>50</formula>
      <formula>59.9999</formula>
    </cfRule>
    <cfRule type="cellIs" dxfId="2143" priority="16021" stopIfTrue="1" operator="lessThanOrEqual">
      <formula>50</formula>
    </cfRule>
  </conditionalFormatting>
  <conditionalFormatting sqref="M9">
    <cfRule type="cellIs" dxfId="2142" priority="16015" stopIfTrue="1" operator="greaterThanOrEqual">
      <formula>15</formula>
    </cfRule>
    <cfRule type="cellIs" dxfId="2141" priority="16016" stopIfTrue="1" operator="between">
      <formula>7</formula>
      <formula>14</formula>
    </cfRule>
    <cfRule type="cellIs" dxfId="2140" priority="16017" stopIfTrue="1" operator="lessThan">
      <formula>7</formula>
    </cfRule>
  </conditionalFormatting>
  <conditionalFormatting sqref="Q46">
    <cfRule type="cellIs" dxfId="2139" priority="16011" stopIfTrue="1" operator="greaterThanOrEqual">
      <formula>70</formula>
    </cfRule>
    <cfRule type="cellIs" dxfId="2138" priority="16012" stopIfTrue="1" operator="between">
      <formula>60</formula>
      <formula>69.999999</formula>
    </cfRule>
    <cfRule type="cellIs" dxfId="2137" priority="16013" stopIfTrue="1" operator="between">
      <formula>50</formula>
      <formula>59.9999</formula>
    </cfRule>
    <cfRule type="cellIs" dxfId="2136" priority="16014" stopIfTrue="1" operator="lessThanOrEqual">
      <formula>50</formula>
    </cfRule>
  </conditionalFormatting>
  <conditionalFormatting sqref="M46">
    <cfRule type="cellIs" dxfId="2135" priority="16008" stopIfTrue="1" operator="greaterThanOrEqual">
      <formula>15</formula>
    </cfRule>
    <cfRule type="cellIs" dxfId="2134" priority="16009" stopIfTrue="1" operator="between">
      <formula>7</formula>
      <formula>14</formula>
    </cfRule>
    <cfRule type="cellIs" dxfId="2133" priority="16010" stopIfTrue="1" operator="lessThan">
      <formula>7</formula>
    </cfRule>
  </conditionalFormatting>
  <conditionalFormatting sqref="Q50 Q52">
    <cfRule type="cellIs" dxfId="2132" priority="16004" stopIfTrue="1" operator="greaterThanOrEqual">
      <formula>70</formula>
    </cfRule>
    <cfRule type="cellIs" dxfId="2131" priority="16005" stopIfTrue="1" operator="between">
      <formula>60</formula>
      <formula>69.999999</formula>
    </cfRule>
    <cfRule type="cellIs" dxfId="2130" priority="16006" stopIfTrue="1" operator="between">
      <formula>50</formula>
      <formula>59.9999</formula>
    </cfRule>
    <cfRule type="cellIs" dxfId="2129" priority="16007" stopIfTrue="1" operator="lessThanOrEqual">
      <formula>50</formula>
    </cfRule>
  </conditionalFormatting>
  <conditionalFormatting sqref="M50 M52">
    <cfRule type="cellIs" dxfId="2128" priority="16001" stopIfTrue="1" operator="greaterThanOrEqual">
      <formula>15</formula>
    </cfRule>
    <cfRule type="cellIs" dxfId="2127" priority="16002" stopIfTrue="1" operator="between">
      <formula>7</formula>
      <formula>14</formula>
    </cfRule>
    <cfRule type="cellIs" dxfId="2126" priority="16003" stopIfTrue="1" operator="lessThan">
      <formula>7</formula>
    </cfRule>
  </conditionalFormatting>
  <conditionalFormatting sqref="Q54">
    <cfRule type="cellIs" dxfId="2125" priority="15997" stopIfTrue="1" operator="greaterThanOrEqual">
      <formula>70</formula>
    </cfRule>
    <cfRule type="cellIs" dxfId="2124" priority="15998" stopIfTrue="1" operator="between">
      <formula>60</formula>
      <formula>69.999999</formula>
    </cfRule>
    <cfRule type="cellIs" dxfId="2123" priority="15999" stopIfTrue="1" operator="between">
      <formula>50</formula>
      <formula>59.9999</formula>
    </cfRule>
    <cfRule type="cellIs" dxfId="2122" priority="16000" stopIfTrue="1" operator="lessThanOrEqual">
      <formula>50</formula>
    </cfRule>
  </conditionalFormatting>
  <conditionalFormatting sqref="M54">
    <cfRule type="cellIs" dxfId="2121" priority="15994" stopIfTrue="1" operator="greaterThanOrEqual">
      <formula>15</formula>
    </cfRule>
    <cfRule type="cellIs" dxfId="2120" priority="15995" stopIfTrue="1" operator="between">
      <formula>7</formula>
      <formula>14</formula>
    </cfRule>
    <cfRule type="cellIs" dxfId="2119" priority="15996" stopIfTrue="1" operator="lessThan">
      <formula>7</formula>
    </cfRule>
  </conditionalFormatting>
  <conditionalFormatting sqref="Q58">
    <cfRule type="cellIs" dxfId="2118" priority="15990" stopIfTrue="1" operator="greaterThanOrEqual">
      <formula>70</formula>
    </cfRule>
    <cfRule type="cellIs" dxfId="2117" priority="15991" stopIfTrue="1" operator="between">
      <formula>60</formula>
      <formula>69.999999</formula>
    </cfRule>
    <cfRule type="cellIs" dxfId="2116" priority="15992" stopIfTrue="1" operator="between">
      <formula>50</formula>
      <formula>59.9999</formula>
    </cfRule>
    <cfRule type="cellIs" dxfId="2115" priority="15993" stopIfTrue="1" operator="lessThanOrEqual">
      <formula>50</formula>
    </cfRule>
  </conditionalFormatting>
  <conditionalFormatting sqref="M58">
    <cfRule type="cellIs" dxfId="2114" priority="15987" stopIfTrue="1" operator="greaterThanOrEqual">
      <formula>15</formula>
    </cfRule>
    <cfRule type="cellIs" dxfId="2113" priority="15988" stopIfTrue="1" operator="between">
      <formula>7</formula>
      <formula>14</formula>
    </cfRule>
    <cfRule type="cellIs" dxfId="2112" priority="15989" stopIfTrue="1" operator="lessThan">
      <formula>7</formula>
    </cfRule>
  </conditionalFormatting>
  <conditionalFormatting sqref="Q60">
    <cfRule type="cellIs" dxfId="2111" priority="15983" stopIfTrue="1" operator="greaterThanOrEqual">
      <formula>70</formula>
    </cfRule>
    <cfRule type="cellIs" dxfId="2110" priority="15984" stopIfTrue="1" operator="between">
      <formula>60</formula>
      <formula>69.999999</formula>
    </cfRule>
    <cfRule type="cellIs" dxfId="2109" priority="15985" stopIfTrue="1" operator="between">
      <formula>50</formula>
      <formula>59.9999</formula>
    </cfRule>
    <cfRule type="cellIs" dxfId="2108" priority="15986" stopIfTrue="1" operator="lessThanOrEqual">
      <formula>50</formula>
    </cfRule>
  </conditionalFormatting>
  <conditionalFormatting sqref="M60">
    <cfRule type="cellIs" dxfId="2107" priority="15980" stopIfTrue="1" operator="greaterThanOrEqual">
      <formula>15</formula>
    </cfRule>
    <cfRule type="cellIs" dxfId="2106" priority="15981" stopIfTrue="1" operator="between">
      <formula>7</formula>
      <formula>14</formula>
    </cfRule>
    <cfRule type="cellIs" dxfId="2105" priority="15982" stopIfTrue="1" operator="lessThan">
      <formula>7</formula>
    </cfRule>
  </conditionalFormatting>
  <conditionalFormatting sqref="Q62">
    <cfRule type="cellIs" dxfId="2104" priority="15976" stopIfTrue="1" operator="greaterThanOrEqual">
      <formula>70</formula>
    </cfRule>
    <cfRule type="cellIs" dxfId="2103" priority="15977" stopIfTrue="1" operator="between">
      <formula>60</formula>
      <formula>69.999999</formula>
    </cfRule>
    <cfRule type="cellIs" dxfId="2102" priority="15978" stopIfTrue="1" operator="between">
      <formula>50</formula>
      <formula>59.9999</formula>
    </cfRule>
    <cfRule type="cellIs" dxfId="2101" priority="15979" stopIfTrue="1" operator="lessThanOrEqual">
      <formula>50</formula>
    </cfRule>
  </conditionalFormatting>
  <conditionalFormatting sqref="M62">
    <cfRule type="cellIs" dxfId="2100" priority="15973" stopIfTrue="1" operator="greaterThanOrEqual">
      <formula>15</formula>
    </cfRule>
    <cfRule type="cellIs" dxfId="2099" priority="15974" stopIfTrue="1" operator="between">
      <formula>7</formula>
      <formula>14</formula>
    </cfRule>
    <cfRule type="cellIs" dxfId="2098" priority="15975" stopIfTrue="1" operator="lessThan">
      <formula>7</formula>
    </cfRule>
  </conditionalFormatting>
  <conditionalFormatting sqref="M82">
    <cfRule type="cellIs" dxfId="2097" priority="15931" stopIfTrue="1" operator="greaterThanOrEqual">
      <formula>15</formula>
    </cfRule>
    <cfRule type="cellIs" dxfId="2096" priority="15932" stopIfTrue="1" operator="between">
      <formula>7</formula>
      <formula>14</formula>
    </cfRule>
    <cfRule type="cellIs" dxfId="2095" priority="15933" stopIfTrue="1" operator="lessThan">
      <formula>7</formula>
    </cfRule>
  </conditionalFormatting>
  <conditionalFormatting sqref="Q64">
    <cfRule type="cellIs" dxfId="2094" priority="15969" stopIfTrue="1" operator="greaterThanOrEqual">
      <formula>70</formula>
    </cfRule>
    <cfRule type="cellIs" dxfId="2093" priority="15970" stopIfTrue="1" operator="between">
      <formula>60</formula>
      <formula>69.999999</formula>
    </cfRule>
    <cfRule type="cellIs" dxfId="2092" priority="15971" stopIfTrue="1" operator="between">
      <formula>50</formula>
      <formula>59.9999</formula>
    </cfRule>
    <cfRule type="cellIs" dxfId="2091" priority="15972" stopIfTrue="1" operator="lessThanOrEqual">
      <formula>50</formula>
    </cfRule>
  </conditionalFormatting>
  <conditionalFormatting sqref="M64">
    <cfRule type="cellIs" dxfId="2090" priority="15966" stopIfTrue="1" operator="greaterThanOrEqual">
      <formula>15</formula>
    </cfRule>
    <cfRule type="cellIs" dxfId="2089" priority="15967" stopIfTrue="1" operator="between">
      <formula>7</formula>
      <formula>14</formula>
    </cfRule>
    <cfRule type="cellIs" dxfId="2088" priority="15968" stopIfTrue="1" operator="lessThan">
      <formula>7</formula>
    </cfRule>
  </conditionalFormatting>
  <conditionalFormatting sqref="Q66">
    <cfRule type="cellIs" dxfId="2087" priority="15962" stopIfTrue="1" operator="greaterThanOrEqual">
      <formula>70</formula>
    </cfRule>
    <cfRule type="cellIs" dxfId="2086" priority="15963" stopIfTrue="1" operator="between">
      <formula>60</formula>
      <formula>69.999999</formula>
    </cfRule>
    <cfRule type="cellIs" dxfId="2085" priority="15964" stopIfTrue="1" operator="between">
      <formula>50</formula>
      <formula>59.9999</formula>
    </cfRule>
    <cfRule type="cellIs" dxfId="2084" priority="15965" stopIfTrue="1" operator="lessThanOrEqual">
      <formula>50</formula>
    </cfRule>
  </conditionalFormatting>
  <conditionalFormatting sqref="M66">
    <cfRule type="cellIs" dxfId="2083" priority="15959" stopIfTrue="1" operator="greaterThanOrEqual">
      <formula>15</formula>
    </cfRule>
    <cfRule type="cellIs" dxfId="2082" priority="15960" stopIfTrue="1" operator="between">
      <formula>7</formula>
      <formula>14</formula>
    </cfRule>
    <cfRule type="cellIs" dxfId="2081" priority="15961" stopIfTrue="1" operator="lessThan">
      <formula>7</formula>
    </cfRule>
  </conditionalFormatting>
  <conditionalFormatting sqref="Q68">
    <cfRule type="cellIs" dxfId="2080" priority="15955" stopIfTrue="1" operator="greaterThanOrEqual">
      <formula>70</formula>
    </cfRule>
    <cfRule type="cellIs" dxfId="2079" priority="15956" stopIfTrue="1" operator="between">
      <formula>60</formula>
      <formula>69.999999</formula>
    </cfRule>
    <cfRule type="cellIs" dxfId="2078" priority="15957" stopIfTrue="1" operator="between">
      <formula>50</formula>
      <formula>59.9999</formula>
    </cfRule>
    <cfRule type="cellIs" dxfId="2077" priority="15958" stopIfTrue="1" operator="lessThanOrEqual">
      <formula>50</formula>
    </cfRule>
  </conditionalFormatting>
  <conditionalFormatting sqref="M68">
    <cfRule type="cellIs" dxfId="2076" priority="15952" stopIfTrue="1" operator="greaterThanOrEqual">
      <formula>15</formula>
    </cfRule>
    <cfRule type="cellIs" dxfId="2075" priority="15953" stopIfTrue="1" operator="between">
      <formula>7</formula>
      <formula>14</formula>
    </cfRule>
    <cfRule type="cellIs" dxfId="2074" priority="15954" stopIfTrue="1" operator="lessThan">
      <formula>7</formula>
    </cfRule>
  </conditionalFormatting>
  <conditionalFormatting sqref="Q82">
    <cfRule type="cellIs" dxfId="2073" priority="15934" stopIfTrue="1" operator="greaterThanOrEqual">
      <formula>70</formula>
    </cfRule>
    <cfRule type="cellIs" dxfId="2072" priority="15935" stopIfTrue="1" operator="between">
      <formula>60</formula>
      <formula>69.999999</formula>
    </cfRule>
    <cfRule type="cellIs" dxfId="2071" priority="15936" stopIfTrue="1" operator="between">
      <formula>50</formula>
      <formula>59.9999</formula>
    </cfRule>
    <cfRule type="cellIs" dxfId="2070" priority="15937" stopIfTrue="1" operator="lessThanOrEqual">
      <formula>50</formula>
    </cfRule>
  </conditionalFormatting>
  <conditionalFormatting sqref="Q80">
    <cfRule type="cellIs" dxfId="2069" priority="15941" stopIfTrue="1" operator="greaterThanOrEqual">
      <formula>70</formula>
    </cfRule>
    <cfRule type="cellIs" dxfId="2068" priority="15942" stopIfTrue="1" operator="between">
      <formula>60</formula>
      <formula>69.999999</formula>
    </cfRule>
    <cfRule type="cellIs" dxfId="2067" priority="15943" stopIfTrue="1" operator="between">
      <formula>50</formula>
      <formula>59.9999</formula>
    </cfRule>
    <cfRule type="cellIs" dxfId="2066" priority="15944" stopIfTrue="1" operator="lessThanOrEqual">
      <formula>50</formula>
    </cfRule>
  </conditionalFormatting>
  <conditionalFormatting sqref="M80">
    <cfRule type="cellIs" dxfId="2065" priority="15938" stopIfTrue="1" operator="greaterThanOrEqual">
      <formula>15</formula>
    </cfRule>
    <cfRule type="cellIs" dxfId="2064" priority="15939" stopIfTrue="1" operator="between">
      <formula>7</formula>
      <formula>14</formula>
    </cfRule>
    <cfRule type="cellIs" dxfId="2063" priority="15940" stopIfTrue="1" operator="lessThan">
      <formula>7</formula>
    </cfRule>
  </conditionalFormatting>
  <conditionalFormatting sqref="Q94">
    <cfRule type="cellIs" dxfId="2062" priority="15913" stopIfTrue="1" operator="greaterThanOrEqual">
      <formula>70</formula>
    </cfRule>
    <cfRule type="cellIs" dxfId="2061" priority="15914" stopIfTrue="1" operator="between">
      <formula>60</formula>
      <formula>69.999999</formula>
    </cfRule>
    <cfRule type="cellIs" dxfId="2060" priority="15915" stopIfTrue="1" operator="between">
      <formula>50</formula>
      <formula>59.9999</formula>
    </cfRule>
    <cfRule type="cellIs" dxfId="2059" priority="15916" stopIfTrue="1" operator="lessThanOrEqual">
      <formula>50</formula>
    </cfRule>
  </conditionalFormatting>
  <conditionalFormatting sqref="M94">
    <cfRule type="cellIs" dxfId="2058" priority="15910" stopIfTrue="1" operator="greaterThanOrEqual">
      <formula>15</formula>
    </cfRule>
    <cfRule type="cellIs" dxfId="2057" priority="15911" stopIfTrue="1" operator="between">
      <formula>7</formula>
      <formula>14</formula>
    </cfRule>
    <cfRule type="cellIs" dxfId="2056" priority="15912" stopIfTrue="1" operator="lessThan">
      <formula>7</formula>
    </cfRule>
  </conditionalFormatting>
  <conditionalFormatting sqref="Q92">
    <cfRule type="cellIs" dxfId="2055" priority="15927" stopIfTrue="1" operator="greaterThanOrEqual">
      <formula>70</formula>
    </cfRule>
    <cfRule type="cellIs" dxfId="2054" priority="15928" stopIfTrue="1" operator="between">
      <formula>60</formula>
      <formula>69.999999</formula>
    </cfRule>
    <cfRule type="cellIs" dxfId="2053" priority="15929" stopIfTrue="1" operator="between">
      <formula>50</formula>
      <formula>59.9999</formula>
    </cfRule>
    <cfRule type="cellIs" dxfId="2052" priority="15930" stopIfTrue="1" operator="lessThanOrEqual">
      <formula>50</formula>
    </cfRule>
  </conditionalFormatting>
  <conditionalFormatting sqref="M92">
    <cfRule type="cellIs" dxfId="2051" priority="15924" stopIfTrue="1" operator="greaterThanOrEqual">
      <formula>15</formula>
    </cfRule>
    <cfRule type="cellIs" dxfId="2050" priority="15925" stopIfTrue="1" operator="between">
      <formula>7</formula>
      <formula>14</formula>
    </cfRule>
    <cfRule type="cellIs" dxfId="2049" priority="15926" stopIfTrue="1" operator="lessThan">
      <formula>7</formula>
    </cfRule>
  </conditionalFormatting>
  <conditionalFormatting sqref="Q93">
    <cfRule type="cellIs" dxfId="2048" priority="15920" stopIfTrue="1" operator="greaterThanOrEqual">
      <formula>70</formula>
    </cfRule>
    <cfRule type="cellIs" dxfId="2047" priority="15921" stopIfTrue="1" operator="between">
      <formula>60</formula>
      <formula>69.999999</formula>
    </cfRule>
    <cfRule type="cellIs" dxfId="2046" priority="15922" stopIfTrue="1" operator="between">
      <formula>50</formula>
      <formula>59.9999</formula>
    </cfRule>
    <cfRule type="cellIs" dxfId="2045" priority="15923" stopIfTrue="1" operator="lessThanOrEqual">
      <formula>50</formula>
    </cfRule>
  </conditionalFormatting>
  <conditionalFormatting sqref="M93">
    <cfRule type="cellIs" dxfId="2044" priority="15917" stopIfTrue="1" operator="greaterThanOrEqual">
      <formula>15</formula>
    </cfRule>
    <cfRule type="cellIs" dxfId="2043" priority="15918" stopIfTrue="1" operator="between">
      <formula>7</formula>
      <formula>14</formula>
    </cfRule>
    <cfRule type="cellIs" dxfId="2042" priority="15919" stopIfTrue="1" operator="lessThan">
      <formula>7</formula>
    </cfRule>
  </conditionalFormatting>
  <conditionalFormatting sqref="Q98 Q102">
    <cfRule type="cellIs" dxfId="2041" priority="15899" stopIfTrue="1" operator="greaterThanOrEqual">
      <formula>70</formula>
    </cfRule>
    <cfRule type="cellIs" dxfId="2040" priority="15900" stopIfTrue="1" operator="between">
      <formula>60</formula>
      <formula>69.999999</formula>
    </cfRule>
    <cfRule type="cellIs" dxfId="2039" priority="15901" stopIfTrue="1" operator="between">
      <formula>50</formula>
      <formula>59.9999</formula>
    </cfRule>
    <cfRule type="cellIs" dxfId="2038" priority="15902" stopIfTrue="1" operator="lessThanOrEqual">
      <formula>50</formula>
    </cfRule>
  </conditionalFormatting>
  <conditionalFormatting sqref="M98:M99 M102">
    <cfRule type="cellIs" dxfId="2037" priority="15896" stopIfTrue="1" operator="greaterThanOrEqual">
      <formula>15</formula>
    </cfRule>
    <cfRule type="cellIs" dxfId="2036" priority="15897" stopIfTrue="1" operator="between">
      <formula>7</formula>
      <formula>14</formula>
    </cfRule>
    <cfRule type="cellIs" dxfId="2035" priority="15898" stopIfTrue="1" operator="lessThan">
      <formula>7</formula>
    </cfRule>
  </conditionalFormatting>
  <conditionalFormatting sqref="Q95">
    <cfRule type="cellIs" dxfId="2034" priority="15906" stopIfTrue="1" operator="greaterThanOrEqual">
      <formula>70</formula>
    </cfRule>
    <cfRule type="cellIs" dxfId="2033" priority="15907" stopIfTrue="1" operator="between">
      <formula>60</formula>
      <formula>69.999999</formula>
    </cfRule>
    <cfRule type="cellIs" dxfId="2032" priority="15908" stopIfTrue="1" operator="between">
      <formula>50</formula>
      <formula>59.9999</formula>
    </cfRule>
    <cfRule type="cellIs" dxfId="2031" priority="15909" stopIfTrue="1" operator="lessThanOrEqual">
      <formula>50</formula>
    </cfRule>
  </conditionalFormatting>
  <conditionalFormatting sqref="M95">
    <cfRule type="cellIs" dxfId="2030" priority="15903" stopIfTrue="1" operator="greaterThanOrEqual">
      <formula>15</formula>
    </cfRule>
    <cfRule type="cellIs" dxfId="2029" priority="15904" stopIfTrue="1" operator="between">
      <formula>7</formula>
      <formula>14</formula>
    </cfRule>
    <cfRule type="cellIs" dxfId="2028" priority="15905" stopIfTrue="1" operator="lessThan">
      <formula>7</formula>
    </cfRule>
  </conditionalFormatting>
  <conditionalFormatting sqref="Q110">
    <cfRule type="cellIs" dxfId="2027" priority="15871" stopIfTrue="1" operator="greaterThanOrEqual">
      <formula>70</formula>
    </cfRule>
    <cfRule type="cellIs" dxfId="2026" priority="15872" stopIfTrue="1" operator="between">
      <formula>60</formula>
      <formula>69.999999</formula>
    </cfRule>
    <cfRule type="cellIs" dxfId="2025" priority="15873" stopIfTrue="1" operator="between">
      <formula>50</formula>
      <formula>59.9999</formula>
    </cfRule>
    <cfRule type="cellIs" dxfId="2024" priority="15874" stopIfTrue="1" operator="lessThanOrEqual">
      <formula>50</formula>
    </cfRule>
  </conditionalFormatting>
  <conditionalFormatting sqref="Q101">
    <cfRule type="cellIs" dxfId="2023" priority="15892" stopIfTrue="1" operator="greaterThanOrEqual">
      <formula>70</formula>
    </cfRule>
    <cfRule type="cellIs" dxfId="2022" priority="15893" stopIfTrue="1" operator="between">
      <formula>60</formula>
      <formula>69.999999</formula>
    </cfRule>
    <cfRule type="cellIs" dxfId="2021" priority="15894" stopIfTrue="1" operator="between">
      <formula>50</formula>
      <formula>59.9999</formula>
    </cfRule>
    <cfRule type="cellIs" dxfId="2020" priority="15895" stopIfTrue="1" operator="lessThanOrEqual">
      <formula>50</formula>
    </cfRule>
  </conditionalFormatting>
  <conditionalFormatting sqref="M101">
    <cfRule type="cellIs" dxfId="2019" priority="15889" stopIfTrue="1" operator="greaterThanOrEqual">
      <formula>15</formula>
    </cfRule>
    <cfRule type="cellIs" dxfId="2018" priority="15890" stopIfTrue="1" operator="between">
      <formula>7</formula>
      <formula>14</formula>
    </cfRule>
    <cfRule type="cellIs" dxfId="2017" priority="15891" stopIfTrue="1" operator="lessThan">
      <formula>7</formula>
    </cfRule>
  </conditionalFormatting>
  <conditionalFormatting sqref="Q104">
    <cfRule type="cellIs" dxfId="2016" priority="15885" stopIfTrue="1" operator="greaterThanOrEqual">
      <formula>70</formula>
    </cfRule>
    <cfRule type="cellIs" dxfId="2015" priority="15886" stopIfTrue="1" operator="between">
      <formula>60</formula>
      <formula>69.999999</formula>
    </cfRule>
    <cfRule type="cellIs" dxfId="2014" priority="15887" stopIfTrue="1" operator="between">
      <formula>50</formula>
      <formula>59.9999</formula>
    </cfRule>
    <cfRule type="cellIs" dxfId="2013" priority="15888" stopIfTrue="1" operator="lessThanOrEqual">
      <formula>50</formula>
    </cfRule>
  </conditionalFormatting>
  <conditionalFormatting sqref="M104">
    <cfRule type="cellIs" dxfId="2012" priority="15882" stopIfTrue="1" operator="greaterThanOrEqual">
      <formula>15</formula>
    </cfRule>
    <cfRule type="cellIs" dxfId="2011" priority="15883" stopIfTrue="1" operator="between">
      <formula>7</formula>
      <formula>14</formula>
    </cfRule>
    <cfRule type="cellIs" dxfId="2010" priority="15884" stopIfTrue="1" operator="lessThan">
      <formula>7</formula>
    </cfRule>
  </conditionalFormatting>
  <conditionalFormatting sqref="Q111">
    <cfRule type="cellIs" dxfId="2009" priority="15864" stopIfTrue="1" operator="greaterThanOrEqual">
      <formula>70</formula>
    </cfRule>
    <cfRule type="cellIs" dxfId="2008" priority="15865" stopIfTrue="1" operator="between">
      <formula>60</formula>
      <formula>69.999999</formula>
    </cfRule>
    <cfRule type="cellIs" dxfId="2007" priority="15866" stopIfTrue="1" operator="between">
      <formula>50</formula>
      <formula>59.9999</formula>
    </cfRule>
    <cfRule type="cellIs" dxfId="2006" priority="15867" stopIfTrue="1" operator="lessThanOrEqual">
      <formula>50</formula>
    </cfRule>
  </conditionalFormatting>
  <conditionalFormatting sqref="M111">
    <cfRule type="cellIs" dxfId="2005" priority="15861" stopIfTrue="1" operator="greaterThanOrEqual">
      <formula>15</formula>
    </cfRule>
    <cfRule type="cellIs" dxfId="2004" priority="15862" stopIfTrue="1" operator="between">
      <formula>7</formula>
      <formula>14</formula>
    </cfRule>
    <cfRule type="cellIs" dxfId="2003" priority="15863" stopIfTrue="1" operator="lessThan">
      <formula>7</formula>
    </cfRule>
  </conditionalFormatting>
  <conditionalFormatting sqref="Q145">
    <cfRule type="cellIs" dxfId="2002" priority="15752" stopIfTrue="1" operator="greaterThanOrEqual">
      <formula>70</formula>
    </cfRule>
    <cfRule type="cellIs" dxfId="2001" priority="15753" stopIfTrue="1" operator="between">
      <formula>60</formula>
      <formula>69.999999</formula>
    </cfRule>
    <cfRule type="cellIs" dxfId="2000" priority="15754" stopIfTrue="1" operator="between">
      <formula>50</formula>
      <formula>59.9999</formula>
    </cfRule>
    <cfRule type="cellIs" dxfId="1999" priority="15755" stopIfTrue="1" operator="lessThanOrEqual">
      <formula>50</formula>
    </cfRule>
  </conditionalFormatting>
  <conditionalFormatting sqref="M108">
    <cfRule type="cellIs" dxfId="1998" priority="15875" stopIfTrue="1" operator="greaterThanOrEqual">
      <formula>15</formula>
    </cfRule>
    <cfRule type="cellIs" dxfId="1997" priority="15876" stopIfTrue="1" operator="between">
      <formula>7</formula>
      <formula>14</formula>
    </cfRule>
    <cfRule type="cellIs" dxfId="1996" priority="15877" stopIfTrue="1" operator="lessThan">
      <formula>7</formula>
    </cfRule>
  </conditionalFormatting>
  <conditionalFormatting sqref="Q132">
    <cfRule type="cellIs" dxfId="1995" priority="15780" stopIfTrue="1" operator="greaterThanOrEqual">
      <formula>70</formula>
    </cfRule>
    <cfRule type="cellIs" dxfId="1994" priority="15781" stopIfTrue="1" operator="between">
      <formula>60</formula>
      <formula>69.999999</formula>
    </cfRule>
    <cfRule type="cellIs" dxfId="1993" priority="15782" stopIfTrue="1" operator="between">
      <formula>50</formula>
      <formula>59.9999</formula>
    </cfRule>
    <cfRule type="cellIs" dxfId="1992" priority="15783" stopIfTrue="1" operator="lessThanOrEqual">
      <formula>50</formula>
    </cfRule>
  </conditionalFormatting>
  <conditionalFormatting sqref="M110">
    <cfRule type="cellIs" dxfId="1991" priority="15868" stopIfTrue="1" operator="greaterThanOrEqual">
      <formula>15</formula>
    </cfRule>
    <cfRule type="cellIs" dxfId="1990" priority="15869" stopIfTrue="1" operator="between">
      <formula>7</formula>
      <formula>14</formula>
    </cfRule>
    <cfRule type="cellIs" dxfId="1989" priority="15870" stopIfTrue="1" operator="lessThan">
      <formula>7</formula>
    </cfRule>
  </conditionalFormatting>
  <conditionalFormatting sqref="Q112">
    <cfRule type="cellIs" dxfId="1988" priority="15857" stopIfTrue="1" operator="greaterThanOrEqual">
      <formula>70</formula>
    </cfRule>
    <cfRule type="cellIs" dxfId="1987" priority="15858" stopIfTrue="1" operator="between">
      <formula>60</formula>
      <formula>69.999999</formula>
    </cfRule>
    <cfRule type="cellIs" dxfId="1986" priority="15859" stopIfTrue="1" operator="between">
      <formula>50</formula>
      <formula>59.9999</formula>
    </cfRule>
    <cfRule type="cellIs" dxfId="1985" priority="15860" stopIfTrue="1" operator="lessThanOrEqual">
      <formula>50</formula>
    </cfRule>
  </conditionalFormatting>
  <conditionalFormatting sqref="M112">
    <cfRule type="cellIs" dxfId="1984" priority="15854" stopIfTrue="1" operator="greaterThanOrEqual">
      <formula>15</formula>
    </cfRule>
    <cfRule type="cellIs" dxfId="1983" priority="15855" stopIfTrue="1" operator="between">
      <formula>7</formula>
      <formula>14</formula>
    </cfRule>
    <cfRule type="cellIs" dxfId="1982" priority="15856" stopIfTrue="1" operator="lessThan">
      <formula>7</formula>
    </cfRule>
  </conditionalFormatting>
  <conditionalFormatting sqref="Q113">
    <cfRule type="cellIs" dxfId="1981" priority="15850" stopIfTrue="1" operator="greaterThanOrEqual">
      <formula>70</formula>
    </cfRule>
    <cfRule type="cellIs" dxfId="1980" priority="15851" stopIfTrue="1" operator="between">
      <formula>60</formula>
      <formula>69.999999</formula>
    </cfRule>
    <cfRule type="cellIs" dxfId="1979" priority="15852" stopIfTrue="1" operator="between">
      <formula>50</formula>
      <formula>59.9999</formula>
    </cfRule>
    <cfRule type="cellIs" dxfId="1978" priority="15853" stopIfTrue="1" operator="lessThanOrEqual">
      <formula>50</formula>
    </cfRule>
  </conditionalFormatting>
  <conditionalFormatting sqref="M113">
    <cfRule type="cellIs" dxfId="1977" priority="15847" stopIfTrue="1" operator="greaterThanOrEqual">
      <formula>15</formula>
    </cfRule>
    <cfRule type="cellIs" dxfId="1976" priority="15848" stopIfTrue="1" operator="between">
      <formula>7</formula>
      <formula>14</formula>
    </cfRule>
    <cfRule type="cellIs" dxfId="1975" priority="15849" stopIfTrue="1" operator="lessThan">
      <formula>7</formula>
    </cfRule>
  </conditionalFormatting>
  <conditionalFormatting sqref="Q117">
    <cfRule type="cellIs" dxfId="1974" priority="15829" stopIfTrue="1" operator="greaterThanOrEqual">
      <formula>70</formula>
    </cfRule>
    <cfRule type="cellIs" dxfId="1973" priority="15830" stopIfTrue="1" operator="between">
      <formula>60</formula>
      <formula>69.999999</formula>
    </cfRule>
    <cfRule type="cellIs" dxfId="1972" priority="15831" stopIfTrue="1" operator="between">
      <formula>50</formula>
      <formula>59.9999</formula>
    </cfRule>
    <cfRule type="cellIs" dxfId="1971" priority="15832" stopIfTrue="1" operator="lessThanOrEqual">
      <formula>50</formula>
    </cfRule>
  </conditionalFormatting>
  <conditionalFormatting sqref="M117">
    <cfRule type="cellIs" dxfId="1970" priority="15826" stopIfTrue="1" operator="greaterThanOrEqual">
      <formula>15</formula>
    </cfRule>
    <cfRule type="cellIs" dxfId="1969" priority="15827" stopIfTrue="1" operator="between">
      <formula>7</formula>
      <formula>14</formula>
    </cfRule>
    <cfRule type="cellIs" dxfId="1968" priority="15828" stopIfTrue="1" operator="lessThan">
      <formula>7</formula>
    </cfRule>
  </conditionalFormatting>
  <conditionalFormatting sqref="Q134:Q135">
    <cfRule type="cellIs" dxfId="1967" priority="15766" stopIfTrue="1" operator="greaterThanOrEqual">
      <formula>70</formula>
    </cfRule>
    <cfRule type="cellIs" dxfId="1966" priority="15767" stopIfTrue="1" operator="between">
      <formula>60</formula>
      <formula>69.999999</formula>
    </cfRule>
    <cfRule type="cellIs" dxfId="1965" priority="15768" stopIfTrue="1" operator="between">
      <formula>50</formula>
      <formula>59.9999</formula>
    </cfRule>
    <cfRule type="cellIs" dxfId="1964" priority="15769" stopIfTrue="1" operator="lessThanOrEqual">
      <formula>50</formula>
    </cfRule>
  </conditionalFormatting>
  <conditionalFormatting sqref="M134:M135">
    <cfRule type="cellIs" dxfId="1963" priority="15763" stopIfTrue="1" operator="greaterThanOrEqual">
      <formula>15</formula>
    </cfRule>
    <cfRule type="cellIs" dxfId="1962" priority="15764" stopIfTrue="1" operator="between">
      <formula>7</formula>
      <formula>14</formula>
    </cfRule>
    <cfRule type="cellIs" dxfId="1961" priority="15765" stopIfTrue="1" operator="lessThan">
      <formula>7</formula>
    </cfRule>
  </conditionalFormatting>
  <conditionalFormatting sqref="Q115">
    <cfRule type="cellIs" dxfId="1960" priority="15843" stopIfTrue="1" operator="greaterThanOrEqual">
      <formula>70</formula>
    </cfRule>
    <cfRule type="cellIs" dxfId="1959" priority="15844" stopIfTrue="1" operator="between">
      <formula>60</formula>
      <formula>69.999999</formula>
    </cfRule>
    <cfRule type="cellIs" dxfId="1958" priority="15845" stopIfTrue="1" operator="between">
      <formula>50</formula>
      <formula>59.9999</formula>
    </cfRule>
    <cfRule type="cellIs" dxfId="1957" priority="15846" stopIfTrue="1" operator="lessThanOrEqual">
      <formula>50</formula>
    </cfRule>
  </conditionalFormatting>
  <conditionalFormatting sqref="M115">
    <cfRule type="cellIs" dxfId="1956" priority="15840" stopIfTrue="1" operator="greaterThanOrEqual">
      <formula>15</formula>
    </cfRule>
    <cfRule type="cellIs" dxfId="1955" priority="15841" stopIfTrue="1" operator="between">
      <formula>7</formula>
      <formula>14</formula>
    </cfRule>
    <cfRule type="cellIs" dxfId="1954" priority="15842" stopIfTrue="1" operator="lessThan">
      <formula>7</formula>
    </cfRule>
  </conditionalFormatting>
  <conditionalFormatting sqref="Q116">
    <cfRule type="cellIs" dxfId="1953" priority="15836" stopIfTrue="1" operator="greaterThanOrEqual">
      <formula>70</formula>
    </cfRule>
    <cfRule type="cellIs" dxfId="1952" priority="15837" stopIfTrue="1" operator="between">
      <formula>60</formula>
      <formula>69.999999</formula>
    </cfRule>
    <cfRule type="cellIs" dxfId="1951" priority="15838" stopIfTrue="1" operator="between">
      <formula>50</formula>
      <formula>59.9999</formula>
    </cfRule>
    <cfRule type="cellIs" dxfId="1950" priority="15839" stopIfTrue="1" operator="lessThanOrEqual">
      <formula>50</formula>
    </cfRule>
  </conditionalFormatting>
  <conditionalFormatting sqref="M116">
    <cfRule type="cellIs" dxfId="1949" priority="15833" stopIfTrue="1" operator="greaterThanOrEqual">
      <formula>15</formula>
    </cfRule>
    <cfRule type="cellIs" dxfId="1948" priority="15834" stopIfTrue="1" operator="between">
      <formula>7</formula>
      <formula>14</formula>
    </cfRule>
    <cfRule type="cellIs" dxfId="1947" priority="15835" stopIfTrue="1" operator="lessThan">
      <formula>7</formula>
    </cfRule>
  </conditionalFormatting>
  <conditionalFormatting sqref="Q118">
    <cfRule type="cellIs" dxfId="1946" priority="15822" stopIfTrue="1" operator="greaterThanOrEqual">
      <formula>70</formula>
    </cfRule>
    <cfRule type="cellIs" dxfId="1945" priority="15823" stopIfTrue="1" operator="between">
      <formula>60</formula>
      <formula>69.999999</formula>
    </cfRule>
    <cfRule type="cellIs" dxfId="1944" priority="15824" stopIfTrue="1" operator="between">
      <formula>50</formula>
      <formula>59.9999</formula>
    </cfRule>
    <cfRule type="cellIs" dxfId="1943" priority="15825" stopIfTrue="1" operator="lessThanOrEqual">
      <formula>50</formula>
    </cfRule>
  </conditionalFormatting>
  <conditionalFormatting sqref="M118">
    <cfRule type="cellIs" dxfId="1942" priority="15819" stopIfTrue="1" operator="greaterThanOrEqual">
      <formula>15</formula>
    </cfRule>
    <cfRule type="cellIs" dxfId="1941" priority="15820" stopIfTrue="1" operator="between">
      <formula>7</formula>
      <formula>14</formula>
    </cfRule>
    <cfRule type="cellIs" dxfId="1940" priority="15821" stopIfTrue="1" operator="lessThan">
      <formula>7</formula>
    </cfRule>
  </conditionalFormatting>
  <conditionalFormatting sqref="Q131">
    <cfRule type="cellIs" dxfId="1939" priority="15787" stopIfTrue="1" operator="greaterThanOrEqual">
      <formula>70</formula>
    </cfRule>
    <cfRule type="cellIs" dxfId="1938" priority="15788" stopIfTrue="1" operator="between">
      <formula>60</formula>
      <formula>69.999999</formula>
    </cfRule>
    <cfRule type="cellIs" dxfId="1937" priority="15789" stopIfTrue="1" operator="between">
      <formula>50</formula>
      <formula>59.9999</formula>
    </cfRule>
    <cfRule type="cellIs" dxfId="1936" priority="15790" stopIfTrue="1" operator="lessThanOrEqual">
      <formula>50</formula>
    </cfRule>
  </conditionalFormatting>
  <conditionalFormatting sqref="M127">
    <cfRule type="cellIs" dxfId="1935" priority="15805" stopIfTrue="1" operator="greaterThanOrEqual">
      <formula>15</formula>
    </cfRule>
    <cfRule type="cellIs" dxfId="1934" priority="15806" stopIfTrue="1" operator="between">
      <formula>7</formula>
      <formula>14</formula>
    </cfRule>
    <cfRule type="cellIs" dxfId="1933" priority="15807" stopIfTrue="1" operator="lessThan">
      <formula>7</formula>
    </cfRule>
  </conditionalFormatting>
  <conditionalFormatting sqref="Q133">
    <cfRule type="cellIs" dxfId="1932" priority="15773" stopIfTrue="1" operator="greaterThanOrEqual">
      <formula>70</formula>
    </cfRule>
    <cfRule type="cellIs" dxfId="1931" priority="15774" stopIfTrue="1" operator="between">
      <formula>60</formula>
      <formula>69.999999</formula>
    </cfRule>
    <cfRule type="cellIs" dxfId="1930" priority="15775" stopIfTrue="1" operator="between">
      <formula>50</formula>
      <formula>59.9999</formula>
    </cfRule>
    <cfRule type="cellIs" dxfId="1929" priority="15776" stopIfTrue="1" operator="lessThanOrEqual">
      <formula>50</formula>
    </cfRule>
  </conditionalFormatting>
  <conditionalFormatting sqref="M128">
    <cfRule type="cellIs" dxfId="1928" priority="15798" stopIfTrue="1" operator="greaterThanOrEqual">
      <formula>15</formula>
    </cfRule>
    <cfRule type="cellIs" dxfId="1927" priority="15799" stopIfTrue="1" operator="between">
      <formula>7</formula>
      <formula>14</formula>
    </cfRule>
    <cfRule type="cellIs" dxfId="1926" priority="15800" stopIfTrue="1" operator="lessThan">
      <formula>7</formula>
    </cfRule>
  </conditionalFormatting>
  <conditionalFormatting sqref="M132">
    <cfRule type="cellIs" dxfId="1925" priority="15777" stopIfTrue="1" operator="greaterThanOrEqual">
      <formula>15</formula>
    </cfRule>
    <cfRule type="cellIs" dxfId="1924" priority="15778" stopIfTrue="1" operator="between">
      <formula>7</formula>
      <formula>14</formula>
    </cfRule>
    <cfRule type="cellIs" dxfId="1923" priority="15779" stopIfTrue="1" operator="lessThan">
      <formula>7</formula>
    </cfRule>
  </conditionalFormatting>
  <conditionalFormatting sqref="M129">
    <cfRule type="cellIs" dxfId="1922" priority="15791" stopIfTrue="1" operator="greaterThanOrEqual">
      <formula>15</formula>
    </cfRule>
    <cfRule type="cellIs" dxfId="1921" priority="15792" stopIfTrue="1" operator="between">
      <formula>7</formula>
      <formula>14</formula>
    </cfRule>
    <cfRule type="cellIs" dxfId="1920" priority="15793" stopIfTrue="1" operator="lessThan">
      <formula>7</formula>
    </cfRule>
  </conditionalFormatting>
  <conditionalFormatting sqref="M131">
    <cfRule type="cellIs" dxfId="1919" priority="15784" stopIfTrue="1" operator="greaterThanOrEqual">
      <formula>15</formula>
    </cfRule>
    <cfRule type="cellIs" dxfId="1918" priority="15785" stopIfTrue="1" operator="between">
      <formula>7</formula>
      <formula>14</formula>
    </cfRule>
    <cfRule type="cellIs" dxfId="1917" priority="15786" stopIfTrue="1" operator="lessThan">
      <formula>7</formula>
    </cfRule>
  </conditionalFormatting>
  <conditionalFormatting sqref="M133">
    <cfRule type="cellIs" dxfId="1916" priority="15770" stopIfTrue="1" operator="greaterThanOrEqual">
      <formula>15</formula>
    </cfRule>
    <cfRule type="cellIs" dxfId="1915" priority="15771" stopIfTrue="1" operator="between">
      <formula>7</formula>
      <formula>14</formula>
    </cfRule>
    <cfRule type="cellIs" dxfId="1914" priority="15772" stopIfTrue="1" operator="lessThan">
      <formula>7</formula>
    </cfRule>
  </conditionalFormatting>
  <conditionalFormatting sqref="Q143">
    <cfRule type="cellIs" dxfId="1913" priority="15759" stopIfTrue="1" operator="greaterThanOrEqual">
      <formula>70</formula>
    </cfRule>
    <cfRule type="cellIs" dxfId="1912" priority="15760" stopIfTrue="1" operator="between">
      <formula>60</formula>
      <formula>69.999999</formula>
    </cfRule>
    <cfRule type="cellIs" dxfId="1911" priority="15761" stopIfTrue="1" operator="between">
      <formula>50</formula>
      <formula>59.9999</formula>
    </cfRule>
    <cfRule type="cellIs" dxfId="1910" priority="15762" stopIfTrue="1" operator="lessThanOrEqual">
      <formula>50</formula>
    </cfRule>
  </conditionalFormatting>
  <conditionalFormatting sqref="M143">
    <cfRule type="cellIs" dxfId="1909" priority="15756" stopIfTrue="1" operator="greaterThanOrEqual">
      <formula>15</formula>
    </cfRule>
    <cfRule type="cellIs" dxfId="1908" priority="15757" stopIfTrue="1" operator="between">
      <formula>7</formula>
      <formula>14</formula>
    </cfRule>
    <cfRule type="cellIs" dxfId="1907" priority="15758" stopIfTrue="1" operator="lessThan">
      <formula>7</formula>
    </cfRule>
  </conditionalFormatting>
  <conditionalFormatting sqref="Q156:Q157">
    <cfRule type="cellIs" dxfId="1906" priority="15738" stopIfTrue="1" operator="greaterThanOrEqual">
      <formula>70</formula>
    </cfRule>
    <cfRule type="cellIs" dxfId="1905" priority="15739" stopIfTrue="1" operator="between">
      <formula>60</formula>
      <formula>69.999999</formula>
    </cfRule>
    <cfRule type="cellIs" dxfId="1904" priority="15740" stopIfTrue="1" operator="between">
      <formula>50</formula>
      <formula>59.9999</formula>
    </cfRule>
    <cfRule type="cellIs" dxfId="1903" priority="15741" stopIfTrue="1" operator="lessThanOrEqual">
      <formula>50</formula>
    </cfRule>
  </conditionalFormatting>
  <conditionalFormatting sqref="M145">
    <cfRule type="cellIs" dxfId="1902" priority="15749" stopIfTrue="1" operator="greaterThanOrEqual">
      <formula>15</formula>
    </cfRule>
    <cfRule type="cellIs" dxfId="1901" priority="15750" stopIfTrue="1" operator="between">
      <formula>7</formula>
      <formula>14</formula>
    </cfRule>
    <cfRule type="cellIs" dxfId="1900" priority="15751" stopIfTrue="1" operator="lessThan">
      <formula>7</formula>
    </cfRule>
  </conditionalFormatting>
  <conditionalFormatting sqref="M156:M157">
    <cfRule type="cellIs" dxfId="1899" priority="15735" stopIfTrue="1" operator="greaterThanOrEqual">
      <formula>15</formula>
    </cfRule>
    <cfRule type="cellIs" dxfId="1898" priority="15736" stopIfTrue="1" operator="between">
      <formula>7</formula>
      <formula>14</formula>
    </cfRule>
    <cfRule type="cellIs" dxfId="1897" priority="15737" stopIfTrue="1" operator="lessThan">
      <formula>7</formula>
    </cfRule>
  </conditionalFormatting>
  <conditionalFormatting sqref="Q160">
    <cfRule type="cellIs" dxfId="1896" priority="15731" stopIfTrue="1" operator="greaterThanOrEqual">
      <formula>70</formula>
    </cfRule>
    <cfRule type="cellIs" dxfId="1895" priority="15732" stopIfTrue="1" operator="between">
      <formula>60</formula>
      <formula>69.999999</formula>
    </cfRule>
    <cfRule type="cellIs" dxfId="1894" priority="15733" stopIfTrue="1" operator="between">
      <formula>50</formula>
      <formula>59.9999</formula>
    </cfRule>
    <cfRule type="cellIs" dxfId="1893" priority="15734" stopIfTrue="1" operator="lessThanOrEqual">
      <formula>50</formula>
    </cfRule>
  </conditionalFormatting>
  <conditionalFormatting sqref="M160">
    <cfRule type="cellIs" dxfId="1892" priority="15728" stopIfTrue="1" operator="greaterThanOrEqual">
      <formula>15</formula>
    </cfRule>
    <cfRule type="cellIs" dxfId="1891" priority="15729" stopIfTrue="1" operator="between">
      <formula>7</formula>
      <formula>14</formula>
    </cfRule>
    <cfRule type="cellIs" dxfId="1890" priority="15730" stopIfTrue="1" operator="lessThan">
      <formula>7</formula>
    </cfRule>
  </conditionalFormatting>
  <conditionalFormatting sqref="Q162">
    <cfRule type="cellIs" dxfId="1889" priority="15724" stopIfTrue="1" operator="greaterThanOrEqual">
      <formula>70</formula>
    </cfRule>
    <cfRule type="cellIs" dxfId="1888" priority="15725" stopIfTrue="1" operator="between">
      <formula>60</formula>
      <formula>69.999999</formula>
    </cfRule>
    <cfRule type="cellIs" dxfId="1887" priority="15726" stopIfTrue="1" operator="between">
      <formula>50</formula>
      <formula>59.9999</formula>
    </cfRule>
    <cfRule type="cellIs" dxfId="1886" priority="15727" stopIfTrue="1" operator="lessThanOrEqual">
      <formula>50</formula>
    </cfRule>
  </conditionalFormatting>
  <conditionalFormatting sqref="M162">
    <cfRule type="cellIs" dxfId="1885" priority="15721" stopIfTrue="1" operator="greaterThanOrEqual">
      <formula>15</formula>
    </cfRule>
    <cfRule type="cellIs" dxfId="1884" priority="15722" stopIfTrue="1" operator="between">
      <formula>7</formula>
      <formula>14</formula>
    </cfRule>
    <cfRule type="cellIs" dxfId="1883" priority="15723" stopIfTrue="1" operator="lessThan">
      <formula>7</formula>
    </cfRule>
  </conditionalFormatting>
  <conditionalFormatting sqref="Q164">
    <cfRule type="cellIs" dxfId="1882" priority="15717" stopIfTrue="1" operator="greaterThanOrEqual">
      <formula>70</formula>
    </cfRule>
    <cfRule type="cellIs" dxfId="1881" priority="15718" stopIfTrue="1" operator="between">
      <formula>60</formula>
      <formula>69.999999</formula>
    </cfRule>
    <cfRule type="cellIs" dxfId="1880" priority="15719" stopIfTrue="1" operator="between">
      <formula>50</formula>
      <formula>59.9999</formula>
    </cfRule>
    <cfRule type="cellIs" dxfId="1879" priority="15720" stopIfTrue="1" operator="lessThanOrEqual">
      <formula>50</formula>
    </cfRule>
  </conditionalFormatting>
  <conditionalFormatting sqref="M164">
    <cfRule type="cellIs" dxfId="1878" priority="15714" stopIfTrue="1" operator="greaterThanOrEqual">
      <formula>15</formula>
    </cfRule>
    <cfRule type="cellIs" dxfId="1877" priority="15715" stopIfTrue="1" operator="between">
      <formula>7</formula>
      <formula>14</formula>
    </cfRule>
    <cfRule type="cellIs" dxfId="1876" priority="15716" stopIfTrue="1" operator="lessThan">
      <formula>7</formula>
    </cfRule>
  </conditionalFormatting>
  <conditionalFormatting sqref="M172 M175">
    <cfRule type="cellIs" dxfId="1875" priority="15679" stopIfTrue="1" operator="greaterThanOrEqual">
      <formula>15</formula>
    </cfRule>
    <cfRule type="cellIs" dxfId="1874" priority="15680" stopIfTrue="1" operator="between">
      <formula>7</formula>
      <formula>14</formula>
    </cfRule>
    <cfRule type="cellIs" dxfId="1873" priority="15681" stopIfTrue="1" operator="lessThan">
      <formula>7</formula>
    </cfRule>
  </conditionalFormatting>
  <conditionalFormatting sqref="Q165">
    <cfRule type="cellIs" dxfId="1872" priority="15710" stopIfTrue="1" operator="greaterThanOrEqual">
      <formula>70</formula>
    </cfRule>
    <cfRule type="cellIs" dxfId="1871" priority="15711" stopIfTrue="1" operator="between">
      <formula>60</formula>
      <formula>69.999999</formula>
    </cfRule>
    <cfRule type="cellIs" dxfId="1870" priority="15712" stopIfTrue="1" operator="between">
      <formula>50</formula>
      <formula>59.9999</formula>
    </cfRule>
    <cfRule type="cellIs" dxfId="1869" priority="15713" stopIfTrue="1" operator="lessThanOrEqual">
      <formula>50</formula>
    </cfRule>
  </conditionalFormatting>
  <conditionalFormatting sqref="M165">
    <cfRule type="cellIs" dxfId="1868" priority="15707" stopIfTrue="1" operator="greaterThanOrEqual">
      <formula>15</formula>
    </cfRule>
    <cfRule type="cellIs" dxfId="1867" priority="15708" stopIfTrue="1" operator="between">
      <formula>7</formula>
      <formula>14</formula>
    </cfRule>
    <cfRule type="cellIs" dxfId="1866" priority="15709" stopIfTrue="1" operator="lessThan">
      <formula>7</formula>
    </cfRule>
  </conditionalFormatting>
  <conditionalFormatting sqref="Q166">
    <cfRule type="cellIs" dxfId="1865" priority="15703" stopIfTrue="1" operator="greaterThanOrEqual">
      <formula>70</formula>
    </cfRule>
    <cfRule type="cellIs" dxfId="1864" priority="15704" stopIfTrue="1" operator="between">
      <formula>60</formula>
      <formula>69.999999</formula>
    </cfRule>
    <cfRule type="cellIs" dxfId="1863" priority="15705" stopIfTrue="1" operator="between">
      <formula>50</formula>
      <formula>59.9999</formula>
    </cfRule>
    <cfRule type="cellIs" dxfId="1862" priority="15706" stopIfTrue="1" operator="lessThanOrEqual">
      <formula>50</formula>
    </cfRule>
  </conditionalFormatting>
  <conditionalFormatting sqref="M166">
    <cfRule type="cellIs" dxfId="1861" priority="15700" stopIfTrue="1" operator="greaterThanOrEqual">
      <formula>15</formula>
    </cfRule>
    <cfRule type="cellIs" dxfId="1860" priority="15701" stopIfTrue="1" operator="between">
      <formula>7</formula>
      <formula>14</formula>
    </cfRule>
    <cfRule type="cellIs" dxfId="1859" priority="15702" stopIfTrue="1" operator="lessThan">
      <formula>7</formula>
    </cfRule>
  </conditionalFormatting>
  <conditionalFormatting sqref="Q168">
    <cfRule type="cellIs" dxfId="1858" priority="15696" stopIfTrue="1" operator="greaterThanOrEqual">
      <formula>70</formula>
    </cfRule>
    <cfRule type="cellIs" dxfId="1857" priority="15697" stopIfTrue="1" operator="between">
      <formula>60</formula>
      <formula>69.999999</formula>
    </cfRule>
    <cfRule type="cellIs" dxfId="1856" priority="15698" stopIfTrue="1" operator="between">
      <formula>50</formula>
      <formula>59.9999</formula>
    </cfRule>
    <cfRule type="cellIs" dxfId="1855" priority="15699" stopIfTrue="1" operator="lessThanOrEqual">
      <formula>50</formula>
    </cfRule>
  </conditionalFormatting>
  <conditionalFormatting sqref="M168">
    <cfRule type="cellIs" dxfId="1854" priority="15693" stopIfTrue="1" operator="greaterThanOrEqual">
      <formula>15</formula>
    </cfRule>
    <cfRule type="cellIs" dxfId="1853" priority="15694" stopIfTrue="1" operator="between">
      <formula>7</formula>
      <formula>14</formula>
    </cfRule>
    <cfRule type="cellIs" dxfId="1852" priority="15695" stopIfTrue="1" operator="lessThan">
      <formula>7</formula>
    </cfRule>
  </conditionalFormatting>
  <conditionalFormatting sqref="Q170">
    <cfRule type="cellIs" dxfId="1851" priority="15689" stopIfTrue="1" operator="greaterThanOrEqual">
      <formula>70</formula>
    </cfRule>
    <cfRule type="cellIs" dxfId="1850" priority="15690" stopIfTrue="1" operator="between">
      <formula>60</formula>
      <formula>69.999999</formula>
    </cfRule>
    <cfRule type="cellIs" dxfId="1849" priority="15691" stopIfTrue="1" operator="between">
      <formula>50</formula>
      <formula>59.9999</formula>
    </cfRule>
    <cfRule type="cellIs" dxfId="1848" priority="15692" stopIfTrue="1" operator="lessThanOrEqual">
      <formula>50</formula>
    </cfRule>
  </conditionalFormatting>
  <conditionalFormatting sqref="M170">
    <cfRule type="cellIs" dxfId="1847" priority="15686" stopIfTrue="1" operator="greaterThanOrEqual">
      <formula>15</formula>
    </cfRule>
    <cfRule type="cellIs" dxfId="1846" priority="15687" stopIfTrue="1" operator="between">
      <formula>7</formula>
      <formula>14</formula>
    </cfRule>
    <cfRule type="cellIs" dxfId="1845" priority="15688" stopIfTrue="1" operator="lessThan">
      <formula>7</formula>
    </cfRule>
  </conditionalFormatting>
  <conditionalFormatting sqref="Q172 Q175">
    <cfRule type="cellIs" dxfId="1844" priority="15682" stopIfTrue="1" operator="greaterThanOrEqual">
      <formula>70</formula>
    </cfRule>
    <cfRule type="cellIs" dxfId="1843" priority="15683" stopIfTrue="1" operator="between">
      <formula>60</formula>
      <formula>69.999999</formula>
    </cfRule>
    <cfRule type="cellIs" dxfId="1842" priority="15684" stopIfTrue="1" operator="between">
      <formula>50</formula>
      <formula>59.9999</formula>
    </cfRule>
    <cfRule type="cellIs" dxfId="1841" priority="15685" stopIfTrue="1" operator="lessThanOrEqual">
      <formula>50</formula>
    </cfRule>
  </conditionalFormatting>
  <conditionalFormatting sqref="Q178">
    <cfRule type="cellIs" dxfId="1840" priority="15675" stopIfTrue="1" operator="greaterThanOrEqual">
      <formula>70</formula>
    </cfRule>
    <cfRule type="cellIs" dxfId="1839" priority="15676" stopIfTrue="1" operator="between">
      <formula>60</formula>
      <formula>69.999999</formula>
    </cfRule>
    <cfRule type="cellIs" dxfId="1838" priority="15677" stopIfTrue="1" operator="between">
      <formula>50</formula>
      <formula>59.9999</formula>
    </cfRule>
    <cfRule type="cellIs" dxfId="1837" priority="15678" stopIfTrue="1" operator="lessThanOrEqual">
      <formula>50</formula>
    </cfRule>
  </conditionalFormatting>
  <conditionalFormatting sqref="M178">
    <cfRule type="cellIs" dxfId="1836" priority="15672" stopIfTrue="1" operator="greaterThanOrEqual">
      <formula>15</formula>
    </cfRule>
    <cfRule type="cellIs" dxfId="1835" priority="15673" stopIfTrue="1" operator="between">
      <formula>7</formula>
      <formula>14</formula>
    </cfRule>
    <cfRule type="cellIs" dxfId="1834" priority="15674" stopIfTrue="1" operator="lessThan">
      <formula>7</formula>
    </cfRule>
  </conditionalFormatting>
  <conditionalFormatting sqref="Q353:Q354">
    <cfRule type="cellIs" dxfId="1833" priority="15493" stopIfTrue="1" operator="greaterThanOrEqual">
      <formula>70</formula>
    </cfRule>
    <cfRule type="cellIs" dxfId="1832" priority="15494" stopIfTrue="1" operator="between">
      <formula>60</formula>
      <formula>69.999999</formula>
    </cfRule>
    <cfRule type="cellIs" dxfId="1831" priority="15495" stopIfTrue="1" operator="between">
      <formula>50</formula>
      <formula>59.9999</formula>
    </cfRule>
    <cfRule type="cellIs" dxfId="1830" priority="15496" stopIfTrue="1" operator="lessThanOrEqual">
      <formula>50</formula>
    </cfRule>
  </conditionalFormatting>
  <conditionalFormatting sqref="M353">
    <cfRule type="cellIs" dxfId="1829" priority="15490" stopIfTrue="1" operator="greaterThanOrEqual">
      <formula>15</formula>
    </cfRule>
    <cfRule type="cellIs" dxfId="1828" priority="15491" stopIfTrue="1" operator="between">
      <formula>7</formula>
      <formula>14</formula>
    </cfRule>
    <cfRule type="cellIs" dxfId="1827" priority="15492" stopIfTrue="1" operator="lessThan">
      <formula>7</formula>
    </cfRule>
  </conditionalFormatting>
  <conditionalFormatting sqref="Q180">
    <cfRule type="cellIs" dxfId="1826" priority="15668" stopIfTrue="1" operator="greaterThanOrEqual">
      <formula>70</formula>
    </cfRule>
    <cfRule type="cellIs" dxfId="1825" priority="15669" stopIfTrue="1" operator="between">
      <formula>60</formula>
      <formula>69.999999</formula>
    </cfRule>
    <cfRule type="cellIs" dxfId="1824" priority="15670" stopIfTrue="1" operator="between">
      <formula>50</formula>
      <formula>59.9999</formula>
    </cfRule>
    <cfRule type="cellIs" dxfId="1823" priority="15671" stopIfTrue="1" operator="lessThanOrEqual">
      <formula>50</formula>
    </cfRule>
  </conditionalFormatting>
  <conditionalFormatting sqref="M180">
    <cfRule type="cellIs" dxfId="1822" priority="15665" stopIfTrue="1" operator="greaterThanOrEqual">
      <formula>15</formula>
    </cfRule>
    <cfRule type="cellIs" dxfId="1821" priority="15666" stopIfTrue="1" operator="between">
      <formula>7</formula>
      <formula>14</formula>
    </cfRule>
    <cfRule type="cellIs" dxfId="1820" priority="15667" stopIfTrue="1" operator="lessThan">
      <formula>7</formula>
    </cfRule>
  </conditionalFormatting>
  <conditionalFormatting sqref="Q184">
    <cfRule type="cellIs" dxfId="1819" priority="15661" stopIfTrue="1" operator="greaterThanOrEqual">
      <formula>70</formula>
    </cfRule>
    <cfRule type="cellIs" dxfId="1818" priority="15662" stopIfTrue="1" operator="between">
      <formula>60</formula>
      <formula>69.999999</formula>
    </cfRule>
    <cfRule type="cellIs" dxfId="1817" priority="15663" stopIfTrue="1" operator="between">
      <formula>50</formula>
      <formula>59.9999</formula>
    </cfRule>
    <cfRule type="cellIs" dxfId="1816" priority="15664" stopIfTrue="1" operator="lessThanOrEqual">
      <formula>50</formula>
    </cfRule>
  </conditionalFormatting>
  <conditionalFormatting sqref="M184">
    <cfRule type="cellIs" dxfId="1815" priority="15658" stopIfTrue="1" operator="greaterThanOrEqual">
      <formula>15</formula>
    </cfRule>
    <cfRule type="cellIs" dxfId="1814" priority="15659" stopIfTrue="1" operator="between">
      <formula>7</formula>
      <formula>14</formula>
    </cfRule>
    <cfRule type="cellIs" dxfId="1813" priority="15660" stopIfTrue="1" operator="lessThan">
      <formula>7</formula>
    </cfRule>
  </conditionalFormatting>
  <conditionalFormatting sqref="Q186">
    <cfRule type="cellIs" dxfId="1812" priority="15654" stopIfTrue="1" operator="greaterThanOrEqual">
      <formula>70</formula>
    </cfRule>
    <cfRule type="cellIs" dxfId="1811" priority="15655" stopIfTrue="1" operator="between">
      <formula>60</formula>
      <formula>69.999999</formula>
    </cfRule>
    <cfRule type="cellIs" dxfId="1810" priority="15656" stopIfTrue="1" operator="between">
      <formula>50</formula>
      <formula>59.9999</formula>
    </cfRule>
    <cfRule type="cellIs" dxfId="1809" priority="15657" stopIfTrue="1" operator="lessThanOrEqual">
      <formula>50</formula>
    </cfRule>
  </conditionalFormatting>
  <conditionalFormatting sqref="M186">
    <cfRule type="cellIs" dxfId="1808" priority="15651" stopIfTrue="1" operator="greaterThanOrEqual">
      <formula>15</formula>
    </cfRule>
    <cfRule type="cellIs" dxfId="1807" priority="15652" stopIfTrue="1" operator="between">
      <formula>7</formula>
      <formula>14</formula>
    </cfRule>
    <cfRule type="cellIs" dxfId="1806" priority="15653" stopIfTrue="1" operator="lessThan">
      <formula>7</formula>
    </cfRule>
  </conditionalFormatting>
  <conditionalFormatting sqref="Q188">
    <cfRule type="cellIs" dxfId="1805" priority="15647" stopIfTrue="1" operator="greaterThanOrEqual">
      <formula>70</formula>
    </cfRule>
    <cfRule type="cellIs" dxfId="1804" priority="15648" stopIfTrue="1" operator="between">
      <formula>60</formula>
      <formula>69.999999</formula>
    </cfRule>
    <cfRule type="cellIs" dxfId="1803" priority="15649" stopIfTrue="1" operator="between">
      <formula>50</formula>
      <formula>59.9999</formula>
    </cfRule>
    <cfRule type="cellIs" dxfId="1802" priority="15650" stopIfTrue="1" operator="lessThanOrEqual">
      <formula>50</formula>
    </cfRule>
  </conditionalFormatting>
  <conditionalFormatting sqref="M188">
    <cfRule type="cellIs" dxfId="1801" priority="15644" stopIfTrue="1" operator="greaterThanOrEqual">
      <formula>15</formula>
    </cfRule>
    <cfRule type="cellIs" dxfId="1800" priority="15645" stopIfTrue="1" operator="between">
      <formula>7</formula>
      <formula>14</formula>
    </cfRule>
    <cfRule type="cellIs" dxfId="1799" priority="15646" stopIfTrue="1" operator="lessThan">
      <formula>7</formula>
    </cfRule>
  </conditionalFormatting>
  <conditionalFormatting sqref="Q190">
    <cfRule type="cellIs" dxfId="1798" priority="15640" stopIfTrue="1" operator="greaterThanOrEqual">
      <formula>70</formula>
    </cfRule>
    <cfRule type="cellIs" dxfId="1797" priority="15641" stopIfTrue="1" operator="between">
      <formula>60</formula>
      <formula>69.999999</formula>
    </cfRule>
    <cfRule type="cellIs" dxfId="1796" priority="15642" stopIfTrue="1" operator="between">
      <formula>50</formula>
      <formula>59.9999</formula>
    </cfRule>
    <cfRule type="cellIs" dxfId="1795" priority="15643" stopIfTrue="1" operator="lessThanOrEqual">
      <formula>50</formula>
    </cfRule>
  </conditionalFormatting>
  <conditionalFormatting sqref="M190">
    <cfRule type="cellIs" dxfId="1794" priority="15637" stopIfTrue="1" operator="greaterThanOrEqual">
      <formula>15</formula>
    </cfRule>
    <cfRule type="cellIs" dxfId="1793" priority="15638" stopIfTrue="1" operator="between">
      <formula>7</formula>
      <formula>14</formula>
    </cfRule>
    <cfRule type="cellIs" dxfId="1792" priority="15639" stopIfTrue="1" operator="lessThan">
      <formula>7</formula>
    </cfRule>
  </conditionalFormatting>
  <conditionalFormatting sqref="Q192">
    <cfRule type="cellIs" dxfId="1791" priority="15633" stopIfTrue="1" operator="greaterThanOrEqual">
      <formula>70</formula>
    </cfRule>
    <cfRule type="cellIs" dxfId="1790" priority="15634" stopIfTrue="1" operator="between">
      <formula>60</formula>
      <formula>69.999999</formula>
    </cfRule>
    <cfRule type="cellIs" dxfId="1789" priority="15635" stopIfTrue="1" operator="between">
      <formula>50</formula>
      <formula>59.9999</formula>
    </cfRule>
    <cfRule type="cellIs" dxfId="1788" priority="15636" stopIfTrue="1" operator="lessThanOrEqual">
      <formula>50</formula>
    </cfRule>
  </conditionalFormatting>
  <conditionalFormatting sqref="M192">
    <cfRule type="cellIs" dxfId="1787" priority="15630" stopIfTrue="1" operator="greaterThanOrEqual">
      <formula>15</formula>
    </cfRule>
    <cfRule type="cellIs" dxfId="1786" priority="15631" stopIfTrue="1" operator="between">
      <formula>7</formula>
      <formula>14</formula>
    </cfRule>
    <cfRule type="cellIs" dxfId="1785" priority="15632" stopIfTrue="1" operator="lessThan">
      <formula>7</formula>
    </cfRule>
  </conditionalFormatting>
  <conditionalFormatting sqref="Q197">
    <cfRule type="cellIs" dxfId="1784" priority="15626" stopIfTrue="1" operator="greaterThanOrEqual">
      <formula>70</formula>
    </cfRule>
    <cfRule type="cellIs" dxfId="1783" priority="15627" stopIfTrue="1" operator="between">
      <formula>60</formula>
      <formula>69.999999</formula>
    </cfRule>
    <cfRule type="cellIs" dxfId="1782" priority="15628" stopIfTrue="1" operator="between">
      <formula>50</formula>
      <formula>59.9999</formula>
    </cfRule>
    <cfRule type="cellIs" dxfId="1781" priority="15629" stopIfTrue="1" operator="lessThanOrEqual">
      <formula>50</formula>
    </cfRule>
  </conditionalFormatting>
  <conditionalFormatting sqref="M197">
    <cfRule type="cellIs" dxfId="1780" priority="15623" stopIfTrue="1" operator="greaterThanOrEqual">
      <formula>15</formula>
    </cfRule>
    <cfRule type="cellIs" dxfId="1779" priority="15624" stopIfTrue="1" operator="between">
      <formula>7</formula>
      <formula>14</formula>
    </cfRule>
    <cfRule type="cellIs" dxfId="1778" priority="15625" stopIfTrue="1" operator="lessThan">
      <formula>7</formula>
    </cfRule>
  </conditionalFormatting>
  <conditionalFormatting sqref="Q199">
    <cfRule type="cellIs" dxfId="1777" priority="15619" stopIfTrue="1" operator="greaterThanOrEqual">
      <formula>70</formula>
    </cfRule>
    <cfRule type="cellIs" dxfId="1776" priority="15620" stopIfTrue="1" operator="between">
      <formula>60</formula>
      <formula>69.999999</formula>
    </cfRule>
    <cfRule type="cellIs" dxfId="1775" priority="15621" stopIfTrue="1" operator="between">
      <formula>50</formula>
      <formula>59.9999</formula>
    </cfRule>
    <cfRule type="cellIs" dxfId="1774" priority="15622" stopIfTrue="1" operator="lessThanOrEqual">
      <formula>50</formula>
    </cfRule>
  </conditionalFormatting>
  <conditionalFormatting sqref="M199">
    <cfRule type="cellIs" dxfId="1773" priority="15616" stopIfTrue="1" operator="greaterThanOrEqual">
      <formula>15</formula>
    </cfRule>
    <cfRule type="cellIs" dxfId="1772" priority="15617" stopIfTrue="1" operator="between">
      <formula>7</formula>
      <formula>14</formula>
    </cfRule>
    <cfRule type="cellIs" dxfId="1771" priority="15618" stopIfTrue="1" operator="lessThan">
      <formula>7</formula>
    </cfRule>
  </conditionalFormatting>
  <conditionalFormatting sqref="Q201">
    <cfRule type="cellIs" dxfId="1770" priority="15612" stopIfTrue="1" operator="greaterThanOrEqual">
      <formula>70</formula>
    </cfRule>
    <cfRule type="cellIs" dxfId="1769" priority="15613" stopIfTrue="1" operator="between">
      <formula>60</formula>
      <formula>69.999999</formula>
    </cfRule>
    <cfRule type="cellIs" dxfId="1768" priority="15614" stopIfTrue="1" operator="between">
      <formula>50</formula>
      <formula>59.9999</formula>
    </cfRule>
    <cfRule type="cellIs" dxfId="1767" priority="15615" stopIfTrue="1" operator="lessThanOrEqual">
      <formula>50</formula>
    </cfRule>
  </conditionalFormatting>
  <conditionalFormatting sqref="M201">
    <cfRule type="cellIs" dxfId="1766" priority="15609" stopIfTrue="1" operator="greaterThanOrEqual">
      <formula>15</formula>
    </cfRule>
    <cfRule type="cellIs" dxfId="1765" priority="15610" stopIfTrue="1" operator="between">
      <formula>7</formula>
      <formula>14</formula>
    </cfRule>
    <cfRule type="cellIs" dxfId="1764" priority="15611" stopIfTrue="1" operator="lessThan">
      <formula>7</formula>
    </cfRule>
  </conditionalFormatting>
  <conditionalFormatting sqref="Q203">
    <cfRule type="cellIs" dxfId="1763" priority="15605" stopIfTrue="1" operator="greaterThanOrEqual">
      <formula>70</formula>
    </cfRule>
    <cfRule type="cellIs" dxfId="1762" priority="15606" stopIfTrue="1" operator="between">
      <formula>60</formula>
      <formula>69.999999</formula>
    </cfRule>
    <cfRule type="cellIs" dxfId="1761" priority="15607" stopIfTrue="1" operator="between">
      <formula>50</formula>
      <formula>59.9999</formula>
    </cfRule>
    <cfRule type="cellIs" dxfId="1760" priority="15608" stopIfTrue="1" operator="lessThanOrEqual">
      <formula>50</formula>
    </cfRule>
  </conditionalFormatting>
  <conditionalFormatting sqref="M203">
    <cfRule type="cellIs" dxfId="1759" priority="15602" stopIfTrue="1" operator="greaterThanOrEqual">
      <formula>15</formula>
    </cfRule>
    <cfRule type="cellIs" dxfId="1758" priority="15603" stopIfTrue="1" operator="between">
      <formula>7</formula>
      <formula>14</formula>
    </cfRule>
    <cfRule type="cellIs" dxfId="1757" priority="15604" stopIfTrue="1" operator="lessThan">
      <formula>7</formula>
    </cfRule>
  </conditionalFormatting>
  <conditionalFormatting sqref="Q205">
    <cfRule type="cellIs" dxfId="1756" priority="15598" stopIfTrue="1" operator="greaterThanOrEqual">
      <formula>70</formula>
    </cfRule>
    <cfRule type="cellIs" dxfId="1755" priority="15599" stopIfTrue="1" operator="between">
      <formula>60</formula>
      <formula>69.999999</formula>
    </cfRule>
    <cfRule type="cellIs" dxfId="1754" priority="15600" stopIfTrue="1" operator="between">
      <formula>50</formula>
      <formula>59.9999</formula>
    </cfRule>
    <cfRule type="cellIs" dxfId="1753" priority="15601" stopIfTrue="1" operator="lessThanOrEqual">
      <formula>50</formula>
    </cfRule>
  </conditionalFormatting>
  <conditionalFormatting sqref="M205">
    <cfRule type="cellIs" dxfId="1752" priority="15595" stopIfTrue="1" operator="greaterThanOrEqual">
      <formula>15</formula>
    </cfRule>
    <cfRule type="cellIs" dxfId="1751" priority="15596" stopIfTrue="1" operator="between">
      <formula>7</formula>
      <formula>14</formula>
    </cfRule>
    <cfRule type="cellIs" dxfId="1750" priority="15597" stopIfTrue="1" operator="lessThan">
      <formula>7</formula>
    </cfRule>
  </conditionalFormatting>
  <conditionalFormatting sqref="Q182">
    <cfRule type="cellIs" dxfId="1749" priority="15591" stopIfTrue="1" operator="greaterThanOrEqual">
      <formula>70</formula>
    </cfRule>
    <cfRule type="cellIs" dxfId="1748" priority="15592" stopIfTrue="1" operator="between">
      <formula>60</formula>
      <formula>69.999999</formula>
    </cfRule>
    <cfRule type="cellIs" dxfId="1747" priority="15593" stopIfTrue="1" operator="between">
      <formula>50</formula>
      <formula>59.9999</formula>
    </cfRule>
    <cfRule type="cellIs" dxfId="1746" priority="15594" stopIfTrue="1" operator="lessThanOrEqual">
      <formula>50</formula>
    </cfRule>
  </conditionalFormatting>
  <conditionalFormatting sqref="M182">
    <cfRule type="cellIs" dxfId="1745" priority="15588" stopIfTrue="1" operator="greaterThanOrEqual">
      <formula>15</formula>
    </cfRule>
    <cfRule type="cellIs" dxfId="1744" priority="15589" stopIfTrue="1" operator="between">
      <formula>7</formula>
      <formula>14</formula>
    </cfRule>
    <cfRule type="cellIs" dxfId="1743" priority="15590" stopIfTrue="1" operator="lessThan">
      <formula>7</formula>
    </cfRule>
  </conditionalFormatting>
  <conditionalFormatting sqref="Q207">
    <cfRule type="cellIs" dxfId="1742" priority="15584" stopIfTrue="1" operator="greaterThanOrEqual">
      <formula>70</formula>
    </cfRule>
    <cfRule type="cellIs" dxfId="1741" priority="15585" stopIfTrue="1" operator="between">
      <formula>60</formula>
      <formula>69.999999</formula>
    </cfRule>
    <cfRule type="cellIs" dxfId="1740" priority="15586" stopIfTrue="1" operator="between">
      <formula>50</formula>
      <formula>59.9999</formula>
    </cfRule>
    <cfRule type="cellIs" dxfId="1739" priority="15587" stopIfTrue="1" operator="lessThanOrEqual">
      <formula>50</formula>
    </cfRule>
  </conditionalFormatting>
  <conditionalFormatting sqref="M207">
    <cfRule type="cellIs" dxfId="1738" priority="15581" stopIfTrue="1" operator="greaterThanOrEqual">
      <formula>15</formula>
    </cfRule>
    <cfRule type="cellIs" dxfId="1737" priority="15582" stopIfTrue="1" operator="between">
      <formula>7</formula>
      <formula>14</formula>
    </cfRule>
    <cfRule type="cellIs" dxfId="1736" priority="15583" stopIfTrue="1" operator="lessThan">
      <formula>7</formula>
    </cfRule>
  </conditionalFormatting>
  <conditionalFormatting sqref="Q213">
    <cfRule type="cellIs" dxfId="1735" priority="15577" stopIfTrue="1" operator="greaterThanOrEqual">
      <formula>70</formula>
    </cfRule>
    <cfRule type="cellIs" dxfId="1734" priority="15578" stopIfTrue="1" operator="between">
      <formula>60</formula>
      <formula>69.999999</formula>
    </cfRule>
    <cfRule type="cellIs" dxfId="1733" priority="15579" stopIfTrue="1" operator="between">
      <formula>50</formula>
      <formula>59.9999</formula>
    </cfRule>
    <cfRule type="cellIs" dxfId="1732" priority="15580" stopIfTrue="1" operator="lessThanOrEqual">
      <formula>50</formula>
    </cfRule>
  </conditionalFormatting>
  <conditionalFormatting sqref="M213">
    <cfRule type="cellIs" dxfId="1731" priority="15574" stopIfTrue="1" operator="greaterThanOrEqual">
      <formula>15</formula>
    </cfRule>
    <cfRule type="cellIs" dxfId="1730" priority="15575" stopIfTrue="1" operator="between">
      <formula>7</formula>
      <formula>14</formula>
    </cfRule>
    <cfRule type="cellIs" dxfId="1729" priority="15576" stopIfTrue="1" operator="lessThan">
      <formula>7</formula>
    </cfRule>
  </conditionalFormatting>
  <conditionalFormatting sqref="Q209">
    <cfRule type="cellIs" dxfId="1728" priority="15570" stopIfTrue="1" operator="greaterThanOrEqual">
      <formula>70</formula>
    </cfRule>
    <cfRule type="cellIs" dxfId="1727" priority="15571" stopIfTrue="1" operator="between">
      <formula>60</formula>
      <formula>69.999999</formula>
    </cfRule>
    <cfRule type="cellIs" dxfId="1726" priority="15572" stopIfTrue="1" operator="between">
      <formula>50</formula>
      <formula>59.9999</formula>
    </cfRule>
    <cfRule type="cellIs" dxfId="1725" priority="15573" stopIfTrue="1" operator="lessThanOrEqual">
      <formula>50</formula>
    </cfRule>
  </conditionalFormatting>
  <conditionalFormatting sqref="M209">
    <cfRule type="cellIs" dxfId="1724" priority="15567" stopIfTrue="1" operator="greaterThanOrEqual">
      <formula>15</formula>
    </cfRule>
    <cfRule type="cellIs" dxfId="1723" priority="15568" stopIfTrue="1" operator="between">
      <formula>7</formula>
      <formula>14</formula>
    </cfRule>
    <cfRule type="cellIs" dxfId="1722" priority="15569" stopIfTrue="1" operator="lessThan">
      <formula>7</formula>
    </cfRule>
  </conditionalFormatting>
  <conditionalFormatting sqref="Q211">
    <cfRule type="cellIs" dxfId="1721" priority="15563" stopIfTrue="1" operator="greaterThanOrEqual">
      <formula>70</formula>
    </cfRule>
    <cfRule type="cellIs" dxfId="1720" priority="15564" stopIfTrue="1" operator="between">
      <formula>60</formula>
      <formula>69.999999</formula>
    </cfRule>
    <cfRule type="cellIs" dxfId="1719" priority="15565" stopIfTrue="1" operator="between">
      <formula>50</formula>
      <formula>59.9999</formula>
    </cfRule>
    <cfRule type="cellIs" dxfId="1718" priority="15566" stopIfTrue="1" operator="lessThanOrEqual">
      <formula>50</formula>
    </cfRule>
  </conditionalFormatting>
  <conditionalFormatting sqref="M211">
    <cfRule type="cellIs" dxfId="1717" priority="15560" stopIfTrue="1" operator="greaterThanOrEqual">
      <formula>15</formula>
    </cfRule>
    <cfRule type="cellIs" dxfId="1716" priority="15561" stopIfTrue="1" operator="between">
      <formula>7</formula>
      <formula>14</formula>
    </cfRule>
    <cfRule type="cellIs" dxfId="1715" priority="15562" stopIfTrue="1" operator="lessThan">
      <formula>7</formula>
    </cfRule>
  </conditionalFormatting>
  <conditionalFormatting sqref="Q335">
    <cfRule type="cellIs" dxfId="1714" priority="15556" stopIfTrue="1" operator="greaterThanOrEqual">
      <formula>70</formula>
    </cfRule>
    <cfRule type="cellIs" dxfId="1713" priority="15557" stopIfTrue="1" operator="between">
      <formula>60</formula>
      <formula>69.999999</formula>
    </cfRule>
    <cfRule type="cellIs" dxfId="1712" priority="15558" stopIfTrue="1" operator="between">
      <formula>50</formula>
      <formula>59.9999</formula>
    </cfRule>
    <cfRule type="cellIs" dxfId="1711" priority="15559" stopIfTrue="1" operator="lessThanOrEqual">
      <formula>50</formula>
    </cfRule>
  </conditionalFormatting>
  <conditionalFormatting sqref="M335">
    <cfRule type="cellIs" dxfId="1710" priority="15553" stopIfTrue="1" operator="greaterThanOrEqual">
      <formula>15</formula>
    </cfRule>
    <cfRule type="cellIs" dxfId="1709" priority="15554" stopIfTrue="1" operator="between">
      <formula>7</formula>
      <formula>14</formula>
    </cfRule>
    <cfRule type="cellIs" dxfId="1708" priority="15555" stopIfTrue="1" operator="lessThan">
      <formula>7</formula>
    </cfRule>
  </conditionalFormatting>
  <conditionalFormatting sqref="Q334">
    <cfRule type="cellIs" dxfId="1707" priority="15549" stopIfTrue="1" operator="greaterThanOrEqual">
      <formula>70</formula>
    </cfRule>
    <cfRule type="cellIs" dxfId="1706" priority="15550" stopIfTrue="1" operator="between">
      <formula>60</formula>
      <formula>69.999999</formula>
    </cfRule>
    <cfRule type="cellIs" dxfId="1705" priority="15551" stopIfTrue="1" operator="between">
      <formula>50</formula>
      <formula>59.9999</formula>
    </cfRule>
    <cfRule type="cellIs" dxfId="1704" priority="15552" stopIfTrue="1" operator="lessThanOrEqual">
      <formula>50</formula>
    </cfRule>
  </conditionalFormatting>
  <conditionalFormatting sqref="M334">
    <cfRule type="cellIs" dxfId="1703" priority="15546" stopIfTrue="1" operator="greaterThanOrEqual">
      <formula>15</formula>
    </cfRule>
    <cfRule type="cellIs" dxfId="1702" priority="15547" stopIfTrue="1" operator="between">
      <formula>7</formula>
      <formula>14</formula>
    </cfRule>
    <cfRule type="cellIs" dxfId="1701" priority="15548" stopIfTrue="1" operator="lessThan">
      <formula>7</formula>
    </cfRule>
  </conditionalFormatting>
  <conditionalFormatting sqref="Q341">
    <cfRule type="cellIs" dxfId="1700" priority="15542" stopIfTrue="1" operator="greaterThanOrEqual">
      <formula>70</formula>
    </cfRule>
    <cfRule type="cellIs" dxfId="1699" priority="15543" stopIfTrue="1" operator="between">
      <formula>60</formula>
      <formula>69.999999</formula>
    </cfRule>
    <cfRule type="cellIs" dxfId="1698" priority="15544" stopIfTrue="1" operator="between">
      <formula>50</formula>
      <formula>59.9999</formula>
    </cfRule>
    <cfRule type="cellIs" dxfId="1697" priority="15545" stopIfTrue="1" operator="lessThanOrEqual">
      <formula>50</formula>
    </cfRule>
  </conditionalFormatting>
  <conditionalFormatting sqref="M341">
    <cfRule type="cellIs" dxfId="1696" priority="15539" stopIfTrue="1" operator="greaterThanOrEqual">
      <formula>15</formula>
    </cfRule>
    <cfRule type="cellIs" dxfId="1695" priority="15540" stopIfTrue="1" operator="between">
      <formula>7</formula>
      <formula>14</formula>
    </cfRule>
    <cfRule type="cellIs" dxfId="1694" priority="15541" stopIfTrue="1" operator="lessThan">
      <formula>7</formula>
    </cfRule>
  </conditionalFormatting>
  <conditionalFormatting sqref="Q340">
    <cfRule type="cellIs" dxfId="1693" priority="15535" stopIfTrue="1" operator="greaterThanOrEqual">
      <formula>70</formula>
    </cfRule>
    <cfRule type="cellIs" dxfId="1692" priority="15536" stopIfTrue="1" operator="between">
      <formula>60</formula>
      <formula>69.999999</formula>
    </cfRule>
    <cfRule type="cellIs" dxfId="1691" priority="15537" stopIfTrue="1" operator="between">
      <formula>50</formula>
      <formula>59.9999</formula>
    </cfRule>
    <cfRule type="cellIs" dxfId="1690" priority="15538" stopIfTrue="1" operator="lessThanOrEqual">
      <formula>50</formula>
    </cfRule>
  </conditionalFormatting>
  <conditionalFormatting sqref="M340">
    <cfRule type="cellIs" dxfId="1689" priority="15532" stopIfTrue="1" operator="greaterThanOrEqual">
      <formula>15</formula>
    </cfRule>
    <cfRule type="cellIs" dxfId="1688" priority="15533" stopIfTrue="1" operator="between">
      <formula>7</formula>
      <formula>14</formula>
    </cfRule>
    <cfRule type="cellIs" dxfId="1687" priority="15534" stopIfTrue="1" operator="lessThan">
      <formula>7</formula>
    </cfRule>
  </conditionalFormatting>
  <conditionalFormatting sqref="Q343">
    <cfRule type="cellIs" dxfId="1686" priority="15528" stopIfTrue="1" operator="greaterThanOrEqual">
      <formula>70</formula>
    </cfRule>
    <cfRule type="cellIs" dxfId="1685" priority="15529" stopIfTrue="1" operator="between">
      <formula>60</formula>
      <formula>69.999999</formula>
    </cfRule>
    <cfRule type="cellIs" dxfId="1684" priority="15530" stopIfTrue="1" operator="between">
      <formula>50</formula>
      <formula>59.9999</formula>
    </cfRule>
    <cfRule type="cellIs" dxfId="1683" priority="15531" stopIfTrue="1" operator="lessThanOrEqual">
      <formula>50</formula>
    </cfRule>
  </conditionalFormatting>
  <conditionalFormatting sqref="M343">
    <cfRule type="cellIs" dxfId="1682" priority="15525" stopIfTrue="1" operator="greaterThanOrEqual">
      <formula>15</formula>
    </cfRule>
    <cfRule type="cellIs" dxfId="1681" priority="15526" stopIfTrue="1" operator="between">
      <formula>7</formula>
      <formula>14</formula>
    </cfRule>
    <cfRule type="cellIs" dxfId="1680" priority="15527" stopIfTrue="1" operator="lessThan">
      <formula>7</formula>
    </cfRule>
  </conditionalFormatting>
  <conditionalFormatting sqref="Q342">
    <cfRule type="cellIs" dxfId="1679" priority="15521" stopIfTrue="1" operator="greaterThanOrEqual">
      <formula>70</formula>
    </cfRule>
    <cfRule type="cellIs" dxfId="1678" priority="15522" stopIfTrue="1" operator="between">
      <formula>60</formula>
      <formula>69.999999</formula>
    </cfRule>
    <cfRule type="cellIs" dxfId="1677" priority="15523" stopIfTrue="1" operator="between">
      <formula>50</formula>
      <formula>59.9999</formula>
    </cfRule>
    <cfRule type="cellIs" dxfId="1676" priority="15524" stopIfTrue="1" operator="lessThanOrEqual">
      <formula>50</formula>
    </cfRule>
  </conditionalFormatting>
  <conditionalFormatting sqref="M342">
    <cfRule type="cellIs" dxfId="1675" priority="15518" stopIfTrue="1" operator="greaterThanOrEqual">
      <formula>15</formula>
    </cfRule>
    <cfRule type="cellIs" dxfId="1674" priority="15519" stopIfTrue="1" operator="between">
      <formula>7</formula>
      <formula>14</formula>
    </cfRule>
    <cfRule type="cellIs" dxfId="1673" priority="15520" stopIfTrue="1" operator="lessThan">
      <formula>7</formula>
    </cfRule>
  </conditionalFormatting>
  <conditionalFormatting sqref="Q344">
    <cfRule type="cellIs" dxfId="1672" priority="15514" stopIfTrue="1" operator="greaterThanOrEqual">
      <formula>70</formula>
    </cfRule>
    <cfRule type="cellIs" dxfId="1671" priority="15515" stopIfTrue="1" operator="between">
      <formula>60</formula>
      <formula>69.999999</formula>
    </cfRule>
    <cfRule type="cellIs" dxfId="1670" priority="15516" stopIfTrue="1" operator="between">
      <formula>50</formula>
      <formula>59.9999</formula>
    </cfRule>
    <cfRule type="cellIs" dxfId="1669" priority="15517" stopIfTrue="1" operator="lessThanOrEqual">
      <formula>50</formula>
    </cfRule>
  </conditionalFormatting>
  <conditionalFormatting sqref="M344">
    <cfRule type="cellIs" dxfId="1668" priority="15511" stopIfTrue="1" operator="greaterThanOrEqual">
      <formula>15</formula>
    </cfRule>
    <cfRule type="cellIs" dxfId="1667" priority="15512" stopIfTrue="1" operator="between">
      <formula>7</formula>
      <formula>14</formula>
    </cfRule>
    <cfRule type="cellIs" dxfId="1666" priority="15513" stopIfTrue="1" operator="lessThan">
      <formula>7</formula>
    </cfRule>
  </conditionalFormatting>
  <conditionalFormatting sqref="Q348">
    <cfRule type="cellIs" dxfId="1665" priority="15507" stopIfTrue="1" operator="greaterThanOrEqual">
      <formula>70</formula>
    </cfRule>
    <cfRule type="cellIs" dxfId="1664" priority="15508" stopIfTrue="1" operator="between">
      <formula>60</formula>
      <formula>69.999999</formula>
    </cfRule>
    <cfRule type="cellIs" dxfId="1663" priority="15509" stopIfTrue="1" operator="between">
      <formula>50</formula>
      <formula>59.9999</formula>
    </cfRule>
    <cfRule type="cellIs" dxfId="1662" priority="15510" stopIfTrue="1" operator="lessThanOrEqual">
      <formula>50</formula>
    </cfRule>
  </conditionalFormatting>
  <conditionalFormatting sqref="M348">
    <cfRule type="cellIs" dxfId="1661" priority="15504" stopIfTrue="1" operator="greaterThanOrEqual">
      <formula>15</formula>
    </cfRule>
    <cfRule type="cellIs" dxfId="1660" priority="15505" stopIfTrue="1" operator="between">
      <formula>7</formula>
      <formula>14</formula>
    </cfRule>
    <cfRule type="cellIs" dxfId="1659" priority="15506" stopIfTrue="1" operator="lessThan">
      <formula>7</formula>
    </cfRule>
  </conditionalFormatting>
  <conditionalFormatting sqref="Q350">
    <cfRule type="cellIs" dxfId="1658" priority="15500" stopIfTrue="1" operator="greaterThanOrEqual">
      <formula>70</formula>
    </cfRule>
    <cfRule type="cellIs" dxfId="1657" priority="15501" stopIfTrue="1" operator="between">
      <formula>60</formula>
      <formula>69.999999</formula>
    </cfRule>
    <cfRule type="cellIs" dxfId="1656" priority="15502" stopIfTrue="1" operator="between">
      <formula>50</formula>
      <formula>59.9999</formula>
    </cfRule>
    <cfRule type="cellIs" dxfId="1655" priority="15503" stopIfTrue="1" operator="lessThanOrEqual">
      <formula>50</formula>
    </cfRule>
  </conditionalFormatting>
  <conditionalFormatting sqref="M350">
    <cfRule type="cellIs" dxfId="1654" priority="15497" stopIfTrue="1" operator="greaterThanOrEqual">
      <formula>15</formula>
    </cfRule>
    <cfRule type="cellIs" dxfId="1653" priority="15498" stopIfTrue="1" operator="between">
      <formula>7</formula>
      <formula>14</formula>
    </cfRule>
    <cfRule type="cellIs" dxfId="1652" priority="15499" stopIfTrue="1" operator="lessThan">
      <formula>7</formula>
    </cfRule>
  </conditionalFormatting>
  <conditionalFormatting sqref="Q352">
    <cfRule type="cellIs" dxfId="1651" priority="15486" stopIfTrue="1" operator="greaterThanOrEqual">
      <formula>70</formula>
    </cfRule>
    <cfRule type="cellIs" dxfId="1650" priority="15487" stopIfTrue="1" operator="between">
      <formula>60</formula>
      <formula>69.999999</formula>
    </cfRule>
    <cfRule type="cellIs" dxfId="1649" priority="15488" stopIfTrue="1" operator="between">
      <formula>50</formula>
      <formula>59.9999</formula>
    </cfRule>
    <cfRule type="cellIs" dxfId="1648" priority="15489" stopIfTrue="1" operator="lessThanOrEqual">
      <formula>50</formula>
    </cfRule>
  </conditionalFormatting>
  <conditionalFormatting sqref="M352">
    <cfRule type="cellIs" dxfId="1647" priority="15483" stopIfTrue="1" operator="greaterThanOrEqual">
      <formula>15</formula>
    </cfRule>
    <cfRule type="cellIs" dxfId="1646" priority="15484" stopIfTrue="1" operator="between">
      <formula>7</formula>
      <formula>14</formula>
    </cfRule>
    <cfRule type="cellIs" dxfId="1645" priority="15485" stopIfTrue="1" operator="lessThan">
      <formula>7</formula>
    </cfRule>
  </conditionalFormatting>
  <conditionalFormatting sqref="Q318">
    <cfRule type="cellIs" dxfId="1644" priority="15378" stopIfTrue="1" operator="greaterThanOrEqual">
      <formula>70</formula>
    </cfRule>
    <cfRule type="cellIs" dxfId="1643" priority="15379" stopIfTrue="1" operator="between">
      <formula>60</formula>
      <formula>69.999999</formula>
    </cfRule>
    <cfRule type="cellIs" dxfId="1642" priority="15380" stopIfTrue="1" operator="between">
      <formula>50</formula>
      <formula>59.9999</formula>
    </cfRule>
    <cfRule type="cellIs" dxfId="1641" priority="15381" stopIfTrue="1" operator="lessThanOrEqual">
      <formula>50</formula>
    </cfRule>
  </conditionalFormatting>
  <conditionalFormatting sqref="M318">
    <cfRule type="cellIs" dxfId="1640" priority="15375" stopIfTrue="1" operator="greaterThanOrEqual">
      <formula>15</formula>
    </cfRule>
    <cfRule type="cellIs" dxfId="1639" priority="15376" stopIfTrue="1" operator="between">
      <formula>7</formula>
      <formula>14</formula>
    </cfRule>
    <cfRule type="cellIs" dxfId="1638" priority="15377" stopIfTrue="1" operator="lessThan">
      <formula>7</formula>
    </cfRule>
  </conditionalFormatting>
  <conditionalFormatting sqref="Q324">
    <cfRule type="cellIs" dxfId="1637" priority="15357" stopIfTrue="1" operator="greaterThanOrEqual">
      <formula>70</formula>
    </cfRule>
    <cfRule type="cellIs" dxfId="1636" priority="15358" stopIfTrue="1" operator="between">
      <formula>60</formula>
      <formula>69.999999</formula>
    </cfRule>
    <cfRule type="cellIs" dxfId="1635" priority="15359" stopIfTrue="1" operator="between">
      <formula>50</formula>
      <formula>59.9999</formula>
    </cfRule>
    <cfRule type="cellIs" dxfId="1634" priority="15360" stopIfTrue="1" operator="lessThanOrEqual">
      <formula>50</formula>
    </cfRule>
  </conditionalFormatting>
  <conditionalFormatting sqref="M324">
    <cfRule type="cellIs" dxfId="1633" priority="15354" stopIfTrue="1" operator="greaterThanOrEqual">
      <formula>15</formula>
    </cfRule>
    <cfRule type="cellIs" dxfId="1632" priority="15355" stopIfTrue="1" operator="between">
      <formula>7</formula>
      <formula>14</formula>
    </cfRule>
    <cfRule type="cellIs" dxfId="1631" priority="15356" stopIfTrue="1" operator="lessThan">
      <formula>7</formula>
    </cfRule>
  </conditionalFormatting>
  <conditionalFormatting sqref="Q245">
    <cfRule type="cellIs" dxfId="1630" priority="15451" stopIfTrue="1" operator="greaterThanOrEqual">
      <formula>70</formula>
    </cfRule>
    <cfRule type="cellIs" dxfId="1629" priority="15452" stopIfTrue="1" operator="between">
      <formula>60</formula>
      <formula>69.999999</formula>
    </cfRule>
    <cfRule type="cellIs" dxfId="1628" priority="15453" stopIfTrue="1" operator="between">
      <formula>50</formula>
      <formula>59.9999</formula>
    </cfRule>
    <cfRule type="cellIs" dxfId="1627" priority="15454" stopIfTrue="1" operator="lessThanOrEqual">
      <formula>50</formula>
    </cfRule>
  </conditionalFormatting>
  <conditionalFormatting sqref="M245">
    <cfRule type="cellIs" dxfId="1626" priority="15448" stopIfTrue="1" operator="greaterThanOrEqual">
      <formula>15</formula>
    </cfRule>
    <cfRule type="cellIs" dxfId="1625" priority="15449" stopIfTrue="1" operator="between">
      <formula>7</formula>
      <formula>14</formula>
    </cfRule>
    <cfRule type="cellIs" dxfId="1624" priority="15450" stopIfTrue="1" operator="lessThan">
      <formula>7</formula>
    </cfRule>
  </conditionalFormatting>
  <conditionalFormatting sqref="Q316">
    <cfRule type="cellIs" dxfId="1623" priority="15392" stopIfTrue="1" operator="greaterThanOrEqual">
      <formula>70</formula>
    </cfRule>
    <cfRule type="cellIs" dxfId="1622" priority="15393" stopIfTrue="1" operator="between">
      <formula>60</formula>
      <formula>69.999999</formula>
    </cfRule>
    <cfRule type="cellIs" dxfId="1621" priority="15394" stopIfTrue="1" operator="between">
      <formula>50</formula>
      <formula>59.9999</formula>
    </cfRule>
    <cfRule type="cellIs" dxfId="1620" priority="15395" stopIfTrue="1" operator="lessThanOrEqual">
      <formula>50</formula>
    </cfRule>
  </conditionalFormatting>
  <conditionalFormatting sqref="M316">
    <cfRule type="cellIs" dxfId="1619" priority="15389" stopIfTrue="1" operator="greaterThanOrEqual">
      <formula>15</formula>
    </cfRule>
    <cfRule type="cellIs" dxfId="1618" priority="15390" stopIfTrue="1" operator="between">
      <formula>7</formula>
      <formula>14</formula>
    </cfRule>
    <cfRule type="cellIs" dxfId="1617" priority="15391" stopIfTrue="1" operator="lessThan">
      <formula>7</formula>
    </cfRule>
  </conditionalFormatting>
  <conditionalFormatting sqref="Q232">
    <cfRule type="cellIs" dxfId="1616" priority="15479" stopIfTrue="1" operator="greaterThanOrEqual">
      <formula>70</formula>
    </cfRule>
    <cfRule type="cellIs" dxfId="1615" priority="15480" stopIfTrue="1" operator="between">
      <formula>60</formula>
      <formula>69.999999</formula>
    </cfRule>
    <cfRule type="cellIs" dxfId="1614" priority="15481" stopIfTrue="1" operator="between">
      <formula>50</formula>
      <formula>59.9999</formula>
    </cfRule>
    <cfRule type="cellIs" dxfId="1613" priority="15482" stopIfTrue="1" operator="lessThanOrEqual">
      <formula>50</formula>
    </cfRule>
  </conditionalFormatting>
  <conditionalFormatting sqref="M232">
    <cfRule type="cellIs" dxfId="1612" priority="15476" stopIfTrue="1" operator="greaterThanOrEqual">
      <formula>15</formula>
    </cfRule>
    <cfRule type="cellIs" dxfId="1611" priority="15477" stopIfTrue="1" operator="between">
      <formula>7</formula>
      <formula>14</formula>
    </cfRule>
    <cfRule type="cellIs" dxfId="1610" priority="15478" stopIfTrue="1" operator="lessThan">
      <formula>7</formula>
    </cfRule>
  </conditionalFormatting>
  <conditionalFormatting sqref="Q233">
    <cfRule type="cellIs" dxfId="1609" priority="15472" stopIfTrue="1" operator="greaterThanOrEqual">
      <formula>70</formula>
    </cfRule>
    <cfRule type="cellIs" dxfId="1608" priority="15473" stopIfTrue="1" operator="between">
      <formula>60</formula>
      <formula>69.999999</formula>
    </cfRule>
    <cfRule type="cellIs" dxfId="1607" priority="15474" stopIfTrue="1" operator="between">
      <formula>50</formula>
      <formula>59.9999</formula>
    </cfRule>
    <cfRule type="cellIs" dxfId="1606" priority="15475" stopIfTrue="1" operator="lessThanOrEqual">
      <formula>50</formula>
    </cfRule>
  </conditionalFormatting>
  <conditionalFormatting sqref="M233">
    <cfRule type="cellIs" dxfId="1605" priority="15469" stopIfTrue="1" operator="greaterThanOrEqual">
      <formula>15</formula>
    </cfRule>
    <cfRule type="cellIs" dxfId="1604" priority="15470" stopIfTrue="1" operator="between">
      <formula>7</formula>
      <formula>14</formula>
    </cfRule>
    <cfRule type="cellIs" dxfId="1603" priority="15471" stopIfTrue="1" operator="lessThan">
      <formula>7</formula>
    </cfRule>
  </conditionalFormatting>
  <conditionalFormatting sqref="Q306">
    <cfRule type="cellIs" dxfId="1602" priority="15420" stopIfTrue="1" operator="greaterThanOrEqual">
      <formula>70</formula>
    </cfRule>
    <cfRule type="cellIs" dxfId="1601" priority="15421" stopIfTrue="1" operator="between">
      <formula>60</formula>
      <formula>69.999999</formula>
    </cfRule>
    <cfRule type="cellIs" dxfId="1600" priority="15422" stopIfTrue="1" operator="between">
      <formula>50</formula>
      <formula>59.9999</formula>
    </cfRule>
    <cfRule type="cellIs" dxfId="1599" priority="15423" stopIfTrue="1" operator="lessThanOrEqual">
      <formula>50</formula>
    </cfRule>
  </conditionalFormatting>
  <conditionalFormatting sqref="M306">
    <cfRule type="cellIs" dxfId="1598" priority="15417" stopIfTrue="1" operator="greaterThanOrEqual">
      <formula>15</formula>
    </cfRule>
    <cfRule type="cellIs" dxfId="1597" priority="15418" stopIfTrue="1" operator="between">
      <formula>7</formula>
      <formula>14</formula>
    </cfRule>
    <cfRule type="cellIs" dxfId="1596" priority="15419" stopIfTrue="1" operator="lessThan">
      <formula>7</formula>
    </cfRule>
  </conditionalFormatting>
  <conditionalFormatting sqref="Q322">
    <cfRule type="cellIs" dxfId="1595" priority="15364" stopIfTrue="1" operator="greaterThanOrEqual">
      <formula>70</formula>
    </cfRule>
    <cfRule type="cellIs" dxfId="1594" priority="15365" stopIfTrue="1" operator="between">
      <formula>60</formula>
      <formula>69.999999</formula>
    </cfRule>
    <cfRule type="cellIs" dxfId="1593" priority="15366" stopIfTrue="1" operator="between">
      <formula>50</formula>
      <formula>59.9999</formula>
    </cfRule>
    <cfRule type="cellIs" dxfId="1592" priority="15367" stopIfTrue="1" operator="lessThanOrEqual">
      <formula>50</formula>
    </cfRule>
  </conditionalFormatting>
  <conditionalFormatting sqref="M322">
    <cfRule type="cellIs" dxfId="1591" priority="15361" stopIfTrue="1" operator="greaterThanOrEqual">
      <formula>15</formula>
    </cfRule>
    <cfRule type="cellIs" dxfId="1590" priority="15362" stopIfTrue="1" operator="between">
      <formula>7</formula>
      <formula>14</formula>
    </cfRule>
    <cfRule type="cellIs" dxfId="1589" priority="15363" stopIfTrue="1" operator="lessThan">
      <formula>7</formula>
    </cfRule>
  </conditionalFormatting>
  <conditionalFormatting sqref="Q307">
    <cfRule type="cellIs" dxfId="1588" priority="15413" stopIfTrue="1" operator="greaterThanOrEqual">
      <formula>70</formula>
    </cfRule>
    <cfRule type="cellIs" dxfId="1587" priority="15414" stopIfTrue="1" operator="between">
      <formula>60</formula>
      <formula>69.999999</formula>
    </cfRule>
    <cfRule type="cellIs" dxfId="1586" priority="15415" stopIfTrue="1" operator="between">
      <formula>50</formula>
      <formula>59.9999</formula>
    </cfRule>
    <cfRule type="cellIs" dxfId="1585" priority="15416" stopIfTrue="1" operator="lessThanOrEqual">
      <formula>50</formula>
    </cfRule>
  </conditionalFormatting>
  <conditionalFormatting sqref="M307">
    <cfRule type="cellIs" dxfId="1584" priority="15410" stopIfTrue="1" operator="greaterThanOrEqual">
      <formula>15</formula>
    </cfRule>
    <cfRule type="cellIs" dxfId="1583" priority="15411" stopIfTrue="1" operator="between">
      <formula>7</formula>
      <formula>14</formula>
    </cfRule>
    <cfRule type="cellIs" dxfId="1582" priority="15412" stopIfTrue="1" operator="lessThan">
      <formula>7</formula>
    </cfRule>
  </conditionalFormatting>
  <conditionalFormatting sqref="Q234">
    <cfRule type="cellIs" dxfId="1581" priority="15465" stopIfTrue="1" operator="greaterThanOrEqual">
      <formula>70</formula>
    </cfRule>
    <cfRule type="cellIs" dxfId="1580" priority="15466" stopIfTrue="1" operator="between">
      <formula>60</formula>
      <formula>69.999999</formula>
    </cfRule>
    <cfRule type="cellIs" dxfId="1579" priority="15467" stopIfTrue="1" operator="between">
      <formula>50</formula>
      <formula>59.9999</formula>
    </cfRule>
    <cfRule type="cellIs" dxfId="1578" priority="15468" stopIfTrue="1" operator="lessThanOrEqual">
      <formula>50</formula>
    </cfRule>
  </conditionalFormatting>
  <conditionalFormatting sqref="M234">
    <cfRule type="cellIs" dxfId="1577" priority="15462" stopIfTrue="1" operator="greaterThanOrEqual">
      <formula>15</formula>
    </cfRule>
    <cfRule type="cellIs" dxfId="1576" priority="15463" stopIfTrue="1" operator="between">
      <formula>7</formula>
      <formula>14</formula>
    </cfRule>
    <cfRule type="cellIs" dxfId="1575" priority="15464" stopIfTrue="1" operator="lessThan">
      <formula>7</formula>
    </cfRule>
  </conditionalFormatting>
  <conditionalFormatting sqref="Q329">
    <cfRule type="cellIs" dxfId="1574" priority="15336" stopIfTrue="1" operator="greaterThanOrEqual">
      <formula>70</formula>
    </cfRule>
    <cfRule type="cellIs" dxfId="1573" priority="15337" stopIfTrue="1" operator="between">
      <formula>60</formula>
      <formula>69.999999</formula>
    </cfRule>
    <cfRule type="cellIs" dxfId="1572" priority="15338" stopIfTrue="1" operator="between">
      <formula>50</formula>
      <formula>59.9999</formula>
    </cfRule>
    <cfRule type="cellIs" dxfId="1571" priority="15339" stopIfTrue="1" operator="lessThanOrEqual">
      <formula>50</formula>
    </cfRule>
  </conditionalFormatting>
  <conditionalFormatting sqref="M329">
    <cfRule type="cellIs" dxfId="1570" priority="15333" stopIfTrue="1" operator="greaterThanOrEqual">
      <formula>15</formula>
    </cfRule>
    <cfRule type="cellIs" dxfId="1569" priority="15334" stopIfTrue="1" operator="between">
      <formula>7</formula>
      <formula>14</formula>
    </cfRule>
    <cfRule type="cellIs" dxfId="1568" priority="15335" stopIfTrue="1" operator="lessThan">
      <formula>7</formula>
    </cfRule>
  </conditionalFormatting>
  <conditionalFormatting sqref="Q214">
    <cfRule type="cellIs" dxfId="1567" priority="15322" stopIfTrue="1" operator="greaterThanOrEqual">
      <formula>70</formula>
    </cfRule>
    <cfRule type="cellIs" dxfId="1566" priority="15323" stopIfTrue="1" operator="between">
      <formula>60</formula>
      <formula>69.999999</formula>
    </cfRule>
    <cfRule type="cellIs" dxfId="1565" priority="15324" stopIfTrue="1" operator="between">
      <formula>50</formula>
      <formula>59.9999</formula>
    </cfRule>
    <cfRule type="cellIs" dxfId="1564" priority="15325" stopIfTrue="1" operator="lessThanOrEqual">
      <formula>50</formula>
    </cfRule>
  </conditionalFormatting>
  <conditionalFormatting sqref="M214">
    <cfRule type="cellIs" dxfId="1563" priority="15319" stopIfTrue="1" operator="greaterThanOrEqual">
      <formula>15</formula>
    </cfRule>
    <cfRule type="cellIs" dxfId="1562" priority="15320" stopIfTrue="1" operator="between">
      <formula>7</formula>
      <formula>14</formula>
    </cfRule>
    <cfRule type="cellIs" dxfId="1561" priority="15321" stopIfTrue="1" operator="lessThan">
      <formula>7</formula>
    </cfRule>
  </conditionalFormatting>
  <conditionalFormatting sqref="Q297">
    <cfRule type="cellIs" dxfId="1560" priority="15437" stopIfTrue="1" operator="greaterThanOrEqual">
      <formula>70</formula>
    </cfRule>
    <cfRule type="cellIs" dxfId="1559" priority="15438" stopIfTrue="1" operator="between">
      <formula>60</formula>
      <formula>69.999999</formula>
    </cfRule>
    <cfRule type="cellIs" dxfId="1558" priority="15439" stopIfTrue="1" operator="between">
      <formula>50</formula>
      <formula>59.9999</formula>
    </cfRule>
    <cfRule type="cellIs" dxfId="1557" priority="15440" stopIfTrue="1" operator="lessThanOrEqual">
      <formula>50</formula>
    </cfRule>
  </conditionalFormatting>
  <conditionalFormatting sqref="M297">
    <cfRule type="cellIs" dxfId="1556" priority="15434" stopIfTrue="1" operator="greaterThanOrEqual">
      <formula>15</formula>
    </cfRule>
    <cfRule type="cellIs" dxfId="1555" priority="15435" stopIfTrue="1" operator="between">
      <formula>7</formula>
      <formula>14</formula>
    </cfRule>
    <cfRule type="cellIs" dxfId="1554" priority="15436" stopIfTrue="1" operator="lessThan">
      <formula>7</formula>
    </cfRule>
  </conditionalFormatting>
  <conditionalFormatting sqref="M218">
    <cfRule type="cellIs" dxfId="1553" priority="15305" stopIfTrue="1" operator="greaterThanOrEqual">
      <formula>15</formula>
    </cfRule>
    <cfRule type="cellIs" dxfId="1552" priority="15306" stopIfTrue="1" operator="between">
      <formula>7</formula>
      <formula>14</formula>
    </cfRule>
    <cfRule type="cellIs" dxfId="1551" priority="15307" stopIfTrue="1" operator="lessThan">
      <formula>7</formula>
    </cfRule>
  </conditionalFormatting>
  <conditionalFormatting sqref="Q298:Q299 Q304">
    <cfRule type="cellIs" dxfId="1550" priority="15430" stopIfTrue="1" operator="greaterThanOrEqual">
      <formula>70</formula>
    </cfRule>
    <cfRule type="cellIs" dxfId="1549" priority="15431" stopIfTrue="1" operator="between">
      <formula>60</formula>
      <formula>69.999999</formula>
    </cfRule>
    <cfRule type="cellIs" dxfId="1548" priority="15432" stopIfTrue="1" operator="between">
      <formula>50</formula>
      <formula>59.9999</formula>
    </cfRule>
    <cfRule type="cellIs" dxfId="1547" priority="15433" stopIfTrue="1" operator="lessThanOrEqual">
      <formula>50</formula>
    </cfRule>
  </conditionalFormatting>
  <conditionalFormatting sqref="M298">
    <cfRule type="cellIs" dxfId="1546" priority="15427" stopIfTrue="1" operator="greaterThanOrEqual">
      <formula>15</formula>
    </cfRule>
    <cfRule type="cellIs" dxfId="1545" priority="15428" stopIfTrue="1" operator="between">
      <formula>7</formula>
      <formula>14</formula>
    </cfRule>
    <cfRule type="cellIs" dxfId="1544" priority="15429" stopIfTrue="1" operator="lessThan">
      <formula>7</formula>
    </cfRule>
  </conditionalFormatting>
  <conditionalFormatting sqref="M299">
    <cfRule type="cellIs" dxfId="1543" priority="15424" stopIfTrue="1" operator="greaterThanOrEqual">
      <formula>15</formula>
    </cfRule>
    <cfRule type="cellIs" dxfId="1542" priority="15425" stopIfTrue="1" operator="between">
      <formula>7</formula>
      <formula>14</formula>
    </cfRule>
    <cfRule type="cellIs" dxfId="1541" priority="15426" stopIfTrue="1" operator="lessThan">
      <formula>7</formula>
    </cfRule>
  </conditionalFormatting>
  <conditionalFormatting sqref="Q326:Q327">
    <cfRule type="cellIs" dxfId="1540" priority="15343" stopIfTrue="1" operator="greaterThanOrEqual">
      <formula>70</formula>
    </cfRule>
    <cfRule type="cellIs" dxfId="1539" priority="15344" stopIfTrue="1" operator="between">
      <formula>60</formula>
      <formula>69.999999</formula>
    </cfRule>
    <cfRule type="cellIs" dxfId="1538" priority="15345" stopIfTrue="1" operator="between">
      <formula>50</formula>
      <formula>59.9999</formula>
    </cfRule>
    <cfRule type="cellIs" dxfId="1537" priority="15346" stopIfTrue="1" operator="lessThanOrEqual">
      <formula>50</formula>
    </cfRule>
  </conditionalFormatting>
  <conditionalFormatting sqref="M326:M327">
    <cfRule type="cellIs" dxfId="1536" priority="15340" stopIfTrue="1" operator="greaterThanOrEqual">
      <formula>15</formula>
    </cfRule>
    <cfRule type="cellIs" dxfId="1535" priority="15341" stopIfTrue="1" operator="between">
      <formula>7</formula>
      <formula>14</formula>
    </cfRule>
    <cfRule type="cellIs" dxfId="1534" priority="15342" stopIfTrue="1" operator="lessThan">
      <formula>7</formula>
    </cfRule>
  </conditionalFormatting>
  <conditionalFormatting sqref="Q314">
    <cfRule type="cellIs" dxfId="1533" priority="15406" stopIfTrue="1" operator="greaterThanOrEqual">
      <formula>70</formula>
    </cfRule>
    <cfRule type="cellIs" dxfId="1532" priority="15407" stopIfTrue="1" operator="between">
      <formula>60</formula>
      <formula>69.999999</formula>
    </cfRule>
    <cfRule type="cellIs" dxfId="1531" priority="15408" stopIfTrue="1" operator="between">
      <formula>50</formula>
      <formula>59.9999</formula>
    </cfRule>
    <cfRule type="cellIs" dxfId="1530" priority="15409" stopIfTrue="1" operator="lessThanOrEqual">
      <formula>50</formula>
    </cfRule>
  </conditionalFormatting>
  <conditionalFormatting sqref="M314">
    <cfRule type="cellIs" dxfId="1529" priority="15403" stopIfTrue="1" operator="greaterThanOrEqual">
      <formula>15</formula>
    </cfRule>
    <cfRule type="cellIs" dxfId="1528" priority="15404" stopIfTrue="1" operator="between">
      <formula>7</formula>
      <formula>14</formula>
    </cfRule>
    <cfRule type="cellIs" dxfId="1527" priority="15405" stopIfTrue="1" operator="lessThan">
      <formula>7</formula>
    </cfRule>
  </conditionalFormatting>
  <conditionalFormatting sqref="Q315">
    <cfRule type="cellIs" dxfId="1526" priority="15399" stopIfTrue="1" operator="greaterThanOrEqual">
      <formula>70</formula>
    </cfRule>
    <cfRule type="cellIs" dxfId="1525" priority="15400" stopIfTrue="1" operator="between">
      <formula>60</formula>
      <formula>69.999999</formula>
    </cfRule>
    <cfRule type="cellIs" dxfId="1524" priority="15401" stopIfTrue="1" operator="between">
      <formula>50</formula>
      <formula>59.9999</formula>
    </cfRule>
    <cfRule type="cellIs" dxfId="1523" priority="15402" stopIfTrue="1" operator="lessThanOrEqual">
      <formula>50</formula>
    </cfRule>
  </conditionalFormatting>
  <conditionalFormatting sqref="M315">
    <cfRule type="cellIs" dxfId="1522" priority="15396" stopIfTrue="1" operator="greaterThanOrEqual">
      <formula>15</formula>
    </cfRule>
    <cfRule type="cellIs" dxfId="1521" priority="15397" stopIfTrue="1" operator="between">
      <formula>7</formula>
      <formula>14</formula>
    </cfRule>
    <cfRule type="cellIs" dxfId="1520" priority="15398" stopIfTrue="1" operator="lessThan">
      <formula>7</formula>
    </cfRule>
  </conditionalFormatting>
  <conditionalFormatting sqref="Q317">
    <cfRule type="cellIs" dxfId="1519" priority="15385" stopIfTrue="1" operator="greaterThanOrEqual">
      <formula>70</formula>
    </cfRule>
    <cfRule type="cellIs" dxfId="1518" priority="15386" stopIfTrue="1" operator="between">
      <formula>60</formula>
      <formula>69.999999</formula>
    </cfRule>
    <cfRule type="cellIs" dxfId="1517" priority="15387" stopIfTrue="1" operator="between">
      <formula>50</formula>
      <formula>59.9999</formula>
    </cfRule>
    <cfRule type="cellIs" dxfId="1516" priority="15388" stopIfTrue="1" operator="lessThanOrEqual">
      <formula>50</formula>
    </cfRule>
  </conditionalFormatting>
  <conditionalFormatting sqref="M317">
    <cfRule type="cellIs" dxfId="1515" priority="15382" stopIfTrue="1" operator="greaterThanOrEqual">
      <formula>15</formula>
    </cfRule>
    <cfRule type="cellIs" dxfId="1514" priority="15383" stopIfTrue="1" operator="between">
      <formula>7</formula>
      <formula>14</formula>
    </cfRule>
    <cfRule type="cellIs" dxfId="1513" priority="15384" stopIfTrue="1" operator="lessThan">
      <formula>7</formula>
    </cfRule>
  </conditionalFormatting>
  <conditionalFormatting sqref="Q218">
    <cfRule type="cellIs" dxfId="1512" priority="15308" stopIfTrue="1" operator="greaterThanOrEqual">
      <formula>70</formula>
    </cfRule>
    <cfRule type="cellIs" dxfId="1511" priority="15309" stopIfTrue="1" operator="between">
      <formula>60</formula>
      <formula>69.999999</formula>
    </cfRule>
    <cfRule type="cellIs" dxfId="1510" priority="15310" stopIfTrue="1" operator="between">
      <formula>50</formula>
      <formula>59.9999</formula>
    </cfRule>
    <cfRule type="cellIs" dxfId="1509" priority="15311" stopIfTrue="1" operator="lessThanOrEqual">
      <formula>50</formula>
    </cfRule>
  </conditionalFormatting>
  <conditionalFormatting sqref="M229">
    <cfRule type="cellIs" dxfId="1508" priority="15269" stopIfTrue="1" operator="greaterThanOrEqual">
      <formula>15</formula>
    </cfRule>
    <cfRule type="cellIs" dxfId="1507" priority="15270" stopIfTrue="1" operator="between">
      <formula>7</formula>
      <formula>14</formula>
    </cfRule>
    <cfRule type="cellIs" dxfId="1506" priority="15271" stopIfTrue="1" operator="lessThan">
      <formula>7</formula>
    </cfRule>
  </conditionalFormatting>
  <conditionalFormatting sqref="Q320">
    <cfRule type="cellIs" dxfId="1505" priority="15371" stopIfTrue="1" operator="greaterThanOrEqual">
      <formula>70</formula>
    </cfRule>
    <cfRule type="cellIs" dxfId="1504" priority="15372" stopIfTrue="1" operator="between">
      <formula>60</formula>
      <formula>69.999999</formula>
    </cfRule>
    <cfRule type="cellIs" dxfId="1503" priority="15373" stopIfTrue="1" operator="between">
      <formula>50</formula>
      <formula>59.9999</formula>
    </cfRule>
    <cfRule type="cellIs" dxfId="1502" priority="15374" stopIfTrue="1" operator="lessThanOrEqual">
      <formula>50</formula>
    </cfRule>
  </conditionalFormatting>
  <conditionalFormatting sqref="M320">
    <cfRule type="cellIs" dxfId="1501" priority="15368" stopIfTrue="1" operator="greaterThanOrEqual">
      <formula>15</formula>
    </cfRule>
    <cfRule type="cellIs" dxfId="1500" priority="15369" stopIfTrue="1" operator="between">
      <formula>7</formula>
      <formula>14</formula>
    </cfRule>
    <cfRule type="cellIs" dxfId="1499" priority="15370" stopIfTrue="1" operator="lessThan">
      <formula>7</formula>
    </cfRule>
  </conditionalFormatting>
  <conditionalFormatting sqref="Q325">
    <cfRule type="cellIs" dxfId="1498" priority="15350" stopIfTrue="1" operator="greaterThanOrEqual">
      <formula>70</formula>
    </cfRule>
    <cfRule type="cellIs" dxfId="1497" priority="15351" stopIfTrue="1" operator="between">
      <formula>60</formula>
      <formula>69.999999</formula>
    </cfRule>
    <cfRule type="cellIs" dxfId="1496" priority="15352" stopIfTrue="1" operator="between">
      <formula>50</formula>
      <formula>59.9999</formula>
    </cfRule>
    <cfRule type="cellIs" dxfId="1495" priority="15353" stopIfTrue="1" operator="lessThanOrEqual">
      <formula>50</formula>
    </cfRule>
  </conditionalFormatting>
  <conditionalFormatting sqref="M325">
    <cfRule type="cellIs" dxfId="1494" priority="15347" stopIfTrue="1" operator="greaterThanOrEqual">
      <formula>15</formula>
    </cfRule>
    <cfRule type="cellIs" dxfId="1493" priority="15348" stopIfTrue="1" operator="between">
      <formula>7</formula>
      <formula>14</formula>
    </cfRule>
    <cfRule type="cellIs" dxfId="1492" priority="15349" stopIfTrue="1" operator="lessThan">
      <formula>7</formula>
    </cfRule>
  </conditionalFormatting>
  <conditionalFormatting sqref="Q331">
    <cfRule type="cellIs" dxfId="1491" priority="15329" stopIfTrue="1" operator="greaterThanOrEqual">
      <formula>70</formula>
    </cfRule>
    <cfRule type="cellIs" dxfId="1490" priority="15330" stopIfTrue="1" operator="between">
      <formula>60</formula>
      <formula>69.999999</formula>
    </cfRule>
    <cfRule type="cellIs" dxfId="1489" priority="15331" stopIfTrue="1" operator="between">
      <formula>50</formula>
      <formula>59.9999</formula>
    </cfRule>
    <cfRule type="cellIs" dxfId="1488" priority="15332" stopIfTrue="1" operator="lessThanOrEqual">
      <formula>50</formula>
    </cfRule>
  </conditionalFormatting>
  <conditionalFormatting sqref="M331">
    <cfRule type="cellIs" dxfId="1487" priority="15326" stopIfTrue="1" operator="greaterThanOrEqual">
      <formula>15</formula>
    </cfRule>
    <cfRule type="cellIs" dxfId="1486" priority="15327" stopIfTrue="1" operator="between">
      <formula>7</formula>
      <formula>14</formula>
    </cfRule>
    <cfRule type="cellIs" dxfId="1485" priority="15328" stopIfTrue="1" operator="lessThan">
      <formula>7</formula>
    </cfRule>
  </conditionalFormatting>
  <conditionalFormatting sqref="M230">
    <cfRule type="cellIs" dxfId="1484" priority="15260" stopIfTrue="1" operator="greaterThanOrEqual">
      <formula>15</formula>
    </cfRule>
    <cfRule type="cellIs" dxfId="1483" priority="15261" stopIfTrue="1" operator="between">
      <formula>7</formula>
      <formula>14</formula>
    </cfRule>
    <cfRule type="cellIs" dxfId="1482" priority="15262" stopIfTrue="1" operator="lessThan">
      <formula>7</formula>
    </cfRule>
  </conditionalFormatting>
  <conditionalFormatting sqref="Q216">
    <cfRule type="cellIs" dxfId="1481" priority="15315" stopIfTrue="1" operator="greaterThanOrEqual">
      <formula>70</formula>
    </cfRule>
    <cfRule type="cellIs" dxfId="1480" priority="15316" stopIfTrue="1" operator="between">
      <formula>60</formula>
      <formula>69.999999</formula>
    </cfRule>
    <cfRule type="cellIs" dxfId="1479" priority="15317" stopIfTrue="1" operator="between">
      <formula>50</formula>
      <formula>59.9999</formula>
    </cfRule>
    <cfRule type="cellIs" dxfId="1478" priority="15318" stopIfTrue="1" operator="lessThanOrEqual">
      <formula>50</formula>
    </cfRule>
  </conditionalFormatting>
  <conditionalFormatting sqref="M216">
    <cfRule type="cellIs" dxfId="1477" priority="15312" stopIfTrue="1" operator="greaterThanOrEqual">
      <formula>15</formula>
    </cfRule>
    <cfRule type="cellIs" dxfId="1476" priority="15313" stopIfTrue="1" operator="between">
      <formula>7</formula>
      <formula>14</formula>
    </cfRule>
    <cfRule type="cellIs" dxfId="1475" priority="15314" stopIfTrue="1" operator="lessThan">
      <formula>7</formula>
    </cfRule>
  </conditionalFormatting>
  <conditionalFormatting sqref="Q220">
    <cfRule type="cellIs" dxfId="1474" priority="15301" stopIfTrue="1" operator="greaterThanOrEqual">
      <formula>70</formula>
    </cfRule>
    <cfRule type="cellIs" dxfId="1473" priority="15302" stopIfTrue="1" operator="between">
      <formula>60</formula>
      <formula>69.999999</formula>
    </cfRule>
    <cfRule type="cellIs" dxfId="1472" priority="15303" stopIfTrue="1" operator="between">
      <formula>50</formula>
      <formula>59.9999</formula>
    </cfRule>
    <cfRule type="cellIs" dxfId="1471" priority="15304" stopIfTrue="1" operator="lessThanOrEqual">
      <formula>50</formula>
    </cfRule>
  </conditionalFormatting>
  <conditionalFormatting sqref="M220">
    <cfRule type="cellIs" dxfId="1470" priority="15298" stopIfTrue="1" operator="greaterThanOrEqual">
      <formula>15</formula>
    </cfRule>
    <cfRule type="cellIs" dxfId="1469" priority="15299" stopIfTrue="1" operator="between">
      <formula>7</formula>
      <formula>14</formula>
    </cfRule>
    <cfRule type="cellIs" dxfId="1468" priority="15300" stopIfTrue="1" operator="lessThan">
      <formula>7</formula>
    </cfRule>
  </conditionalFormatting>
  <conditionalFormatting sqref="M221">
    <cfRule type="cellIs" dxfId="1467" priority="15291" stopIfTrue="1" operator="greaterThanOrEqual">
      <formula>15</formula>
    </cfRule>
    <cfRule type="cellIs" dxfId="1466" priority="15292" stopIfTrue="1" operator="between">
      <formula>7</formula>
      <formula>14</formula>
    </cfRule>
    <cfRule type="cellIs" dxfId="1465" priority="15293" stopIfTrue="1" operator="lessThan">
      <formula>7</formula>
    </cfRule>
  </conditionalFormatting>
  <conditionalFormatting sqref="Q221">
    <cfRule type="cellIs" dxfId="1464" priority="15294" stopIfTrue="1" operator="greaterThanOrEqual">
      <formula>70</formula>
    </cfRule>
    <cfRule type="cellIs" dxfId="1463" priority="15295" stopIfTrue="1" operator="between">
      <formula>60</formula>
      <formula>69.999999</formula>
    </cfRule>
    <cfRule type="cellIs" dxfId="1462" priority="15296" stopIfTrue="1" operator="between">
      <formula>50</formula>
      <formula>59.9999</formula>
    </cfRule>
    <cfRule type="cellIs" dxfId="1461" priority="15297" stopIfTrue="1" operator="lessThanOrEqual">
      <formula>50</formula>
    </cfRule>
  </conditionalFormatting>
  <conditionalFormatting sqref="M222">
    <cfRule type="cellIs" dxfId="1460" priority="15288" stopIfTrue="1" operator="greaterThanOrEqual">
      <formula>15</formula>
    </cfRule>
    <cfRule type="cellIs" dxfId="1459" priority="15289" stopIfTrue="1" operator="between">
      <formula>7</formula>
      <formula>14</formula>
    </cfRule>
    <cfRule type="cellIs" dxfId="1458" priority="15290" stopIfTrue="1" operator="lessThan">
      <formula>7</formula>
    </cfRule>
  </conditionalFormatting>
  <conditionalFormatting sqref="M224">
    <cfRule type="cellIs" dxfId="1457" priority="15285" stopIfTrue="1" operator="greaterThanOrEqual">
      <formula>15</formula>
    </cfRule>
    <cfRule type="cellIs" dxfId="1456" priority="15286" stopIfTrue="1" operator="between">
      <formula>7</formula>
      <formula>14</formula>
    </cfRule>
    <cfRule type="cellIs" dxfId="1455" priority="15287" stopIfTrue="1" operator="lessThan">
      <formula>7</formula>
    </cfRule>
  </conditionalFormatting>
  <conditionalFormatting sqref="Q226">
    <cfRule type="cellIs" dxfId="1454" priority="15278" stopIfTrue="1" operator="greaterThanOrEqual">
      <formula>70</formula>
    </cfRule>
    <cfRule type="cellIs" dxfId="1453" priority="15279" stopIfTrue="1" operator="between">
      <formula>60</formula>
      <formula>69.999999</formula>
    </cfRule>
    <cfRule type="cellIs" dxfId="1452" priority="15280" stopIfTrue="1" operator="between">
      <formula>50</formula>
      <formula>59.9999</formula>
    </cfRule>
    <cfRule type="cellIs" dxfId="1451" priority="15281" stopIfTrue="1" operator="lessThanOrEqual">
      <formula>50</formula>
    </cfRule>
  </conditionalFormatting>
  <conditionalFormatting sqref="M226">
    <cfRule type="cellIs" dxfId="1450" priority="15275" stopIfTrue="1" operator="greaterThanOrEqual">
      <formula>15</formula>
    </cfRule>
    <cfRule type="cellIs" dxfId="1449" priority="15276" stopIfTrue="1" operator="between">
      <formula>7</formula>
      <formula>14</formula>
    </cfRule>
    <cfRule type="cellIs" dxfId="1448" priority="15277" stopIfTrue="1" operator="lessThan">
      <formula>7</formula>
    </cfRule>
  </conditionalFormatting>
  <conditionalFormatting sqref="M228">
    <cfRule type="cellIs" dxfId="1447" priority="15272" stopIfTrue="1" operator="greaterThanOrEqual">
      <formula>15</formula>
    </cfRule>
    <cfRule type="cellIs" dxfId="1446" priority="15273" stopIfTrue="1" operator="between">
      <formula>7</formula>
      <formula>14</formula>
    </cfRule>
    <cfRule type="cellIs" dxfId="1445" priority="15274" stopIfTrue="1" operator="lessThan">
      <formula>7</formula>
    </cfRule>
  </conditionalFormatting>
  <conditionalFormatting sqref="M223">
    <cfRule type="cellIs" dxfId="1444" priority="15266" stopIfTrue="1" operator="greaterThanOrEqual">
      <formula>15</formula>
    </cfRule>
    <cfRule type="cellIs" dxfId="1443" priority="15267" stopIfTrue="1" operator="between">
      <formula>7</formula>
      <formula>14</formula>
    </cfRule>
    <cfRule type="cellIs" dxfId="1442" priority="15268" stopIfTrue="1" operator="lessThan">
      <formula>7</formula>
    </cfRule>
  </conditionalFormatting>
  <conditionalFormatting sqref="M231">
    <cfRule type="cellIs" dxfId="1441" priority="15263" stopIfTrue="1" operator="greaterThanOrEqual">
      <formula>15</formula>
    </cfRule>
    <cfRule type="cellIs" dxfId="1440" priority="15264" stopIfTrue="1" operator="between">
      <formula>7</formula>
      <formula>14</formula>
    </cfRule>
    <cfRule type="cellIs" dxfId="1439" priority="15265" stopIfTrue="1" operator="lessThan">
      <formula>7</formula>
    </cfRule>
  </conditionalFormatting>
  <conditionalFormatting sqref="Q248">
    <cfRule type="cellIs" dxfId="1438" priority="15256" stopIfTrue="1" operator="greaterThanOrEqual">
      <formula>70</formula>
    </cfRule>
    <cfRule type="cellIs" dxfId="1437" priority="15257" stopIfTrue="1" operator="between">
      <formula>60</formula>
      <formula>69.999999</formula>
    </cfRule>
    <cfRule type="cellIs" dxfId="1436" priority="15258" stopIfTrue="1" operator="between">
      <formula>50</formula>
      <formula>59.9999</formula>
    </cfRule>
    <cfRule type="cellIs" dxfId="1435" priority="15259" stopIfTrue="1" operator="lessThanOrEqual">
      <formula>50</formula>
    </cfRule>
  </conditionalFormatting>
  <conditionalFormatting sqref="M248">
    <cfRule type="cellIs" dxfId="1434" priority="15253" stopIfTrue="1" operator="greaterThanOrEqual">
      <formula>15</formula>
    </cfRule>
    <cfRule type="cellIs" dxfId="1433" priority="15254" stopIfTrue="1" operator="between">
      <formula>7</formula>
      <formula>14</formula>
    </cfRule>
    <cfRule type="cellIs" dxfId="1432" priority="15255" stopIfTrue="1" operator="lessThan">
      <formula>7</formula>
    </cfRule>
  </conditionalFormatting>
  <conditionalFormatting sqref="Q251">
    <cfRule type="cellIs" dxfId="1431" priority="15249" stopIfTrue="1" operator="greaterThanOrEqual">
      <formula>70</formula>
    </cfRule>
    <cfRule type="cellIs" dxfId="1430" priority="15250" stopIfTrue="1" operator="between">
      <formula>60</formula>
      <formula>69.999999</formula>
    </cfRule>
    <cfRule type="cellIs" dxfId="1429" priority="15251" stopIfTrue="1" operator="between">
      <formula>50</formula>
      <formula>59.9999</formula>
    </cfRule>
    <cfRule type="cellIs" dxfId="1428" priority="15252" stopIfTrue="1" operator="lessThanOrEqual">
      <formula>50</formula>
    </cfRule>
  </conditionalFormatting>
  <conditionalFormatting sqref="M251">
    <cfRule type="cellIs" dxfId="1427" priority="15246" stopIfTrue="1" operator="greaterThanOrEqual">
      <formula>15</formula>
    </cfRule>
    <cfRule type="cellIs" dxfId="1426" priority="15247" stopIfTrue="1" operator="between">
      <formula>7</formula>
      <formula>14</formula>
    </cfRule>
    <cfRule type="cellIs" dxfId="1425" priority="15248" stopIfTrue="1" operator="lessThan">
      <formula>7</formula>
    </cfRule>
  </conditionalFormatting>
  <conditionalFormatting sqref="Q253">
    <cfRule type="cellIs" dxfId="1424" priority="15242" stopIfTrue="1" operator="greaterThanOrEqual">
      <formula>70</formula>
    </cfRule>
    <cfRule type="cellIs" dxfId="1423" priority="15243" stopIfTrue="1" operator="between">
      <formula>60</formula>
      <formula>69.999999</formula>
    </cfRule>
    <cfRule type="cellIs" dxfId="1422" priority="15244" stopIfTrue="1" operator="between">
      <formula>50</formula>
      <formula>59.9999</formula>
    </cfRule>
    <cfRule type="cellIs" dxfId="1421" priority="15245" stopIfTrue="1" operator="lessThanOrEqual">
      <formula>50</formula>
    </cfRule>
  </conditionalFormatting>
  <conditionalFormatting sqref="M253">
    <cfRule type="cellIs" dxfId="1420" priority="15239" stopIfTrue="1" operator="greaterThanOrEqual">
      <formula>15</formula>
    </cfRule>
    <cfRule type="cellIs" dxfId="1419" priority="15240" stopIfTrue="1" operator="between">
      <formula>7</formula>
      <formula>14</formula>
    </cfRule>
    <cfRule type="cellIs" dxfId="1418" priority="15241" stopIfTrue="1" operator="lessThan">
      <formula>7</formula>
    </cfRule>
  </conditionalFormatting>
  <conditionalFormatting sqref="Q249">
    <cfRule type="cellIs" dxfId="1417" priority="15235" stopIfTrue="1" operator="greaterThanOrEqual">
      <formula>70</formula>
    </cfRule>
    <cfRule type="cellIs" dxfId="1416" priority="15236" stopIfTrue="1" operator="between">
      <formula>60</formula>
      <formula>69.999999</formula>
    </cfRule>
    <cfRule type="cellIs" dxfId="1415" priority="15237" stopIfTrue="1" operator="between">
      <formula>50</formula>
      <formula>59.9999</formula>
    </cfRule>
    <cfRule type="cellIs" dxfId="1414" priority="15238" stopIfTrue="1" operator="lessThanOrEqual">
      <formula>50</formula>
    </cfRule>
  </conditionalFormatting>
  <conditionalFormatting sqref="M249">
    <cfRule type="cellIs" dxfId="1413" priority="15232" stopIfTrue="1" operator="greaterThanOrEqual">
      <formula>15</formula>
    </cfRule>
    <cfRule type="cellIs" dxfId="1412" priority="15233" stopIfTrue="1" operator="between">
      <formula>7</formula>
      <formula>14</formula>
    </cfRule>
    <cfRule type="cellIs" dxfId="1411" priority="15234" stopIfTrue="1" operator="lessThan">
      <formula>7</formula>
    </cfRule>
  </conditionalFormatting>
  <conditionalFormatting sqref="M261">
    <cfRule type="cellIs" dxfId="1410" priority="15225" stopIfTrue="1" operator="greaterThanOrEqual">
      <formula>15</formula>
    </cfRule>
    <cfRule type="cellIs" dxfId="1409" priority="15226" stopIfTrue="1" operator="between">
      <formula>7</formula>
      <formula>14</formula>
    </cfRule>
    <cfRule type="cellIs" dxfId="1408" priority="15227" stopIfTrue="1" operator="lessThan">
      <formula>7</formula>
    </cfRule>
  </conditionalFormatting>
  <conditionalFormatting sqref="Q261">
    <cfRule type="cellIs" dxfId="1407" priority="15228" stopIfTrue="1" operator="greaterThanOrEqual">
      <formula>70</formula>
    </cfRule>
    <cfRule type="cellIs" dxfId="1406" priority="15229" stopIfTrue="1" operator="between">
      <formula>60</formula>
      <formula>69.999999</formula>
    </cfRule>
    <cfRule type="cellIs" dxfId="1405" priority="15230" stopIfTrue="1" operator="between">
      <formula>50</formula>
      <formula>59.9999</formula>
    </cfRule>
    <cfRule type="cellIs" dxfId="1404" priority="15231" stopIfTrue="1" operator="lessThanOrEqual">
      <formula>50</formula>
    </cfRule>
  </conditionalFormatting>
  <conditionalFormatting sqref="M263">
    <cfRule type="cellIs" dxfId="1403" priority="15218" stopIfTrue="1" operator="greaterThanOrEqual">
      <formula>15</formula>
    </cfRule>
    <cfRule type="cellIs" dxfId="1402" priority="15219" stopIfTrue="1" operator="between">
      <formula>7</formula>
      <formula>14</formula>
    </cfRule>
    <cfRule type="cellIs" dxfId="1401" priority="15220" stopIfTrue="1" operator="lessThan">
      <formula>7</formula>
    </cfRule>
  </conditionalFormatting>
  <conditionalFormatting sqref="Q263:Q264 Q266:Q267">
    <cfRule type="cellIs" dxfId="1400" priority="15221" stopIfTrue="1" operator="greaterThanOrEqual">
      <formula>70</formula>
    </cfRule>
    <cfRule type="cellIs" dxfId="1399" priority="15222" stopIfTrue="1" operator="between">
      <formula>60</formula>
      <formula>69.999999</formula>
    </cfRule>
    <cfRule type="cellIs" dxfId="1398" priority="15223" stopIfTrue="1" operator="between">
      <formula>50</formula>
      <formula>59.9999</formula>
    </cfRule>
    <cfRule type="cellIs" dxfId="1397" priority="15224" stopIfTrue="1" operator="lessThanOrEqual">
      <formula>50</formula>
    </cfRule>
  </conditionalFormatting>
  <conditionalFormatting sqref="M264">
    <cfRule type="cellIs" dxfId="1396" priority="15215" stopIfTrue="1" operator="greaterThanOrEqual">
      <formula>15</formula>
    </cfRule>
    <cfRule type="cellIs" dxfId="1395" priority="15216" stopIfTrue="1" operator="between">
      <formula>7</formula>
      <formula>14</formula>
    </cfRule>
    <cfRule type="cellIs" dxfId="1394" priority="15217" stopIfTrue="1" operator="lessThan">
      <formula>7</formula>
    </cfRule>
  </conditionalFormatting>
  <conditionalFormatting sqref="M266">
    <cfRule type="cellIs" dxfId="1393" priority="15212" stopIfTrue="1" operator="greaterThanOrEqual">
      <formula>15</formula>
    </cfRule>
    <cfRule type="cellIs" dxfId="1392" priority="15213" stopIfTrue="1" operator="between">
      <formula>7</formula>
      <formula>14</formula>
    </cfRule>
    <cfRule type="cellIs" dxfId="1391" priority="15214" stopIfTrue="1" operator="lessThan">
      <formula>7</formula>
    </cfRule>
  </conditionalFormatting>
  <conditionalFormatting sqref="Q275">
    <cfRule type="cellIs" dxfId="1390" priority="15208" stopIfTrue="1" operator="greaterThanOrEqual">
      <formula>70</formula>
    </cfRule>
    <cfRule type="cellIs" dxfId="1389" priority="15209" stopIfTrue="1" operator="between">
      <formula>60</formula>
      <formula>69.999999</formula>
    </cfRule>
    <cfRule type="cellIs" dxfId="1388" priority="15210" stopIfTrue="1" operator="between">
      <formula>50</formula>
      <formula>59.9999</formula>
    </cfRule>
    <cfRule type="cellIs" dxfId="1387" priority="15211" stopIfTrue="1" operator="lessThanOrEqual">
      <formula>50</formula>
    </cfRule>
  </conditionalFormatting>
  <conditionalFormatting sqref="M275">
    <cfRule type="cellIs" dxfId="1386" priority="15205" stopIfTrue="1" operator="greaterThanOrEqual">
      <formula>15</formula>
    </cfRule>
    <cfRule type="cellIs" dxfId="1385" priority="15206" stopIfTrue="1" operator="between">
      <formula>7</formula>
      <formula>14</formula>
    </cfRule>
    <cfRule type="cellIs" dxfId="1384" priority="15207" stopIfTrue="1" operator="lessThan">
      <formula>7</formula>
    </cfRule>
  </conditionalFormatting>
  <conditionalFormatting sqref="Q280:Q281">
    <cfRule type="cellIs" dxfId="1383" priority="15201" stopIfTrue="1" operator="greaterThanOrEqual">
      <formula>70</formula>
    </cfRule>
    <cfRule type="cellIs" dxfId="1382" priority="15202" stopIfTrue="1" operator="between">
      <formula>60</formula>
      <formula>69.999999</formula>
    </cfRule>
    <cfRule type="cellIs" dxfId="1381" priority="15203" stopIfTrue="1" operator="between">
      <formula>50</formula>
      <formula>59.9999</formula>
    </cfRule>
    <cfRule type="cellIs" dxfId="1380" priority="15204" stopIfTrue="1" operator="lessThanOrEqual">
      <formula>50</formula>
    </cfRule>
  </conditionalFormatting>
  <conditionalFormatting sqref="M280:M281">
    <cfRule type="cellIs" dxfId="1379" priority="15198" stopIfTrue="1" operator="greaterThanOrEqual">
      <formula>15</formula>
    </cfRule>
    <cfRule type="cellIs" dxfId="1378" priority="15199" stopIfTrue="1" operator="between">
      <formula>7</formula>
      <formula>14</formula>
    </cfRule>
    <cfRule type="cellIs" dxfId="1377" priority="15200" stopIfTrue="1" operator="lessThan">
      <formula>7</formula>
    </cfRule>
  </conditionalFormatting>
  <conditionalFormatting sqref="M287">
    <cfRule type="cellIs" dxfId="1376" priority="15191" stopIfTrue="1" operator="greaterThanOrEqual">
      <formula>15</formula>
    </cfRule>
    <cfRule type="cellIs" dxfId="1375" priority="15192" stopIfTrue="1" operator="between">
      <formula>7</formula>
      <formula>14</formula>
    </cfRule>
    <cfRule type="cellIs" dxfId="1374" priority="15193" stopIfTrue="1" operator="lessThan">
      <formula>7</formula>
    </cfRule>
  </conditionalFormatting>
  <conditionalFormatting sqref="Q287">
    <cfRule type="cellIs" dxfId="1373" priority="15194" stopIfTrue="1" operator="greaterThanOrEqual">
      <formula>70</formula>
    </cfRule>
    <cfRule type="cellIs" dxfId="1372" priority="15195" stopIfTrue="1" operator="between">
      <formula>60</formula>
      <formula>69.999999</formula>
    </cfRule>
    <cfRule type="cellIs" dxfId="1371" priority="15196" stopIfTrue="1" operator="between">
      <formula>50</formula>
      <formula>59.9999</formula>
    </cfRule>
    <cfRule type="cellIs" dxfId="1370" priority="15197" stopIfTrue="1" operator="lessThanOrEqual">
      <formula>50</formula>
    </cfRule>
  </conditionalFormatting>
  <conditionalFormatting sqref="Q294">
    <cfRule type="cellIs" dxfId="1369" priority="15187" stopIfTrue="1" operator="greaterThanOrEqual">
      <formula>70</formula>
    </cfRule>
    <cfRule type="cellIs" dxfId="1368" priority="15188" stopIfTrue="1" operator="between">
      <formula>60</formula>
      <formula>69.999999</formula>
    </cfRule>
    <cfRule type="cellIs" dxfId="1367" priority="15189" stopIfTrue="1" operator="between">
      <formula>50</formula>
      <formula>59.9999</formula>
    </cfRule>
    <cfRule type="cellIs" dxfId="1366" priority="15190" stopIfTrue="1" operator="lessThanOrEqual">
      <formula>50</formula>
    </cfRule>
  </conditionalFormatting>
  <conditionalFormatting sqref="M294">
    <cfRule type="cellIs" dxfId="1365" priority="15184" stopIfTrue="1" operator="greaterThanOrEqual">
      <formula>15</formula>
    </cfRule>
    <cfRule type="cellIs" dxfId="1364" priority="15185" stopIfTrue="1" operator="between">
      <formula>7</formula>
      <formula>14</formula>
    </cfRule>
    <cfRule type="cellIs" dxfId="1363" priority="15186" stopIfTrue="1" operator="lessThan">
      <formula>7</formula>
    </cfRule>
  </conditionalFormatting>
  <conditionalFormatting sqref="M284">
    <cfRule type="cellIs" dxfId="1362" priority="15177" stopIfTrue="1" operator="greaterThanOrEqual">
      <formula>15</formula>
    </cfRule>
    <cfRule type="cellIs" dxfId="1361" priority="15178" stopIfTrue="1" operator="between">
      <formula>7</formula>
      <formula>14</formula>
    </cfRule>
    <cfRule type="cellIs" dxfId="1360" priority="15179" stopIfTrue="1" operator="lessThan">
      <formula>7</formula>
    </cfRule>
  </conditionalFormatting>
  <conditionalFormatting sqref="Q284">
    <cfRule type="cellIs" dxfId="1359" priority="15180" stopIfTrue="1" operator="greaterThanOrEqual">
      <formula>70</formula>
    </cfRule>
    <cfRule type="cellIs" dxfId="1358" priority="15181" stopIfTrue="1" operator="between">
      <formula>60</formula>
      <formula>69.999999</formula>
    </cfRule>
    <cfRule type="cellIs" dxfId="1357" priority="15182" stopIfTrue="1" operator="between">
      <formula>50</formula>
      <formula>59.9999</formula>
    </cfRule>
    <cfRule type="cellIs" dxfId="1356" priority="15183" stopIfTrue="1" operator="lessThanOrEqual">
      <formula>50</formula>
    </cfRule>
  </conditionalFormatting>
  <conditionalFormatting sqref="Q285">
    <cfRule type="cellIs" dxfId="1355" priority="15173" stopIfTrue="1" operator="greaterThanOrEqual">
      <formula>70</formula>
    </cfRule>
    <cfRule type="cellIs" dxfId="1354" priority="15174" stopIfTrue="1" operator="between">
      <formula>60</formula>
      <formula>69.999999</formula>
    </cfRule>
    <cfRule type="cellIs" dxfId="1353" priority="15175" stopIfTrue="1" operator="between">
      <formula>50</formula>
      <formula>59.9999</formula>
    </cfRule>
    <cfRule type="cellIs" dxfId="1352" priority="15176" stopIfTrue="1" operator="lessThanOrEqual">
      <formula>50</formula>
    </cfRule>
  </conditionalFormatting>
  <conditionalFormatting sqref="M285">
    <cfRule type="cellIs" dxfId="1351" priority="15170" stopIfTrue="1" operator="greaterThanOrEqual">
      <formula>15</formula>
    </cfRule>
    <cfRule type="cellIs" dxfId="1350" priority="15171" stopIfTrue="1" operator="between">
      <formula>7</formula>
      <formula>14</formula>
    </cfRule>
    <cfRule type="cellIs" dxfId="1349" priority="15172" stopIfTrue="1" operator="lessThan">
      <formula>7</formula>
    </cfRule>
  </conditionalFormatting>
  <conditionalFormatting sqref="Q271">
    <cfRule type="cellIs" dxfId="1348" priority="15166" stopIfTrue="1" operator="greaterThanOrEqual">
      <formula>70</formula>
    </cfRule>
    <cfRule type="cellIs" dxfId="1347" priority="15167" stopIfTrue="1" operator="between">
      <formula>60</formula>
      <formula>69.999999</formula>
    </cfRule>
    <cfRule type="cellIs" dxfId="1346" priority="15168" stopIfTrue="1" operator="between">
      <formula>50</formula>
      <formula>59.9999</formula>
    </cfRule>
    <cfRule type="cellIs" dxfId="1345" priority="15169" stopIfTrue="1" operator="lessThanOrEqual">
      <formula>50</formula>
    </cfRule>
  </conditionalFormatting>
  <conditionalFormatting sqref="M267 M269 M271">
    <cfRule type="cellIs" dxfId="1344" priority="15163" stopIfTrue="1" operator="greaterThanOrEqual">
      <formula>15</formula>
    </cfRule>
    <cfRule type="cellIs" dxfId="1343" priority="15164" stopIfTrue="1" operator="between">
      <formula>7</formula>
      <formula>14</formula>
    </cfRule>
    <cfRule type="cellIs" dxfId="1342" priority="15165" stopIfTrue="1" operator="lessThan">
      <formula>7</formula>
    </cfRule>
  </conditionalFormatting>
  <conditionalFormatting sqref="Q273">
    <cfRule type="cellIs" dxfId="1341" priority="15159" stopIfTrue="1" operator="greaterThanOrEqual">
      <formula>70</formula>
    </cfRule>
    <cfRule type="cellIs" dxfId="1340" priority="15160" stopIfTrue="1" operator="between">
      <formula>60</formula>
      <formula>69.999999</formula>
    </cfRule>
    <cfRule type="cellIs" dxfId="1339" priority="15161" stopIfTrue="1" operator="between">
      <formula>50</formula>
      <formula>59.9999</formula>
    </cfRule>
    <cfRule type="cellIs" dxfId="1338" priority="15162" stopIfTrue="1" operator="lessThanOrEqual">
      <formula>50</formula>
    </cfRule>
  </conditionalFormatting>
  <conditionalFormatting sqref="M273">
    <cfRule type="cellIs" dxfId="1337" priority="15156" stopIfTrue="1" operator="greaterThanOrEqual">
      <formula>15</formula>
    </cfRule>
    <cfRule type="cellIs" dxfId="1336" priority="15157" stopIfTrue="1" operator="between">
      <formula>7</formula>
      <formula>14</formula>
    </cfRule>
    <cfRule type="cellIs" dxfId="1335" priority="15158" stopIfTrue="1" operator="lessThan">
      <formula>7</formula>
    </cfRule>
  </conditionalFormatting>
  <conditionalFormatting sqref="Q8">
    <cfRule type="cellIs" dxfId="1334" priority="1485" stopIfTrue="1" operator="greaterThanOrEqual">
      <formula>70</formula>
    </cfRule>
    <cfRule type="cellIs" dxfId="1333" priority="1486" stopIfTrue="1" operator="between">
      <formula>60</formula>
      <formula>69.999999</formula>
    </cfRule>
    <cfRule type="cellIs" dxfId="1332" priority="1487" stopIfTrue="1" operator="between">
      <formula>50</formula>
      <formula>59.9999</formula>
    </cfRule>
    <cfRule type="cellIs" dxfId="1331" priority="1488" stopIfTrue="1" operator="lessThanOrEqual">
      <formula>50</formula>
    </cfRule>
  </conditionalFormatting>
  <conditionalFormatting sqref="M8">
    <cfRule type="cellIs" dxfId="1330" priority="1482" stopIfTrue="1" operator="greaterThanOrEqual">
      <formula>15</formula>
    </cfRule>
    <cfRule type="cellIs" dxfId="1329" priority="1483" stopIfTrue="1" operator="between">
      <formula>7</formula>
      <formula>14</formula>
    </cfRule>
    <cfRule type="cellIs" dxfId="1328" priority="1484" stopIfTrue="1" operator="lessThan">
      <formula>7</formula>
    </cfRule>
  </conditionalFormatting>
  <conditionalFormatting sqref="Q10">
    <cfRule type="cellIs" dxfId="1327" priority="1478" stopIfTrue="1" operator="greaterThanOrEqual">
      <formula>70</formula>
    </cfRule>
    <cfRule type="cellIs" dxfId="1326" priority="1479" stopIfTrue="1" operator="between">
      <formula>60</formula>
      <formula>69.999999</formula>
    </cfRule>
    <cfRule type="cellIs" dxfId="1325" priority="1480" stopIfTrue="1" operator="between">
      <formula>50</formula>
      <formula>59.9999</formula>
    </cfRule>
    <cfRule type="cellIs" dxfId="1324" priority="1481" stopIfTrue="1" operator="lessThanOrEqual">
      <formula>50</formula>
    </cfRule>
  </conditionalFormatting>
  <conditionalFormatting sqref="M10">
    <cfRule type="cellIs" dxfId="1323" priority="1475" stopIfTrue="1" operator="greaterThanOrEqual">
      <formula>15</formula>
    </cfRule>
    <cfRule type="cellIs" dxfId="1322" priority="1476" stopIfTrue="1" operator="between">
      <formula>7</formula>
      <formula>14</formula>
    </cfRule>
    <cfRule type="cellIs" dxfId="1321" priority="1477" stopIfTrue="1" operator="lessThan">
      <formula>7</formula>
    </cfRule>
  </conditionalFormatting>
  <conditionalFormatting sqref="Q12">
    <cfRule type="cellIs" dxfId="1320" priority="1471" stopIfTrue="1" operator="greaterThanOrEqual">
      <formula>70</formula>
    </cfRule>
    <cfRule type="cellIs" dxfId="1319" priority="1472" stopIfTrue="1" operator="between">
      <formula>60</formula>
      <formula>69.999999</formula>
    </cfRule>
    <cfRule type="cellIs" dxfId="1318" priority="1473" stopIfTrue="1" operator="between">
      <formula>50</formula>
      <formula>59.9999</formula>
    </cfRule>
    <cfRule type="cellIs" dxfId="1317" priority="1474" stopIfTrue="1" operator="lessThanOrEqual">
      <formula>50</formula>
    </cfRule>
  </conditionalFormatting>
  <conditionalFormatting sqref="M12">
    <cfRule type="cellIs" dxfId="1316" priority="1468" stopIfTrue="1" operator="greaterThanOrEqual">
      <formula>15</formula>
    </cfRule>
    <cfRule type="cellIs" dxfId="1315" priority="1469" stopIfTrue="1" operator="between">
      <formula>7</formula>
      <formula>14</formula>
    </cfRule>
    <cfRule type="cellIs" dxfId="1314" priority="1470" stopIfTrue="1" operator="lessThan">
      <formula>7</formula>
    </cfRule>
  </conditionalFormatting>
  <conditionalFormatting sqref="Q14">
    <cfRule type="cellIs" dxfId="1313" priority="1464" stopIfTrue="1" operator="greaterThanOrEqual">
      <formula>70</formula>
    </cfRule>
    <cfRule type="cellIs" dxfId="1312" priority="1465" stopIfTrue="1" operator="between">
      <formula>60</formula>
      <formula>69.999999</formula>
    </cfRule>
    <cfRule type="cellIs" dxfId="1311" priority="1466" stopIfTrue="1" operator="between">
      <formula>50</formula>
      <formula>59.9999</formula>
    </cfRule>
    <cfRule type="cellIs" dxfId="1310" priority="1467" stopIfTrue="1" operator="lessThanOrEqual">
      <formula>50</formula>
    </cfRule>
  </conditionalFormatting>
  <conditionalFormatting sqref="M14">
    <cfRule type="cellIs" dxfId="1309" priority="1461" stopIfTrue="1" operator="greaterThanOrEqual">
      <formula>15</formula>
    </cfRule>
    <cfRule type="cellIs" dxfId="1308" priority="1462" stopIfTrue="1" operator="between">
      <formula>7</formula>
      <formula>14</formula>
    </cfRule>
    <cfRule type="cellIs" dxfId="1307" priority="1463" stopIfTrue="1" operator="lessThan">
      <formula>7</formula>
    </cfRule>
  </conditionalFormatting>
  <conditionalFormatting sqref="Q16">
    <cfRule type="cellIs" dxfId="1306" priority="1457" stopIfTrue="1" operator="greaterThanOrEqual">
      <formula>70</formula>
    </cfRule>
    <cfRule type="cellIs" dxfId="1305" priority="1458" stopIfTrue="1" operator="between">
      <formula>60</formula>
      <formula>69.999999</formula>
    </cfRule>
    <cfRule type="cellIs" dxfId="1304" priority="1459" stopIfTrue="1" operator="between">
      <formula>50</formula>
      <formula>59.9999</formula>
    </cfRule>
    <cfRule type="cellIs" dxfId="1303" priority="1460" stopIfTrue="1" operator="lessThanOrEqual">
      <formula>50</formula>
    </cfRule>
  </conditionalFormatting>
  <conditionalFormatting sqref="M16">
    <cfRule type="cellIs" dxfId="1302" priority="1454" stopIfTrue="1" operator="greaterThanOrEqual">
      <formula>15</formula>
    </cfRule>
    <cfRule type="cellIs" dxfId="1301" priority="1455" stopIfTrue="1" operator="between">
      <formula>7</formula>
      <formula>14</formula>
    </cfRule>
    <cfRule type="cellIs" dxfId="1300" priority="1456" stopIfTrue="1" operator="lessThan">
      <formula>7</formula>
    </cfRule>
  </conditionalFormatting>
  <conditionalFormatting sqref="Q19">
    <cfRule type="cellIs" dxfId="1299" priority="1450" stopIfTrue="1" operator="greaterThanOrEqual">
      <formula>70</formula>
    </cfRule>
    <cfRule type="cellIs" dxfId="1298" priority="1451" stopIfTrue="1" operator="between">
      <formula>60</formula>
      <formula>69.999999</formula>
    </cfRule>
    <cfRule type="cellIs" dxfId="1297" priority="1452" stopIfTrue="1" operator="between">
      <formula>50</formula>
      <formula>59.9999</formula>
    </cfRule>
    <cfRule type="cellIs" dxfId="1296" priority="1453" stopIfTrue="1" operator="lessThanOrEqual">
      <formula>50</formula>
    </cfRule>
  </conditionalFormatting>
  <conditionalFormatting sqref="M19">
    <cfRule type="cellIs" dxfId="1295" priority="1447" stopIfTrue="1" operator="greaterThanOrEqual">
      <formula>15</formula>
    </cfRule>
    <cfRule type="cellIs" dxfId="1294" priority="1448" stopIfTrue="1" operator="between">
      <formula>7</formula>
      <formula>14</formula>
    </cfRule>
    <cfRule type="cellIs" dxfId="1293" priority="1449" stopIfTrue="1" operator="lessThan">
      <formula>7</formula>
    </cfRule>
  </conditionalFormatting>
  <conditionalFormatting sqref="Q18">
    <cfRule type="cellIs" dxfId="1292" priority="1443" stopIfTrue="1" operator="greaterThanOrEqual">
      <formula>70</formula>
    </cfRule>
    <cfRule type="cellIs" dxfId="1291" priority="1444" stopIfTrue="1" operator="between">
      <formula>60</formula>
      <formula>69.999999</formula>
    </cfRule>
    <cfRule type="cellIs" dxfId="1290" priority="1445" stopIfTrue="1" operator="between">
      <formula>50</formula>
      <formula>59.9999</formula>
    </cfRule>
    <cfRule type="cellIs" dxfId="1289" priority="1446" stopIfTrue="1" operator="lessThanOrEqual">
      <formula>50</formula>
    </cfRule>
  </conditionalFormatting>
  <conditionalFormatting sqref="M18">
    <cfRule type="cellIs" dxfId="1288" priority="1440" stopIfTrue="1" operator="greaterThanOrEqual">
      <formula>15</formula>
    </cfRule>
    <cfRule type="cellIs" dxfId="1287" priority="1441" stopIfTrue="1" operator="between">
      <formula>7</formula>
      <formula>14</formula>
    </cfRule>
    <cfRule type="cellIs" dxfId="1286" priority="1442" stopIfTrue="1" operator="lessThan">
      <formula>7</formula>
    </cfRule>
  </conditionalFormatting>
  <conditionalFormatting sqref="Q21">
    <cfRule type="cellIs" dxfId="1285" priority="1436" stopIfTrue="1" operator="greaterThanOrEqual">
      <formula>70</formula>
    </cfRule>
    <cfRule type="cellIs" dxfId="1284" priority="1437" stopIfTrue="1" operator="between">
      <formula>60</formula>
      <formula>69.999999</formula>
    </cfRule>
    <cfRule type="cellIs" dxfId="1283" priority="1438" stopIfTrue="1" operator="between">
      <formula>50</formula>
      <formula>59.9999</formula>
    </cfRule>
    <cfRule type="cellIs" dxfId="1282" priority="1439" stopIfTrue="1" operator="lessThanOrEqual">
      <formula>50</formula>
    </cfRule>
  </conditionalFormatting>
  <conditionalFormatting sqref="M21">
    <cfRule type="cellIs" dxfId="1281" priority="1433" stopIfTrue="1" operator="greaterThanOrEqual">
      <formula>15</formula>
    </cfRule>
    <cfRule type="cellIs" dxfId="1280" priority="1434" stopIfTrue="1" operator="between">
      <formula>7</formula>
      <formula>14</formula>
    </cfRule>
    <cfRule type="cellIs" dxfId="1279" priority="1435" stopIfTrue="1" operator="lessThan">
      <formula>7</formula>
    </cfRule>
  </conditionalFormatting>
  <conditionalFormatting sqref="Q23">
    <cfRule type="cellIs" dxfId="1278" priority="1429" stopIfTrue="1" operator="greaterThanOrEqual">
      <formula>70</formula>
    </cfRule>
    <cfRule type="cellIs" dxfId="1277" priority="1430" stopIfTrue="1" operator="between">
      <formula>60</formula>
      <formula>69.999999</formula>
    </cfRule>
    <cfRule type="cellIs" dxfId="1276" priority="1431" stopIfTrue="1" operator="between">
      <formula>50</formula>
      <formula>59.9999</formula>
    </cfRule>
    <cfRule type="cellIs" dxfId="1275" priority="1432" stopIfTrue="1" operator="lessThanOrEqual">
      <formula>50</formula>
    </cfRule>
  </conditionalFormatting>
  <conditionalFormatting sqref="M23">
    <cfRule type="cellIs" dxfId="1274" priority="1426" stopIfTrue="1" operator="greaterThanOrEqual">
      <formula>15</formula>
    </cfRule>
    <cfRule type="cellIs" dxfId="1273" priority="1427" stopIfTrue="1" operator="between">
      <formula>7</formula>
      <formula>14</formula>
    </cfRule>
    <cfRule type="cellIs" dxfId="1272" priority="1428" stopIfTrue="1" operator="lessThan">
      <formula>7</formula>
    </cfRule>
  </conditionalFormatting>
  <conditionalFormatting sqref="Q25">
    <cfRule type="cellIs" dxfId="1271" priority="1422" stopIfTrue="1" operator="greaterThanOrEqual">
      <formula>70</formula>
    </cfRule>
    <cfRule type="cellIs" dxfId="1270" priority="1423" stopIfTrue="1" operator="between">
      <formula>60</formula>
      <formula>69.999999</formula>
    </cfRule>
    <cfRule type="cellIs" dxfId="1269" priority="1424" stopIfTrue="1" operator="between">
      <formula>50</formula>
      <formula>59.9999</formula>
    </cfRule>
    <cfRule type="cellIs" dxfId="1268" priority="1425" stopIfTrue="1" operator="lessThanOrEqual">
      <formula>50</formula>
    </cfRule>
  </conditionalFormatting>
  <conditionalFormatting sqref="M25">
    <cfRule type="cellIs" dxfId="1267" priority="1419" stopIfTrue="1" operator="greaterThanOrEqual">
      <formula>15</formula>
    </cfRule>
    <cfRule type="cellIs" dxfId="1266" priority="1420" stopIfTrue="1" operator="between">
      <formula>7</formula>
      <formula>14</formula>
    </cfRule>
    <cfRule type="cellIs" dxfId="1265" priority="1421" stopIfTrue="1" operator="lessThan">
      <formula>7</formula>
    </cfRule>
  </conditionalFormatting>
  <conditionalFormatting sqref="Q27">
    <cfRule type="cellIs" dxfId="1264" priority="1408" stopIfTrue="1" operator="greaterThanOrEqual">
      <formula>70</formula>
    </cfRule>
    <cfRule type="cellIs" dxfId="1263" priority="1409" stopIfTrue="1" operator="between">
      <formula>60</formula>
      <formula>69.999999</formula>
    </cfRule>
    <cfRule type="cellIs" dxfId="1262" priority="1410" stopIfTrue="1" operator="between">
      <formula>50</formula>
      <formula>59.9999</formula>
    </cfRule>
    <cfRule type="cellIs" dxfId="1261" priority="1411" stopIfTrue="1" operator="lessThanOrEqual">
      <formula>50</formula>
    </cfRule>
  </conditionalFormatting>
  <conditionalFormatting sqref="M27">
    <cfRule type="cellIs" dxfId="1260" priority="1405" stopIfTrue="1" operator="greaterThanOrEqual">
      <formula>15</formula>
    </cfRule>
    <cfRule type="cellIs" dxfId="1259" priority="1406" stopIfTrue="1" operator="between">
      <formula>7</formula>
      <formula>14</formula>
    </cfRule>
    <cfRule type="cellIs" dxfId="1258" priority="1407" stopIfTrue="1" operator="lessThan">
      <formula>7</formula>
    </cfRule>
  </conditionalFormatting>
  <conditionalFormatting sqref="Q31">
    <cfRule type="cellIs" dxfId="1257" priority="1401" stopIfTrue="1" operator="greaterThanOrEqual">
      <formula>70</formula>
    </cfRule>
    <cfRule type="cellIs" dxfId="1256" priority="1402" stopIfTrue="1" operator="between">
      <formula>60</formula>
      <formula>69.999999</formula>
    </cfRule>
    <cfRule type="cellIs" dxfId="1255" priority="1403" stopIfTrue="1" operator="between">
      <formula>50</formula>
      <formula>59.9999</formula>
    </cfRule>
    <cfRule type="cellIs" dxfId="1254" priority="1404" stopIfTrue="1" operator="lessThanOrEqual">
      <formula>50</formula>
    </cfRule>
  </conditionalFormatting>
  <conditionalFormatting sqref="M31">
    <cfRule type="cellIs" dxfId="1253" priority="1398" stopIfTrue="1" operator="greaterThanOrEqual">
      <formula>15</formula>
    </cfRule>
    <cfRule type="cellIs" dxfId="1252" priority="1399" stopIfTrue="1" operator="between">
      <formula>7</formula>
      <formula>14</formula>
    </cfRule>
    <cfRule type="cellIs" dxfId="1251" priority="1400" stopIfTrue="1" operator="lessThan">
      <formula>7</formula>
    </cfRule>
  </conditionalFormatting>
  <conditionalFormatting sqref="Q33">
    <cfRule type="cellIs" dxfId="1250" priority="1387" stopIfTrue="1" operator="greaterThanOrEqual">
      <formula>70</formula>
    </cfRule>
    <cfRule type="cellIs" dxfId="1249" priority="1388" stopIfTrue="1" operator="between">
      <formula>60</formula>
      <formula>69.999999</formula>
    </cfRule>
    <cfRule type="cellIs" dxfId="1248" priority="1389" stopIfTrue="1" operator="between">
      <formula>50</formula>
      <formula>59.9999</formula>
    </cfRule>
    <cfRule type="cellIs" dxfId="1247" priority="1390" stopIfTrue="1" operator="lessThanOrEqual">
      <formula>50</formula>
    </cfRule>
  </conditionalFormatting>
  <conditionalFormatting sqref="M33">
    <cfRule type="cellIs" dxfId="1246" priority="1384" stopIfTrue="1" operator="greaterThanOrEqual">
      <formula>15</formula>
    </cfRule>
    <cfRule type="cellIs" dxfId="1245" priority="1385" stopIfTrue="1" operator="between">
      <formula>7</formula>
      <formula>14</formula>
    </cfRule>
    <cfRule type="cellIs" dxfId="1244" priority="1386" stopIfTrue="1" operator="lessThan">
      <formula>7</formula>
    </cfRule>
  </conditionalFormatting>
  <conditionalFormatting sqref="Q36:Q37">
    <cfRule type="cellIs" dxfId="1243" priority="1380" stopIfTrue="1" operator="greaterThanOrEqual">
      <formula>70</formula>
    </cfRule>
    <cfRule type="cellIs" dxfId="1242" priority="1381" stopIfTrue="1" operator="between">
      <formula>60</formula>
      <formula>69.999999</formula>
    </cfRule>
    <cfRule type="cellIs" dxfId="1241" priority="1382" stopIfTrue="1" operator="between">
      <formula>50</formula>
      <formula>59.9999</formula>
    </cfRule>
    <cfRule type="cellIs" dxfId="1240" priority="1383" stopIfTrue="1" operator="lessThanOrEqual">
      <formula>50</formula>
    </cfRule>
  </conditionalFormatting>
  <conditionalFormatting sqref="M36:M37">
    <cfRule type="cellIs" dxfId="1239" priority="1377" stopIfTrue="1" operator="greaterThanOrEqual">
      <formula>15</formula>
    </cfRule>
    <cfRule type="cellIs" dxfId="1238" priority="1378" stopIfTrue="1" operator="between">
      <formula>7</formula>
      <formula>14</formula>
    </cfRule>
    <cfRule type="cellIs" dxfId="1237" priority="1379" stopIfTrue="1" operator="lessThan">
      <formula>7</formula>
    </cfRule>
  </conditionalFormatting>
  <conditionalFormatting sqref="Q39">
    <cfRule type="cellIs" dxfId="1236" priority="1373" stopIfTrue="1" operator="greaterThanOrEqual">
      <formula>70</formula>
    </cfRule>
    <cfRule type="cellIs" dxfId="1235" priority="1374" stopIfTrue="1" operator="between">
      <formula>60</formula>
      <formula>69.999999</formula>
    </cfRule>
    <cfRule type="cellIs" dxfId="1234" priority="1375" stopIfTrue="1" operator="between">
      <formula>50</formula>
      <formula>59.9999</formula>
    </cfRule>
    <cfRule type="cellIs" dxfId="1233" priority="1376" stopIfTrue="1" operator="lessThanOrEqual">
      <formula>50</formula>
    </cfRule>
  </conditionalFormatting>
  <conditionalFormatting sqref="M39">
    <cfRule type="cellIs" dxfId="1232" priority="1370" stopIfTrue="1" operator="greaterThanOrEqual">
      <formula>15</formula>
    </cfRule>
    <cfRule type="cellIs" dxfId="1231" priority="1371" stopIfTrue="1" operator="between">
      <formula>7</formula>
      <formula>14</formula>
    </cfRule>
    <cfRule type="cellIs" dxfId="1230" priority="1372" stopIfTrue="1" operator="lessThan">
      <formula>7</formula>
    </cfRule>
  </conditionalFormatting>
  <conditionalFormatting sqref="Q42:Q43">
    <cfRule type="cellIs" dxfId="1229" priority="1366" stopIfTrue="1" operator="greaterThanOrEqual">
      <formula>70</formula>
    </cfRule>
    <cfRule type="cellIs" dxfId="1228" priority="1367" stopIfTrue="1" operator="between">
      <formula>60</formula>
      <formula>69.999999</formula>
    </cfRule>
    <cfRule type="cellIs" dxfId="1227" priority="1368" stopIfTrue="1" operator="between">
      <formula>50</formula>
      <formula>59.9999</formula>
    </cfRule>
    <cfRule type="cellIs" dxfId="1226" priority="1369" stopIfTrue="1" operator="lessThanOrEqual">
      <formula>50</formula>
    </cfRule>
  </conditionalFormatting>
  <conditionalFormatting sqref="M42:M43">
    <cfRule type="cellIs" dxfId="1225" priority="1363" stopIfTrue="1" operator="greaterThanOrEqual">
      <formula>15</formula>
    </cfRule>
    <cfRule type="cellIs" dxfId="1224" priority="1364" stopIfTrue="1" operator="between">
      <formula>7</formula>
      <formula>14</formula>
    </cfRule>
    <cfRule type="cellIs" dxfId="1223" priority="1365" stopIfTrue="1" operator="lessThan">
      <formula>7</formula>
    </cfRule>
  </conditionalFormatting>
  <conditionalFormatting sqref="Q45">
    <cfRule type="cellIs" dxfId="1222" priority="1359" stopIfTrue="1" operator="greaterThanOrEqual">
      <formula>70</formula>
    </cfRule>
    <cfRule type="cellIs" dxfId="1221" priority="1360" stopIfTrue="1" operator="between">
      <formula>60</formula>
      <formula>69.999999</formula>
    </cfRule>
    <cfRule type="cellIs" dxfId="1220" priority="1361" stopIfTrue="1" operator="between">
      <formula>50</formula>
      <formula>59.9999</formula>
    </cfRule>
    <cfRule type="cellIs" dxfId="1219" priority="1362" stopIfTrue="1" operator="lessThanOrEqual">
      <formula>50</formula>
    </cfRule>
  </conditionalFormatting>
  <conditionalFormatting sqref="M45">
    <cfRule type="cellIs" dxfId="1218" priority="1356" stopIfTrue="1" operator="greaterThanOrEqual">
      <formula>15</formula>
    </cfRule>
    <cfRule type="cellIs" dxfId="1217" priority="1357" stopIfTrue="1" operator="between">
      <formula>7</formula>
      <formula>14</formula>
    </cfRule>
    <cfRule type="cellIs" dxfId="1216" priority="1358" stopIfTrue="1" operator="lessThan">
      <formula>7</formula>
    </cfRule>
  </conditionalFormatting>
  <conditionalFormatting sqref="Q47">
    <cfRule type="cellIs" dxfId="1215" priority="1352" stopIfTrue="1" operator="greaterThanOrEqual">
      <formula>70</formula>
    </cfRule>
    <cfRule type="cellIs" dxfId="1214" priority="1353" stopIfTrue="1" operator="between">
      <formula>60</formula>
      <formula>69.999999</formula>
    </cfRule>
    <cfRule type="cellIs" dxfId="1213" priority="1354" stopIfTrue="1" operator="between">
      <formula>50</formula>
      <formula>59.9999</formula>
    </cfRule>
    <cfRule type="cellIs" dxfId="1212" priority="1355" stopIfTrue="1" operator="lessThanOrEqual">
      <formula>50</formula>
    </cfRule>
  </conditionalFormatting>
  <conditionalFormatting sqref="M47">
    <cfRule type="cellIs" dxfId="1211" priority="1349" stopIfTrue="1" operator="greaterThanOrEqual">
      <formula>15</formula>
    </cfRule>
    <cfRule type="cellIs" dxfId="1210" priority="1350" stopIfTrue="1" operator="between">
      <formula>7</formula>
      <formula>14</formula>
    </cfRule>
    <cfRule type="cellIs" dxfId="1209" priority="1351" stopIfTrue="1" operator="lessThan">
      <formula>7</formula>
    </cfRule>
  </conditionalFormatting>
  <conditionalFormatting sqref="Q48">
    <cfRule type="cellIs" dxfId="1208" priority="1345" stopIfTrue="1" operator="greaterThanOrEqual">
      <formula>70</formula>
    </cfRule>
    <cfRule type="cellIs" dxfId="1207" priority="1346" stopIfTrue="1" operator="between">
      <formula>60</formula>
      <formula>69.999999</formula>
    </cfRule>
    <cfRule type="cellIs" dxfId="1206" priority="1347" stopIfTrue="1" operator="between">
      <formula>50</formula>
      <formula>59.9999</formula>
    </cfRule>
    <cfRule type="cellIs" dxfId="1205" priority="1348" stopIfTrue="1" operator="lessThanOrEqual">
      <formula>50</formula>
    </cfRule>
  </conditionalFormatting>
  <conditionalFormatting sqref="M48">
    <cfRule type="cellIs" dxfId="1204" priority="1342" stopIfTrue="1" operator="greaterThanOrEqual">
      <formula>15</formula>
    </cfRule>
    <cfRule type="cellIs" dxfId="1203" priority="1343" stopIfTrue="1" operator="between">
      <formula>7</formula>
      <formula>14</formula>
    </cfRule>
    <cfRule type="cellIs" dxfId="1202" priority="1344" stopIfTrue="1" operator="lessThan">
      <formula>7</formula>
    </cfRule>
  </conditionalFormatting>
  <conditionalFormatting sqref="Q49">
    <cfRule type="cellIs" dxfId="1201" priority="1338" stopIfTrue="1" operator="greaterThanOrEqual">
      <formula>70</formula>
    </cfRule>
    <cfRule type="cellIs" dxfId="1200" priority="1339" stopIfTrue="1" operator="between">
      <formula>60</formula>
      <formula>69.999999</formula>
    </cfRule>
    <cfRule type="cellIs" dxfId="1199" priority="1340" stopIfTrue="1" operator="between">
      <formula>50</formula>
      <formula>59.9999</formula>
    </cfRule>
    <cfRule type="cellIs" dxfId="1198" priority="1341" stopIfTrue="1" operator="lessThanOrEqual">
      <formula>50</formula>
    </cfRule>
  </conditionalFormatting>
  <conditionalFormatting sqref="M49">
    <cfRule type="cellIs" dxfId="1197" priority="1335" stopIfTrue="1" operator="greaterThanOrEqual">
      <formula>15</formula>
    </cfRule>
    <cfRule type="cellIs" dxfId="1196" priority="1336" stopIfTrue="1" operator="between">
      <formula>7</formula>
      <formula>14</formula>
    </cfRule>
    <cfRule type="cellIs" dxfId="1195" priority="1337" stopIfTrue="1" operator="lessThan">
      <formula>7</formula>
    </cfRule>
  </conditionalFormatting>
  <conditionalFormatting sqref="Q51">
    <cfRule type="cellIs" dxfId="1194" priority="1331" stopIfTrue="1" operator="greaterThanOrEqual">
      <formula>70</formula>
    </cfRule>
    <cfRule type="cellIs" dxfId="1193" priority="1332" stopIfTrue="1" operator="between">
      <formula>60</formula>
      <formula>69.999999</formula>
    </cfRule>
    <cfRule type="cellIs" dxfId="1192" priority="1333" stopIfTrue="1" operator="between">
      <formula>50</formula>
      <formula>59.9999</formula>
    </cfRule>
    <cfRule type="cellIs" dxfId="1191" priority="1334" stopIfTrue="1" operator="lessThanOrEqual">
      <formula>50</formula>
    </cfRule>
  </conditionalFormatting>
  <conditionalFormatting sqref="M51">
    <cfRule type="cellIs" dxfId="1190" priority="1328" stopIfTrue="1" operator="greaterThanOrEqual">
      <formula>15</formula>
    </cfRule>
    <cfRule type="cellIs" dxfId="1189" priority="1329" stopIfTrue="1" operator="between">
      <formula>7</formula>
      <formula>14</formula>
    </cfRule>
    <cfRule type="cellIs" dxfId="1188" priority="1330" stopIfTrue="1" operator="lessThan">
      <formula>7</formula>
    </cfRule>
  </conditionalFormatting>
  <conditionalFormatting sqref="Q55">
    <cfRule type="cellIs" dxfId="1187" priority="1317" stopIfTrue="1" operator="greaterThanOrEqual">
      <formula>70</formula>
    </cfRule>
    <cfRule type="cellIs" dxfId="1186" priority="1318" stopIfTrue="1" operator="between">
      <formula>60</formula>
      <formula>69.999999</formula>
    </cfRule>
    <cfRule type="cellIs" dxfId="1185" priority="1319" stopIfTrue="1" operator="between">
      <formula>50</formula>
      <formula>59.9999</formula>
    </cfRule>
    <cfRule type="cellIs" dxfId="1184" priority="1320" stopIfTrue="1" operator="lessThanOrEqual">
      <formula>50</formula>
    </cfRule>
  </conditionalFormatting>
  <conditionalFormatting sqref="M55">
    <cfRule type="cellIs" dxfId="1183" priority="1314" stopIfTrue="1" operator="greaterThanOrEqual">
      <formula>15</formula>
    </cfRule>
    <cfRule type="cellIs" dxfId="1182" priority="1315" stopIfTrue="1" operator="between">
      <formula>7</formula>
      <formula>14</formula>
    </cfRule>
    <cfRule type="cellIs" dxfId="1181" priority="1316" stopIfTrue="1" operator="lessThan">
      <formula>7</formula>
    </cfRule>
  </conditionalFormatting>
  <conditionalFormatting sqref="Q57">
    <cfRule type="cellIs" dxfId="1180" priority="1303" stopIfTrue="1" operator="greaterThanOrEqual">
      <formula>70</formula>
    </cfRule>
    <cfRule type="cellIs" dxfId="1179" priority="1304" stopIfTrue="1" operator="between">
      <formula>60</formula>
      <formula>69.999999</formula>
    </cfRule>
    <cfRule type="cellIs" dxfId="1178" priority="1305" stopIfTrue="1" operator="between">
      <formula>50</formula>
      <formula>59.9999</formula>
    </cfRule>
    <cfRule type="cellIs" dxfId="1177" priority="1306" stopIfTrue="1" operator="lessThanOrEqual">
      <formula>50</formula>
    </cfRule>
  </conditionalFormatting>
  <conditionalFormatting sqref="M57">
    <cfRule type="cellIs" dxfId="1176" priority="1300" stopIfTrue="1" operator="greaterThanOrEqual">
      <formula>15</formula>
    </cfRule>
    <cfRule type="cellIs" dxfId="1175" priority="1301" stopIfTrue="1" operator="between">
      <formula>7</formula>
      <formula>14</formula>
    </cfRule>
    <cfRule type="cellIs" dxfId="1174" priority="1302" stopIfTrue="1" operator="lessThan">
      <formula>7</formula>
    </cfRule>
  </conditionalFormatting>
  <conditionalFormatting sqref="Q73">
    <cfRule type="cellIs" dxfId="1173" priority="1296" stopIfTrue="1" operator="greaterThanOrEqual">
      <formula>70</formula>
    </cfRule>
    <cfRule type="cellIs" dxfId="1172" priority="1297" stopIfTrue="1" operator="between">
      <formula>60</formula>
      <formula>69.999999</formula>
    </cfRule>
    <cfRule type="cellIs" dxfId="1171" priority="1298" stopIfTrue="1" operator="between">
      <formula>50</formula>
      <formula>59.9999</formula>
    </cfRule>
    <cfRule type="cellIs" dxfId="1170" priority="1299" stopIfTrue="1" operator="lessThanOrEqual">
      <formula>50</formula>
    </cfRule>
  </conditionalFormatting>
  <conditionalFormatting sqref="M73">
    <cfRule type="cellIs" dxfId="1169" priority="1293" stopIfTrue="1" operator="greaterThanOrEqual">
      <formula>15</formula>
    </cfRule>
    <cfRule type="cellIs" dxfId="1168" priority="1294" stopIfTrue="1" operator="between">
      <formula>7</formula>
      <formula>14</formula>
    </cfRule>
    <cfRule type="cellIs" dxfId="1167" priority="1295" stopIfTrue="1" operator="lessThan">
      <formula>7</formula>
    </cfRule>
  </conditionalFormatting>
  <conditionalFormatting sqref="Q59">
    <cfRule type="cellIs" dxfId="1166" priority="1289" stopIfTrue="1" operator="greaterThanOrEqual">
      <formula>70</formula>
    </cfRule>
    <cfRule type="cellIs" dxfId="1165" priority="1290" stopIfTrue="1" operator="between">
      <formula>60</formula>
      <formula>69.999999</formula>
    </cfRule>
    <cfRule type="cellIs" dxfId="1164" priority="1291" stopIfTrue="1" operator="between">
      <formula>50</formula>
      <formula>59.9999</formula>
    </cfRule>
    <cfRule type="cellIs" dxfId="1163" priority="1292" stopIfTrue="1" operator="lessThanOrEqual">
      <formula>50</formula>
    </cfRule>
  </conditionalFormatting>
  <conditionalFormatting sqref="M59">
    <cfRule type="cellIs" dxfId="1162" priority="1286" stopIfTrue="1" operator="greaterThanOrEqual">
      <formula>15</formula>
    </cfRule>
    <cfRule type="cellIs" dxfId="1161" priority="1287" stopIfTrue="1" operator="between">
      <formula>7</formula>
      <formula>14</formula>
    </cfRule>
    <cfRule type="cellIs" dxfId="1160" priority="1288" stopIfTrue="1" operator="lessThan">
      <formula>7</formula>
    </cfRule>
  </conditionalFormatting>
  <conditionalFormatting sqref="Q61">
    <cfRule type="cellIs" dxfId="1159" priority="1282" stopIfTrue="1" operator="greaterThanOrEqual">
      <formula>70</formula>
    </cfRule>
    <cfRule type="cellIs" dxfId="1158" priority="1283" stopIfTrue="1" operator="between">
      <formula>60</formula>
      <formula>69.999999</formula>
    </cfRule>
    <cfRule type="cellIs" dxfId="1157" priority="1284" stopIfTrue="1" operator="between">
      <formula>50</formula>
      <formula>59.9999</formula>
    </cfRule>
    <cfRule type="cellIs" dxfId="1156" priority="1285" stopIfTrue="1" operator="lessThanOrEqual">
      <formula>50</formula>
    </cfRule>
  </conditionalFormatting>
  <conditionalFormatting sqref="M61">
    <cfRule type="cellIs" dxfId="1155" priority="1279" stopIfTrue="1" operator="greaterThanOrEqual">
      <formula>15</formula>
    </cfRule>
    <cfRule type="cellIs" dxfId="1154" priority="1280" stopIfTrue="1" operator="between">
      <formula>7</formula>
      <formula>14</formula>
    </cfRule>
    <cfRule type="cellIs" dxfId="1153" priority="1281" stopIfTrue="1" operator="lessThan">
      <formula>7</formula>
    </cfRule>
  </conditionalFormatting>
  <conditionalFormatting sqref="Q63">
    <cfRule type="cellIs" dxfId="1152" priority="1275" stopIfTrue="1" operator="greaterThanOrEqual">
      <formula>70</formula>
    </cfRule>
    <cfRule type="cellIs" dxfId="1151" priority="1276" stopIfTrue="1" operator="between">
      <formula>60</formula>
      <formula>69.999999</formula>
    </cfRule>
    <cfRule type="cellIs" dxfId="1150" priority="1277" stopIfTrue="1" operator="between">
      <formula>50</formula>
      <formula>59.9999</formula>
    </cfRule>
    <cfRule type="cellIs" dxfId="1149" priority="1278" stopIfTrue="1" operator="lessThanOrEqual">
      <formula>50</formula>
    </cfRule>
  </conditionalFormatting>
  <conditionalFormatting sqref="M63">
    <cfRule type="cellIs" dxfId="1148" priority="1272" stopIfTrue="1" operator="greaterThanOrEqual">
      <formula>15</formula>
    </cfRule>
    <cfRule type="cellIs" dxfId="1147" priority="1273" stopIfTrue="1" operator="between">
      <formula>7</formula>
      <formula>14</formula>
    </cfRule>
    <cfRule type="cellIs" dxfId="1146" priority="1274" stopIfTrue="1" operator="lessThan">
      <formula>7</formula>
    </cfRule>
  </conditionalFormatting>
  <conditionalFormatting sqref="Q65">
    <cfRule type="cellIs" dxfId="1145" priority="1268" stopIfTrue="1" operator="greaterThanOrEqual">
      <formula>70</formula>
    </cfRule>
    <cfRule type="cellIs" dxfId="1144" priority="1269" stopIfTrue="1" operator="between">
      <formula>60</formula>
      <formula>69.999999</formula>
    </cfRule>
    <cfRule type="cellIs" dxfId="1143" priority="1270" stopIfTrue="1" operator="between">
      <formula>50</formula>
      <formula>59.9999</formula>
    </cfRule>
    <cfRule type="cellIs" dxfId="1142" priority="1271" stopIfTrue="1" operator="lessThanOrEqual">
      <formula>50</formula>
    </cfRule>
  </conditionalFormatting>
  <conditionalFormatting sqref="M65">
    <cfRule type="cellIs" dxfId="1141" priority="1265" stopIfTrue="1" operator="greaterThanOrEqual">
      <formula>15</formula>
    </cfRule>
    <cfRule type="cellIs" dxfId="1140" priority="1266" stopIfTrue="1" operator="between">
      <formula>7</formula>
      <formula>14</formula>
    </cfRule>
    <cfRule type="cellIs" dxfId="1139" priority="1267" stopIfTrue="1" operator="lessThan">
      <formula>7</formula>
    </cfRule>
  </conditionalFormatting>
  <conditionalFormatting sqref="Q67">
    <cfRule type="cellIs" dxfId="1138" priority="1261" stopIfTrue="1" operator="greaterThanOrEqual">
      <formula>70</formula>
    </cfRule>
    <cfRule type="cellIs" dxfId="1137" priority="1262" stopIfTrue="1" operator="between">
      <formula>60</formula>
      <formula>69.999999</formula>
    </cfRule>
    <cfRule type="cellIs" dxfId="1136" priority="1263" stopIfTrue="1" operator="between">
      <formula>50</formula>
      <formula>59.9999</formula>
    </cfRule>
    <cfRule type="cellIs" dxfId="1135" priority="1264" stopIfTrue="1" operator="lessThanOrEqual">
      <formula>50</formula>
    </cfRule>
  </conditionalFormatting>
  <conditionalFormatting sqref="M67">
    <cfRule type="cellIs" dxfId="1134" priority="1258" stopIfTrue="1" operator="greaterThanOrEqual">
      <formula>15</formula>
    </cfRule>
    <cfRule type="cellIs" dxfId="1133" priority="1259" stopIfTrue="1" operator="between">
      <formula>7</formula>
      <formula>14</formula>
    </cfRule>
    <cfRule type="cellIs" dxfId="1132" priority="1260" stopIfTrue="1" operator="lessThan">
      <formula>7</formula>
    </cfRule>
  </conditionalFormatting>
  <conditionalFormatting sqref="Q69:Q72">
    <cfRule type="cellIs" dxfId="1131" priority="1254" stopIfTrue="1" operator="greaterThanOrEqual">
      <formula>70</formula>
    </cfRule>
    <cfRule type="cellIs" dxfId="1130" priority="1255" stopIfTrue="1" operator="between">
      <formula>60</formula>
      <formula>69.999999</formula>
    </cfRule>
    <cfRule type="cellIs" dxfId="1129" priority="1256" stopIfTrue="1" operator="between">
      <formula>50</formula>
      <formula>59.9999</formula>
    </cfRule>
    <cfRule type="cellIs" dxfId="1128" priority="1257" stopIfTrue="1" operator="lessThanOrEqual">
      <formula>50</formula>
    </cfRule>
  </conditionalFormatting>
  <conditionalFormatting sqref="M69:M72">
    <cfRule type="cellIs" dxfId="1127" priority="1251" stopIfTrue="1" operator="greaterThanOrEqual">
      <formula>15</formula>
    </cfRule>
    <cfRule type="cellIs" dxfId="1126" priority="1252" stopIfTrue="1" operator="between">
      <formula>7</formula>
      <formula>14</formula>
    </cfRule>
    <cfRule type="cellIs" dxfId="1125" priority="1253" stopIfTrue="1" operator="lessThan">
      <formula>7</formula>
    </cfRule>
  </conditionalFormatting>
  <conditionalFormatting sqref="Q74">
    <cfRule type="cellIs" dxfId="1124" priority="1247" stopIfTrue="1" operator="greaterThanOrEqual">
      <formula>70</formula>
    </cfRule>
    <cfRule type="cellIs" dxfId="1123" priority="1248" stopIfTrue="1" operator="between">
      <formula>60</formula>
      <formula>69.999999</formula>
    </cfRule>
    <cfRule type="cellIs" dxfId="1122" priority="1249" stopIfTrue="1" operator="between">
      <formula>50</formula>
      <formula>59.9999</formula>
    </cfRule>
    <cfRule type="cellIs" dxfId="1121" priority="1250" stopIfTrue="1" operator="lessThanOrEqual">
      <formula>50</formula>
    </cfRule>
  </conditionalFormatting>
  <conditionalFormatting sqref="M74">
    <cfRule type="cellIs" dxfId="1120" priority="1244" stopIfTrue="1" operator="greaterThanOrEqual">
      <formula>15</formula>
    </cfRule>
    <cfRule type="cellIs" dxfId="1119" priority="1245" stopIfTrue="1" operator="between">
      <formula>7</formula>
      <formula>14</formula>
    </cfRule>
    <cfRule type="cellIs" dxfId="1118" priority="1246" stopIfTrue="1" operator="lessThan">
      <formula>7</formula>
    </cfRule>
  </conditionalFormatting>
  <conditionalFormatting sqref="Q81">
    <cfRule type="cellIs" dxfId="1117" priority="1240" stopIfTrue="1" operator="greaterThanOrEqual">
      <formula>70</formula>
    </cfRule>
    <cfRule type="cellIs" dxfId="1116" priority="1241" stopIfTrue="1" operator="between">
      <formula>60</formula>
      <formula>69.999999</formula>
    </cfRule>
    <cfRule type="cellIs" dxfId="1115" priority="1242" stopIfTrue="1" operator="between">
      <formula>50</formula>
      <formula>59.9999</formula>
    </cfRule>
    <cfRule type="cellIs" dxfId="1114" priority="1243" stopIfTrue="1" operator="lessThanOrEqual">
      <formula>50</formula>
    </cfRule>
  </conditionalFormatting>
  <conditionalFormatting sqref="M81">
    <cfRule type="cellIs" dxfId="1113" priority="1237" stopIfTrue="1" operator="greaterThanOrEqual">
      <formula>15</formula>
    </cfRule>
    <cfRule type="cellIs" dxfId="1112" priority="1238" stopIfTrue="1" operator="between">
      <formula>7</formula>
      <formula>14</formula>
    </cfRule>
    <cfRule type="cellIs" dxfId="1111" priority="1239" stopIfTrue="1" operator="lessThan">
      <formula>7</formula>
    </cfRule>
  </conditionalFormatting>
  <conditionalFormatting sqref="Q83:Q85">
    <cfRule type="cellIs" dxfId="1110" priority="1233" stopIfTrue="1" operator="greaterThanOrEqual">
      <formula>70</formula>
    </cfRule>
    <cfRule type="cellIs" dxfId="1109" priority="1234" stopIfTrue="1" operator="between">
      <formula>60</formula>
      <formula>69.999999</formula>
    </cfRule>
    <cfRule type="cellIs" dxfId="1108" priority="1235" stopIfTrue="1" operator="between">
      <formula>50</formula>
      <formula>59.9999</formula>
    </cfRule>
    <cfRule type="cellIs" dxfId="1107" priority="1236" stopIfTrue="1" operator="lessThanOrEqual">
      <formula>50</formula>
    </cfRule>
  </conditionalFormatting>
  <conditionalFormatting sqref="M83:M85">
    <cfRule type="cellIs" dxfId="1106" priority="1230" stopIfTrue="1" operator="greaterThanOrEqual">
      <formula>15</formula>
    </cfRule>
    <cfRule type="cellIs" dxfId="1105" priority="1231" stopIfTrue="1" operator="between">
      <formula>7</formula>
      <formula>14</formula>
    </cfRule>
    <cfRule type="cellIs" dxfId="1104" priority="1232" stopIfTrue="1" operator="lessThan">
      <formula>7</formula>
    </cfRule>
  </conditionalFormatting>
  <conditionalFormatting sqref="Q100">
    <cfRule type="cellIs" dxfId="1103" priority="1226" stopIfTrue="1" operator="greaterThanOrEqual">
      <formula>70</formula>
    </cfRule>
    <cfRule type="cellIs" dxfId="1102" priority="1227" stopIfTrue="1" operator="between">
      <formula>60</formula>
      <formula>69.999999</formula>
    </cfRule>
    <cfRule type="cellIs" dxfId="1101" priority="1228" stopIfTrue="1" operator="between">
      <formula>50</formula>
      <formula>59.9999</formula>
    </cfRule>
    <cfRule type="cellIs" dxfId="1100" priority="1229" stopIfTrue="1" operator="lessThanOrEqual">
      <formula>50</formula>
    </cfRule>
  </conditionalFormatting>
  <conditionalFormatting sqref="M100">
    <cfRule type="cellIs" dxfId="1099" priority="1223" stopIfTrue="1" operator="greaterThanOrEqual">
      <formula>15</formula>
    </cfRule>
    <cfRule type="cellIs" dxfId="1098" priority="1224" stopIfTrue="1" operator="between">
      <formula>7</formula>
      <formula>14</formula>
    </cfRule>
    <cfRule type="cellIs" dxfId="1097" priority="1225" stopIfTrue="1" operator="lessThan">
      <formula>7</formula>
    </cfRule>
  </conditionalFormatting>
  <conditionalFormatting sqref="Q105:Q109">
    <cfRule type="cellIs" dxfId="1096" priority="1219" stopIfTrue="1" operator="greaterThanOrEqual">
      <formula>70</formula>
    </cfRule>
    <cfRule type="cellIs" dxfId="1095" priority="1220" stopIfTrue="1" operator="between">
      <formula>60</formula>
      <formula>69.999999</formula>
    </cfRule>
    <cfRule type="cellIs" dxfId="1094" priority="1221" stopIfTrue="1" operator="between">
      <formula>50</formula>
      <formula>59.9999</formula>
    </cfRule>
    <cfRule type="cellIs" dxfId="1093" priority="1222" stopIfTrue="1" operator="lessThanOrEqual">
      <formula>50</formula>
    </cfRule>
  </conditionalFormatting>
  <conditionalFormatting sqref="M105:M107">
    <cfRule type="cellIs" dxfId="1092" priority="1216" stopIfTrue="1" operator="greaterThanOrEqual">
      <formula>15</formula>
    </cfRule>
    <cfRule type="cellIs" dxfId="1091" priority="1217" stopIfTrue="1" operator="between">
      <formula>7</formula>
      <formula>14</formula>
    </cfRule>
    <cfRule type="cellIs" dxfId="1090" priority="1218" stopIfTrue="1" operator="lessThan">
      <formula>7</formula>
    </cfRule>
  </conditionalFormatting>
  <conditionalFormatting sqref="Q332">
    <cfRule type="cellIs" dxfId="1089" priority="1135" stopIfTrue="1" operator="greaterThanOrEqual">
      <formula>70</formula>
    </cfRule>
    <cfRule type="cellIs" dxfId="1088" priority="1136" stopIfTrue="1" operator="between">
      <formula>60</formula>
      <formula>69.999999</formula>
    </cfRule>
    <cfRule type="cellIs" dxfId="1087" priority="1137" stopIfTrue="1" operator="between">
      <formula>50</formula>
      <formula>59.9999</formula>
    </cfRule>
    <cfRule type="cellIs" dxfId="1086" priority="1138" stopIfTrue="1" operator="lessThanOrEqual">
      <formula>50</formula>
    </cfRule>
  </conditionalFormatting>
  <conditionalFormatting sqref="M109">
    <cfRule type="cellIs" dxfId="1085" priority="1209" stopIfTrue="1" operator="greaterThanOrEqual">
      <formula>15</formula>
    </cfRule>
    <cfRule type="cellIs" dxfId="1084" priority="1210" stopIfTrue="1" operator="between">
      <formula>7</formula>
      <formula>14</formula>
    </cfRule>
    <cfRule type="cellIs" dxfId="1083" priority="1211" stopIfTrue="1" operator="lessThan">
      <formula>7</formula>
    </cfRule>
  </conditionalFormatting>
  <conditionalFormatting sqref="Q114">
    <cfRule type="cellIs" dxfId="1082" priority="1205" stopIfTrue="1" operator="greaterThanOrEqual">
      <formula>70</formula>
    </cfRule>
    <cfRule type="cellIs" dxfId="1081" priority="1206" stopIfTrue="1" operator="between">
      <formula>60</formula>
      <formula>69.999999</formula>
    </cfRule>
    <cfRule type="cellIs" dxfId="1080" priority="1207" stopIfTrue="1" operator="between">
      <formula>50</formula>
      <formula>59.9999</formula>
    </cfRule>
    <cfRule type="cellIs" dxfId="1079" priority="1208" stopIfTrue="1" operator="lessThanOrEqual">
      <formula>50</formula>
    </cfRule>
  </conditionalFormatting>
  <conditionalFormatting sqref="M114">
    <cfRule type="cellIs" dxfId="1078" priority="1202" stopIfTrue="1" operator="greaterThanOrEqual">
      <formula>15</formula>
    </cfRule>
    <cfRule type="cellIs" dxfId="1077" priority="1203" stopIfTrue="1" operator="between">
      <formula>7</formula>
      <formula>14</formula>
    </cfRule>
    <cfRule type="cellIs" dxfId="1076" priority="1204" stopIfTrue="1" operator="lessThan">
      <formula>7</formula>
    </cfRule>
  </conditionalFormatting>
  <conditionalFormatting sqref="Q119">
    <cfRule type="cellIs" dxfId="1075" priority="1198" stopIfTrue="1" operator="greaterThanOrEqual">
      <formula>70</formula>
    </cfRule>
    <cfRule type="cellIs" dxfId="1074" priority="1199" stopIfTrue="1" operator="between">
      <formula>60</formula>
      <formula>69.999999</formula>
    </cfRule>
    <cfRule type="cellIs" dxfId="1073" priority="1200" stopIfTrue="1" operator="between">
      <formula>50</formula>
      <formula>59.9999</formula>
    </cfRule>
    <cfRule type="cellIs" dxfId="1072" priority="1201" stopIfTrue="1" operator="lessThanOrEqual">
      <formula>50</formula>
    </cfRule>
  </conditionalFormatting>
  <conditionalFormatting sqref="M119">
    <cfRule type="cellIs" dxfId="1071" priority="1195" stopIfTrue="1" operator="greaterThanOrEqual">
      <formula>15</formula>
    </cfRule>
    <cfRule type="cellIs" dxfId="1070" priority="1196" stopIfTrue="1" operator="between">
      <formula>7</formula>
      <formula>14</formula>
    </cfRule>
    <cfRule type="cellIs" dxfId="1069" priority="1197" stopIfTrue="1" operator="lessThan">
      <formula>7</formula>
    </cfRule>
  </conditionalFormatting>
  <conditionalFormatting sqref="Q351:Q354">
    <cfRule type="cellIs" dxfId="1068" priority="1184" stopIfTrue="1" operator="greaterThanOrEqual">
      <formula>70</formula>
    </cfRule>
    <cfRule type="cellIs" dxfId="1067" priority="1185" stopIfTrue="1" operator="between">
      <formula>60</formula>
      <formula>69.999999</formula>
    </cfRule>
    <cfRule type="cellIs" dxfId="1066" priority="1186" stopIfTrue="1" operator="between">
      <formula>50</formula>
      <formula>59.9999</formula>
    </cfRule>
    <cfRule type="cellIs" dxfId="1065" priority="1187" stopIfTrue="1" operator="lessThanOrEqual">
      <formula>50</formula>
    </cfRule>
  </conditionalFormatting>
  <conditionalFormatting sqref="M351:M353">
    <cfRule type="cellIs" dxfId="1064" priority="1181" stopIfTrue="1" operator="greaterThanOrEqual">
      <formula>15</formula>
    </cfRule>
    <cfRule type="cellIs" dxfId="1063" priority="1182" stopIfTrue="1" operator="between">
      <formula>7</formula>
      <formula>14</formula>
    </cfRule>
    <cfRule type="cellIs" dxfId="1062" priority="1183" stopIfTrue="1" operator="lessThan">
      <formula>7</formula>
    </cfRule>
  </conditionalFormatting>
  <conditionalFormatting sqref="Q319">
    <cfRule type="cellIs" dxfId="1061" priority="1177" stopIfTrue="1" operator="greaterThanOrEqual">
      <formula>70</formula>
    </cfRule>
    <cfRule type="cellIs" dxfId="1060" priority="1178" stopIfTrue="1" operator="between">
      <formula>60</formula>
      <formula>69.999999</formula>
    </cfRule>
    <cfRule type="cellIs" dxfId="1059" priority="1179" stopIfTrue="1" operator="between">
      <formula>50</formula>
      <formula>59.9999</formula>
    </cfRule>
    <cfRule type="cellIs" dxfId="1058" priority="1180" stopIfTrue="1" operator="lessThanOrEqual">
      <formula>50</formula>
    </cfRule>
  </conditionalFormatting>
  <conditionalFormatting sqref="M319">
    <cfRule type="cellIs" dxfId="1057" priority="1174" stopIfTrue="1" operator="greaterThanOrEqual">
      <formula>15</formula>
    </cfRule>
    <cfRule type="cellIs" dxfId="1056" priority="1175" stopIfTrue="1" operator="between">
      <formula>7</formula>
      <formula>14</formula>
    </cfRule>
    <cfRule type="cellIs" dxfId="1055" priority="1176" stopIfTrue="1" operator="lessThan">
      <formula>7</formula>
    </cfRule>
  </conditionalFormatting>
  <conditionalFormatting sqref="Q321">
    <cfRule type="cellIs" dxfId="1054" priority="1170" stopIfTrue="1" operator="greaterThanOrEqual">
      <formula>70</formula>
    </cfRule>
    <cfRule type="cellIs" dxfId="1053" priority="1171" stopIfTrue="1" operator="between">
      <formula>60</formula>
      <formula>69.999999</formula>
    </cfRule>
    <cfRule type="cellIs" dxfId="1052" priority="1172" stopIfTrue="1" operator="between">
      <formula>50</formula>
      <formula>59.9999</formula>
    </cfRule>
    <cfRule type="cellIs" dxfId="1051" priority="1173" stopIfTrue="1" operator="lessThanOrEqual">
      <formula>50</formula>
    </cfRule>
  </conditionalFormatting>
  <conditionalFormatting sqref="M321">
    <cfRule type="cellIs" dxfId="1050" priority="1167" stopIfTrue="1" operator="greaterThanOrEqual">
      <formula>15</formula>
    </cfRule>
    <cfRule type="cellIs" dxfId="1049" priority="1168" stopIfTrue="1" operator="between">
      <formula>7</formula>
      <formula>14</formula>
    </cfRule>
    <cfRule type="cellIs" dxfId="1048" priority="1169" stopIfTrue="1" operator="lessThan">
      <formula>7</formula>
    </cfRule>
  </conditionalFormatting>
  <conditionalFormatting sqref="Q323">
    <cfRule type="cellIs" dxfId="1047" priority="1163" stopIfTrue="1" operator="greaterThanOrEqual">
      <formula>70</formula>
    </cfRule>
    <cfRule type="cellIs" dxfId="1046" priority="1164" stopIfTrue="1" operator="between">
      <formula>60</formula>
      <formula>69.999999</formula>
    </cfRule>
    <cfRule type="cellIs" dxfId="1045" priority="1165" stopIfTrue="1" operator="between">
      <formula>50</formula>
      <formula>59.9999</formula>
    </cfRule>
    <cfRule type="cellIs" dxfId="1044" priority="1166" stopIfTrue="1" operator="lessThanOrEqual">
      <formula>50</formula>
    </cfRule>
  </conditionalFormatting>
  <conditionalFormatting sqref="M323">
    <cfRule type="cellIs" dxfId="1043" priority="1160" stopIfTrue="1" operator="greaterThanOrEqual">
      <formula>15</formula>
    </cfRule>
    <cfRule type="cellIs" dxfId="1042" priority="1161" stopIfTrue="1" operator="between">
      <formula>7</formula>
      <formula>14</formula>
    </cfRule>
    <cfRule type="cellIs" dxfId="1041" priority="1162" stopIfTrue="1" operator="lessThan">
      <formula>7</formula>
    </cfRule>
  </conditionalFormatting>
  <conditionalFormatting sqref="Q328">
    <cfRule type="cellIs" dxfId="1040" priority="1156" stopIfTrue="1" operator="greaterThanOrEqual">
      <formula>70</formula>
    </cfRule>
    <cfRule type="cellIs" dxfId="1039" priority="1157" stopIfTrue="1" operator="between">
      <formula>60</formula>
      <formula>69.999999</formula>
    </cfRule>
    <cfRule type="cellIs" dxfId="1038" priority="1158" stopIfTrue="1" operator="between">
      <formula>50</formula>
      <formula>59.9999</formula>
    </cfRule>
    <cfRule type="cellIs" dxfId="1037" priority="1159" stopIfTrue="1" operator="lessThanOrEqual">
      <formula>50</formula>
    </cfRule>
  </conditionalFormatting>
  <conditionalFormatting sqref="M328">
    <cfRule type="cellIs" dxfId="1036" priority="1153" stopIfTrue="1" operator="greaterThanOrEqual">
      <formula>15</formula>
    </cfRule>
    <cfRule type="cellIs" dxfId="1035" priority="1154" stopIfTrue="1" operator="between">
      <formula>7</formula>
      <formula>14</formula>
    </cfRule>
    <cfRule type="cellIs" dxfId="1034" priority="1155" stopIfTrue="1" operator="lessThan">
      <formula>7</formula>
    </cfRule>
  </conditionalFormatting>
  <conditionalFormatting sqref="Q330">
    <cfRule type="cellIs" dxfId="1033" priority="1149" stopIfTrue="1" operator="greaterThanOrEqual">
      <formula>70</formula>
    </cfRule>
    <cfRule type="cellIs" dxfId="1032" priority="1150" stopIfTrue="1" operator="between">
      <formula>60</formula>
      <formula>69.999999</formula>
    </cfRule>
    <cfRule type="cellIs" dxfId="1031" priority="1151" stopIfTrue="1" operator="between">
      <formula>50</formula>
      <formula>59.9999</formula>
    </cfRule>
    <cfRule type="cellIs" dxfId="1030" priority="1152" stopIfTrue="1" operator="lessThanOrEqual">
      <formula>50</formula>
    </cfRule>
  </conditionalFormatting>
  <conditionalFormatting sqref="M330">
    <cfRule type="cellIs" dxfId="1029" priority="1146" stopIfTrue="1" operator="greaterThanOrEqual">
      <formula>15</formula>
    </cfRule>
    <cfRule type="cellIs" dxfId="1028" priority="1147" stopIfTrue="1" operator="between">
      <formula>7</formula>
      <formula>14</formula>
    </cfRule>
    <cfRule type="cellIs" dxfId="1027" priority="1148" stopIfTrue="1" operator="lessThan">
      <formula>7</formula>
    </cfRule>
  </conditionalFormatting>
  <conditionalFormatting sqref="Q274">
    <cfRule type="cellIs" dxfId="1026" priority="1086" stopIfTrue="1" operator="greaterThanOrEqual">
      <formula>70</formula>
    </cfRule>
    <cfRule type="cellIs" dxfId="1025" priority="1087" stopIfTrue="1" operator="between">
      <formula>60</formula>
      <formula>69.999999</formula>
    </cfRule>
    <cfRule type="cellIs" dxfId="1024" priority="1088" stopIfTrue="1" operator="between">
      <formula>50</formula>
      <formula>59.9999</formula>
    </cfRule>
    <cfRule type="cellIs" dxfId="1023" priority="1089" stopIfTrue="1" operator="lessThanOrEqual">
      <formula>50</formula>
    </cfRule>
  </conditionalFormatting>
  <conditionalFormatting sqref="M332">
    <cfRule type="cellIs" dxfId="1022" priority="1132" stopIfTrue="1" operator="greaterThanOrEqual">
      <formula>15</formula>
    </cfRule>
    <cfRule type="cellIs" dxfId="1021" priority="1133" stopIfTrue="1" operator="between">
      <formula>7</formula>
      <formula>14</formula>
    </cfRule>
    <cfRule type="cellIs" dxfId="1020" priority="1134" stopIfTrue="1" operator="lessThan">
      <formula>7</formula>
    </cfRule>
  </conditionalFormatting>
  <conditionalFormatting sqref="Q254">
    <cfRule type="cellIs" dxfId="1019" priority="1114" stopIfTrue="1" operator="greaterThanOrEqual">
      <formula>70</formula>
    </cfRule>
    <cfRule type="cellIs" dxfId="1018" priority="1115" stopIfTrue="1" operator="between">
      <formula>60</formula>
      <formula>69.999999</formula>
    </cfRule>
    <cfRule type="cellIs" dxfId="1017" priority="1116" stopIfTrue="1" operator="between">
      <formula>50</formula>
      <formula>59.9999</formula>
    </cfRule>
    <cfRule type="cellIs" dxfId="1016" priority="1117" stopIfTrue="1" operator="lessThanOrEqual">
      <formula>50</formula>
    </cfRule>
  </conditionalFormatting>
  <conditionalFormatting sqref="M254">
    <cfRule type="cellIs" dxfId="1015" priority="1111" stopIfTrue="1" operator="greaterThanOrEqual">
      <formula>15</formula>
    </cfRule>
    <cfRule type="cellIs" dxfId="1014" priority="1112" stopIfTrue="1" operator="between">
      <formula>7</formula>
      <formula>14</formula>
    </cfRule>
    <cfRule type="cellIs" dxfId="1013" priority="1113" stopIfTrue="1" operator="lessThan">
      <formula>7</formula>
    </cfRule>
  </conditionalFormatting>
  <conditionalFormatting sqref="Q262">
    <cfRule type="cellIs" dxfId="1012" priority="1107" stopIfTrue="1" operator="greaterThanOrEqual">
      <formula>70</formula>
    </cfRule>
    <cfRule type="cellIs" dxfId="1011" priority="1108" stopIfTrue="1" operator="between">
      <formula>60</formula>
      <formula>69.999999</formula>
    </cfRule>
    <cfRule type="cellIs" dxfId="1010" priority="1109" stopIfTrue="1" operator="between">
      <formula>50</formula>
      <formula>59.9999</formula>
    </cfRule>
    <cfRule type="cellIs" dxfId="1009" priority="1110" stopIfTrue="1" operator="lessThanOrEqual">
      <formula>50</formula>
    </cfRule>
  </conditionalFormatting>
  <conditionalFormatting sqref="M262">
    <cfRule type="cellIs" dxfId="1008" priority="1104" stopIfTrue="1" operator="greaterThanOrEqual">
      <formula>15</formula>
    </cfRule>
    <cfRule type="cellIs" dxfId="1007" priority="1105" stopIfTrue="1" operator="between">
      <formula>7</formula>
      <formula>14</formula>
    </cfRule>
    <cfRule type="cellIs" dxfId="1006" priority="1106" stopIfTrue="1" operator="lessThan">
      <formula>7</formula>
    </cfRule>
  </conditionalFormatting>
  <conditionalFormatting sqref="M265">
    <cfRule type="cellIs" dxfId="1005" priority="1097" stopIfTrue="1" operator="greaterThanOrEqual">
      <formula>15</formula>
    </cfRule>
    <cfRule type="cellIs" dxfId="1004" priority="1098" stopIfTrue="1" operator="between">
      <formula>7</formula>
      <formula>14</formula>
    </cfRule>
    <cfRule type="cellIs" dxfId="1003" priority="1099" stopIfTrue="1" operator="lessThan">
      <formula>7</formula>
    </cfRule>
  </conditionalFormatting>
  <conditionalFormatting sqref="Q265">
    <cfRule type="cellIs" dxfId="1002" priority="1100" stopIfTrue="1" operator="greaterThanOrEqual">
      <formula>70</formula>
    </cfRule>
    <cfRule type="cellIs" dxfId="1001" priority="1101" stopIfTrue="1" operator="between">
      <formula>60</formula>
      <formula>69.999999</formula>
    </cfRule>
    <cfRule type="cellIs" dxfId="1000" priority="1102" stopIfTrue="1" operator="between">
      <formula>50</formula>
      <formula>59.9999</formula>
    </cfRule>
    <cfRule type="cellIs" dxfId="999" priority="1103" stopIfTrue="1" operator="lessThanOrEqual">
      <formula>50</formula>
    </cfRule>
  </conditionalFormatting>
  <conditionalFormatting sqref="Q272">
    <cfRule type="cellIs" dxfId="998" priority="1093" stopIfTrue="1" operator="greaterThanOrEqual">
      <formula>70</formula>
    </cfRule>
    <cfRule type="cellIs" dxfId="997" priority="1094" stopIfTrue="1" operator="between">
      <formula>60</formula>
      <formula>69.999999</formula>
    </cfRule>
    <cfRule type="cellIs" dxfId="996" priority="1095" stopIfTrue="1" operator="between">
      <formula>50</formula>
      <formula>59.9999</formula>
    </cfRule>
    <cfRule type="cellIs" dxfId="995" priority="1096" stopIfTrue="1" operator="lessThanOrEqual">
      <formula>50</formula>
    </cfRule>
  </conditionalFormatting>
  <conditionalFormatting sqref="M272">
    <cfRule type="cellIs" dxfId="994" priority="1090" stopIfTrue="1" operator="greaterThanOrEqual">
      <formula>15</formula>
    </cfRule>
    <cfRule type="cellIs" dxfId="993" priority="1091" stopIfTrue="1" operator="between">
      <formula>7</formula>
      <formula>14</formula>
    </cfRule>
    <cfRule type="cellIs" dxfId="992" priority="1092" stopIfTrue="1" operator="lessThan">
      <formula>7</formula>
    </cfRule>
  </conditionalFormatting>
  <conditionalFormatting sqref="Q295">
    <cfRule type="cellIs" dxfId="991" priority="1072" stopIfTrue="1" operator="greaterThanOrEqual">
      <formula>70</formula>
    </cfRule>
    <cfRule type="cellIs" dxfId="990" priority="1073" stopIfTrue="1" operator="between">
      <formula>60</formula>
      <formula>69.999999</formula>
    </cfRule>
    <cfRule type="cellIs" dxfId="989" priority="1074" stopIfTrue="1" operator="between">
      <formula>50</formula>
      <formula>59.9999</formula>
    </cfRule>
    <cfRule type="cellIs" dxfId="988" priority="1075" stopIfTrue="1" operator="lessThanOrEqual">
      <formula>50</formula>
    </cfRule>
  </conditionalFormatting>
  <conditionalFormatting sqref="M274">
    <cfRule type="cellIs" dxfId="987" priority="1083" stopIfTrue="1" operator="greaterThanOrEqual">
      <formula>15</formula>
    </cfRule>
    <cfRule type="cellIs" dxfId="986" priority="1084" stopIfTrue="1" operator="between">
      <formula>7</formula>
      <formula>14</formula>
    </cfRule>
    <cfRule type="cellIs" dxfId="985" priority="1085" stopIfTrue="1" operator="lessThan">
      <formula>7</formula>
    </cfRule>
  </conditionalFormatting>
  <conditionalFormatting sqref="M295">
    <cfRule type="cellIs" dxfId="984" priority="1069" stopIfTrue="1" operator="greaterThanOrEqual">
      <formula>15</formula>
    </cfRule>
    <cfRule type="cellIs" dxfId="983" priority="1070" stopIfTrue="1" operator="between">
      <formula>7</formula>
      <formula>14</formula>
    </cfRule>
    <cfRule type="cellIs" dxfId="982" priority="1071" stopIfTrue="1" operator="lessThan">
      <formula>7</formula>
    </cfRule>
  </conditionalFormatting>
  <conditionalFormatting sqref="Q179">
    <cfRule type="cellIs" dxfId="981" priority="1065" stopIfTrue="1" operator="greaterThanOrEqual">
      <formula>70</formula>
    </cfRule>
    <cfRule type="cellIs" dxfId="980" priority="1066" stopIfTrue="1" operator="between">
      <formula>60</formula>
      <formula>69.999999</formula>
    </cfRule>
    <cfRule type="cellIs" dxfId="979" priority="1067" stopIfTrue="1" operator="between">
      <formula>50</formula>
      <formula>59.9999</formula>
    </cfRule>
    <cfRule type="cellIs" dxfId="978" priority="1068" stopIfTrue="1" operator="lessThanOrEqual">
      <formula>50</formula>
    </cfRule>
  </conditionalFormatting>
  <conditionalFormatting sqref="M179">
    <cfRule type="cellIs" dxfId="977" priority="1062" stopIfTrue="1" operator="greaterThanOrEqual">
      <formula>15</formula>
    </cfRule>
    <cfRule type="cellIs" dxfId="976" priority="1063" stopIfTrue="1" operator="between">
      <formula>7</formula>
      <formula>14</formula>
    </cfRule>
    <cfRule type="cellIs" dxfId="975" priority="1064" stopIfTrue="1" operator="lessThan">
      <formula>7</formula>
    </cfRule>
  </conditionalFormatting>
  <conditionalFormatting sqref="Q181">
    <cfRule type="cellIs" dxfId="974" priority="1058" stopIfTrue="1" operator="greaterThanOrEqual">
      <formula>70</formula>
    </cfRule>
    <cfRule type="cellIs" dxfId="973" priority="1059" stopIfTrue="1" operator="between">
      <formula>60</formula>
      <formula>69.999999</formula>
    </cfRule>
    <cfRule type="cellIs" dxfId="972" priority="1060" stopIfTrue="1" operator="between">
      <formula>50</formula>
      <formula>59.9999</formula>
    </cfRule>
    <cfRule type="cellIs" dxfId="971" priority="1061" stopIfTrue="1" operator="lessThanOrEqual">
      <formula>50</formula>
    </cfRule>
  </conditionalFormatting>
  <conditionalFormatting sqref="M181">
    <cfRule type="cellIs" dxfId="970" priority="1055" stopIfTrue="1" operator="greaterThanOrEqual">
      <formula>15</formula>
    </cfRule>
    <cfRule type="cellIs" dxfId="969" priority="1056" stopIfTrue="1" operator="between">
      <formula>7</formula>
      <formula>14</formula>
    </cfRule>
    <cfRule type="cellIs" dxfId="968" priority="1057" stopIfTrue="1" operator="lessThan">
      <formula>7</formula>
    </cfRule>
  </conditionalFormatting>
  <conditionalFormatting sqref="Q183">
    <cfRule type="cellIs" dxfId="967" priority="1051" stopIfTrue="1" operator="greaterThanOrEqual">
      <formula>70</formula>
    </cfRule>
    <cfRule type="cellIs" dxfId="966" priority="1052" stopIfTrue="1" operator="between">
      <formula>60</formula>
      <formula>69.999999</formula>
    </cfRule>
    <cfRule type="cellIs" dxfId="965" priority="1053" stopIfTrue="1" operator="between">
      <formula>50</formula>
      <formula>59.9999</formula>
    </cfRule>
    <cfRule type="cellIs" dxfId="964" priority="1054" stopIfTrue="1" operator="lessThanOrEqual">
      <formula>50</formula>
    </cfRule>
  </conditionalFormatting>
  <conditionalFormatting sqref="M183">
    <cfRule type="cellIs" dxfId="963" priority="1048" stopIfTrue="1" operator="greaterThanOrEqual">
      <formula>15</formula>
    </cfRule>
    <cfRule type="cellIs" dxfId="962" priority="1049" stopIfTrue="1" operator="between">
      <formula>7</formula>
      <formula>14</formula>
    </cfRule>
    <cfRule type="cellIs" dxfId="961" priority="1050" stopIfTrue="1" operator="lessThan">
      <formula>7</formula>
    </cfRule>
  </conditionalFormatting>
  <conditionalFormatting sqref="Q103">
    <cfRule type="cellIs" dxfId="960" priority="1044" stopIfTrue="1" operator="greaterThanOrEqual">
      <formula>70</formula>
    </cfRule>
    <cfRule type="cellIs" dxfId="959" priority="1045" stopIfTrue="1" operator="between">
      <formula>60</formula>
      <formula>69.999999</formula>
    </cfRule>
    <cfRule type="cellIs" dxfId="958" priority="1046" stopIfTrue="1" operator="between">
      <formula>50</formula>
      <formula>59.9999</formula>
    </cfRule>
    <cfRule type="cellIs" dxfId="957" priority="1047" stopIfTrue="1" operator="lessThanOrEqual">
      <formula>50</formula>
    </cfRule>
  </conditionalFormatting>
  <conditionalFormatting sqref="M103">
    <cfRule type="cellIs" dxfId="956" priority="1041" stopIfTrue="1" operator="greaterThanOrEqual">
      <formula>15</formula>
    </cfRule>
    <cfRule type="cellIs" dxfId="955" priority="1042" stopIfTrue="1" operator="between">
      <formula>7</formula>
      <formula>14</formula>
    </cfRule>
    <cfRule type="cellIs" dxfId="954" priority="1043" stopIfTrue="1" operator="lessThan">
      <formula>7</formula>
    </cfRule>
  </conditionalFormatting>
  <conditionalFormatting sqref="M155">
    <cfRule type="cellIs" dxfId="953" priority="1034" stopIfTrue="1" operator="greaterThanOrEqual">
      <formula>15</formula>
    </cfRule>
    <cfRule type="cellIs" dxfId="952" priority="1035" stopIfTrue="1" operator="between">
      <formula>7</formula>
      <formula>14</formula>
    </cfRule>
    <cfRule type="cellIs" dxfId="951" priority="1036" stopIfTrue="1" operator="lessThan">
      <formula>7</formula>
    </cfRule>
  </conditionalFormatting>
  <conditionalFormatting sqref="Q155">
    <cfRule type="cellIs" dxfId="950" priority="1037" stopIfTrue="1" operator="greaterThanOrEqual">
      <formula>70</formula>
    </cfRule>
    <cfRule type="cellIs" dxfId="949" priority="1038" stopIfTrue="1" operator="between">
      <formula>60</formula>
      <formula>69.999999</formula>
    </cfRule>
    <cfRule type="cellIs" dxfId="948" priority="1039" stopIfTrue="1" operator="between">
      <formula>50</formula>
      <formula>59.9999</formula>
    </cfRule>
    <cfRule type="cellIs" dxfId="947" priority="1040" stopIfTrue="1" operator="lessThanOrEqual">
      <formula>50</formula>
    </cfRule>
  </conditionalFormatting>
  <conditionalFormatting sqref="M161">
    <cfRule type="cellIs" dxfId="946" priority="1027" stopIfTrue="1" operator="greaterThanOrEqual">
      <formula>15</formula>
    </cfRule>
    <cfRule type="cellIs" dxfId="945" priority="1028" stopIfTrue="1" operator="between">
      <formula>7</formula>
      <formula>14</formula>
    </cfRule>
    <cfRule type="cellIs" dxfId="944" priority="1029" stopIfTrue="1" operator="lessThan">
      <formula>7</formula>
    </cfRule>
  </conditionalFormatting>
  <conditionalFormatting sqref="Q161">
    <cfRule type="cellIs" dxfId="943" priority="1030" stopIfTrue="1" operator="greaterThanOrEqual">
      <formula>70</formula>
    </cfRule>
    <cfRule type="cellIs" dxfId="942" priority="1031" stopIfTrue="1" operator="between">
      <formula>60</formula>
      <formula>69.999999</formula>
    </cfRule>
    <cfRule type="cellIs" dxfId="941" priority="1032" stopIfTrue="1" operator="between">
      <formula>50</formula>
      <formula>59.9999</formula>
    </cfRule>
    <cfRule type="cellIs" dxfId="940" priority="1033" stopIfTrue="1" operator="lessThanOrEqual">
      <formula>50</formula>
    </cfRule>
  </conditionalFormatting>
  <conditionalFormatting sqref="M163">
    <cfRule type="cellIs" dxfId="939" priority="1020" stopIfTrue="1" operator="greaterThanOrEqual">
      <formula>15</formula>
    </cfRule>
    <cfRule type="cellIs" dxfId="938" priority="1021" stopIfTrue="1" operator="between">
      <formula>7</formula>
      <formula>14</formula>
    </cfRule>
    <cfRule type="cellIs" dxfId="937" priority="1022" stopIfTrue="1" operator="lessThan">
      <formula>7</formula>
    </cfRule>
  </conditionalFormatting>
  <conditionalFormatting sqref="Q163">
    <cfRule type="cellIs" dxfId="936" priority="1023" stopIfTrue="1" operator="greaterThanOrEqual">
      <formula>70</formula>
    </cfRule>
    <cfRule type="cellIs" dxfId="935" priority="1024" stopIfTrue="1" operator="between">
      <formula>60</formula>
      <formula>69.999999</formula>
    </cfRule>
    <cfRule type="cellIs" dxfId="934" priority="1025" stopIfTrue="1" operator="between">
      <formula>50</formula>
      <formula>59.9999</formula>
    </cfRule>
    <cfRule type="cellIs" dxfId="933" priority="1026" stopIfTrue="1" operator="lessThanOrEqual">
      <formula>50</formula>
    </cfRule>
  </conditionalFormatting>
  <conditionalFormatting sqref="M167">
    <cfRule type="cellIs" dxfId="932" priority="1013" stopIfTrue="1" operator="greaterThanOrEqual">
      <formula>15</formula>
    </cfRule>
    <cfRule type="cellIs" dxfId="931" priority="1014" stopIfTrue="1" operator="between">
      <formula>7</formula>
      <formula>14</formula>
    </cfRule>
    <cfRule type="cellIs" dxfId="930" priority="1015" stopIfTrue="1" operator="lessThan">
      <formula>7</formula>
    </cfRule>
  </conditionalFormatting>
  <conditionalFormatting sqref="Q167">
    <cfRule type="cellIs" dxfId="929" priority="1016" stopIfTrue="1" operator="greaterThanOrEqual">
      <formula>70</formula>
    </cfRule>
    <cfRule type="cellIs" dxfId="928" priority="1017" stopIfTrue="1" operator="between">
      <formula>60</formula>
      <formula>69.999999</formula>
    </cfRule>
    <cfRule type="cellIs" dxfId="927" priority="1018" stopIfTrue="1" operator="between">
      <formula>50</formula>
      <formula>59.9999</formula>
    </cfRule>
    <cfRule type="cellIs" dxfId="926" priority="1019" stopIfTrue="1" operator="lessThanOrEqual">
      <formula>50</formula>
    </cfRule>
  </conditionalFormatting>
  <conditionalFormatting sqref="M176">
    <cfRule type="cellIs" dxfId="925" priority="999" stopIfTrue="1" operator="greaterThanOrEqual">
      <formula>15</formula>
    </cfRule>
    <cfRule type="cellIs" dxfId="924" priority="1000" stopIfTrue="1" operator="between">
      <formula>7</formula>
      <formula>14</formula>
    </cfRule>
    <cfRule type="cellIs" dxfId="923" priority="1001" stopIfTrue="1" operator="lessThan">
      <formula>7</formula>
    </cfRule>
  </conditionalFormatting>
  <conditionalFormatting sqref="M174">
    <cfRule type="cellIs" dxfId="922" priority="992" stopIfTrue="1" operator="greaterThanOrEqual">
      <formula>15</formula>
    </cfRule>
    <cfRule type="cellIs" dxfId="921" priority="993" stopIfTrue="1" operator="between">
      <formula>7</formula>
      <formula>14</formula>
    </cfRule>
    <cfRule type="cellIs" dxfId="920" priority="994" stopIfTrue="1" operator="lessThan">
      <formula>7</formula>
    </cfRule>
  </conditionalFormatting>
  <conditionalFormatting sqref="Q176">
    <cfRule type="cellIs" dxfId="919" priority="1002" stopIfTrue="1" operator="greaterThanOrEqual">
      <formula>70</formula>
    </cfRule>
    <cfRule type="cellIs" dxfId="918" priority="1003" stopIfTrue="1" operator="between">
      <formula>60</formula>
      <formula>69.999999</formula>
    </cfRule>
    <cfRule type="cellIs" dxfId="917" priority="1004" stopIfTrue="1" operator="between">
      <formula>50</formula>
      <formula>59.9999</formula>
    </cfRule>
    <cfRule type="cellIs" dxfId="916" priority="1005" stopIfTrue="1" operator="lessThanOrEqual">
      <formula>50</formula>
    </cfRule>
  </conditionalFormatting>
  <conditionalFormatting sqref="M173">
    <cfRule type="cellIs" dxfId="915" priority="985" stopIfTrue="1" operator="greaterThanOrEqual">
      <formula>15</formula>
    </cfRule>
    <cfRule type="cellIs" dxfId="914" priority="986" stopIfTrue="1" operator="between">
      <formula>7</formula>
      <formula>14</formula>
    </cfRule>
    <cfRule type="cellIs" dxfId="913" priority="987" stopIfTrue="1" operator="lessThan">
      <formula>7</formula>
    </cfRule>
  </conditionalFormatting>
  <conditionalFormatting sqref="Q174">
    <cfRule type="cellIs" dxfId="912" priority="995" stopIfTrue="1" operator="greaterThanOrEqual">
      <formula>70</formula>
    </cfRule>
    <cfRule type="cellIs" dxfId="911" priority="996" stopIfTrue="1" operator="between">
      <formula>60</formula>
      <formula>69.999999</formula>
    </cfRule>
    <cfRule type="cellIs" dxfId="910" priority="997" stopIfTrue="1" operator="between">
      <formula>50</formula>
      <formula>59.9999</formula>
    </cfRule>
    <cfRule type="cellIs" dxfId="909" priority="998" stopIfTrue="1" operator="lessThanOrEqual">
      <formula>50</formula>
    </cfRule>
  </conditionalFormatting>
  <conditionalFormatting sqref="M171">
    <cfRule type="cellIs" dxfId="908" priority="978" stopIfTrue="1" operator="greaterThanOrEqual">
      <formula>15</formula>
    </cfRule>
    <cfRule type="cellIs" dxfId="907" priority="979" stopIfTrue="1" operator="between">
      <formula>7</formula>
      <formula>14</formula>
    </cfRule>
    <cfRule type="cellIs" dxfId="906" priority="980" stopIfTrue="1" operator="lessThan">
      <formula>7</formula>
    </cfRule>
  </conditionalFormatting>
  <conditionalFormatting sqref="Q173">
    <cfRule type="cellIs" dxfId="905" priority="988" stopIfTrue="1" operator="greaterThanOrEqual">
      <formula>70</formula>
    </cfRule>
    <cfRule type="cellIs" dxfId="904" priority="989" stopIfTrue="1" operator="between">
      <formula>60</formula>
      <formula>69.999999</formula>
    </cfRule>
    <cfRule type="cellIs" dxfId="903" priority="990" stopIfTrue="1" operator="between">
      <formula>50</formula>
      <formula>59.9999</formula>
    </cfRule>
    <cfRule type="cellIs" dxfId="902" priority="991" stopIfTrue="1" operator="lessThanOrEqual">
      <formula>50</formula>
    </cfRule>
  </conditionalFormatting>
  <conditionalFormatting sqref="M169">
    <cfRule type="cellIs" dxfId="901" priority="971" stopIfTrue="1" operator="greaterThanOrEqual">
      <formula>15</formula>
    </cfRule>
    <cfRule type="cellIs" dxfId="900" priority="972" stopIfTrue="1" operator="between">
      <formula>7</formula>
      <formula>14</formula>
    </cfRule>
    <cfRule type="cellIs" dxfId="899" priority="973" stopIfTrue="1" operator="lessThan">
      <formula>7</formula>
    </cfRule>
  </conditionalFormatting>
  <conditionalFormatting sqref="Q171">
    <cfRule type="cellIs" dxfId="898" priority="981" stopIfTrue="1" operator="greaterThanOrEqual">
      <formula>70</formula>
    </cfRule>
    <cfRule type="cellIs" dxfId="897" priority="982" stopIfTrue="1" operator="between">
      <formula>60</formula>
      <formula>69.999999</formula>
    </cfRule>
    <cfRule type="cellIs" dxfId="896" priority="983" stopIfTrue="1" operator="between">
      <formula>50</formula>
      <formula>59.9999</formula>
    </cfRule>
    <cfRule type="cellIs" dxfId="895" priority="984" stopIfTrue="1" operator="lessThanOrEqual">
      <formula>50</formula>
    </cfRule>
  </conditionalFormatting>
  <conditionalFormatting sqref="Q169">
    <cfRule type="cellIs" dxfId="894" priority="974" stopIfTrue="1" operator="greaterThanOrEqual">
      <formula>70</formula>
    </cfRule>
    <cfRule type="cellIs" dxfId="893" priority="975" stopIfTrue="1" operator="between">
      <formula>60</formula>
      <formula>69.999999</formula>
    </cfRule>
    <cfRule type="cellIs" dxfId="892" priority="976" stopIfTrue="1" operator="between">
      <formula>50</formula>
      <formula>59.9999</formula>
    </cfRule>
    <cfRule type="cellIs" dxfId="891" priority="977" stopIfTrue="1" operator="lessThanOrEqual">
      <formula>50</formula>
    </cfRule>
  </conditionalFormatting>
  <conditionalFormatting sqref="M185">
    <cfRule type="cellIs" dxfId="890" priority="964" stopIfTrue="1" operator="greaterThanOrEqual">
      <formula>15</formula>
    </cfRule>
    <cfRule type="cellIs" dxfId="889" priority="965" stopIfTrue="1" operator="between">
      <formula>7</formula>
      <formula>14</formula>
    </cfRule>
    <cfRule type="cellIs" dxfId="888" priority="966" stopIfTrue="1" operator="lessThan">
      <formula>7</formula>
    </cfRule>
  </conditionalFormatting>
  <conditionalFormatting sqref="Q185">
    <cfRule type="cellIs" dxfId="887" priority="967" stopIfTrue="1" operator="greaterThanOrEqual">
      <formula>70</formula>
    </cfRule>
    <cfRule type="cellIs" dxfId="886" priority="968" stopIfTrue="1" operator="between">
      <formula>60</formula>
      <formula>69.999999</formula>
    </cfRule>
    <cfRule type="cellIs" dxfId="885" priority="969" stopIfTrue="1" operator="between">
      <formula>50</formula>
      <formula>59.9999</formula>
    </cfRule>
    <cfRule type="cellIs" dxfId="884" priority="970" stopIfTrue="1" operator="lessThanOrEqual">
      <formula>50</formula>
    </cfRule>
  </conditionalFormatting>
  <conditionalFormatting sqref="M187">
    <cfRule type="cellIs" dxfId="883" priority="957" stopIfTrue="1" operator="greaterThanOrEqual">
      <formula>15</formula>
    </cfRule>
    <cfRule type="cellIs" dxfId="882" priority="958" stopIfTrue="1" operator="between">
      <formula>7</formula>
      <formula>14</formula>
    </cfRule>
    <cfRule type="cellIs" dxfId="881" priority="959" stopIfTrue="1" operator="lessThan">
      <formula>7</formula>
    </cfRule>
  </conditionalFormatting>
  <conditionalFormatting sqref="Q187">
    <cfRule type="cellIs" dxfId="880" priority="960" stopIfTrue="1" operator="greaterThanOrEqual">
      <formula>70</formula>
    </cfRule>
    <cfRule type="cellIs" dxfId="879" priority="961" stopIfTrue="1" operator="between">
      <formula>60</formula>
      <formula>69.999999</formula>
    </cfRule>
    <cfRule type="cellIs" dxfId="878" priority="962" stopIfTrue="1" operator="between">
      <formula>50</formula>
      <formula>59.9999</formula>
    </cfRule>
    <cfRule type="cellIs" dxfId="877" priority="963" stopIfTrue="1" operator="lessThanOrEqual">
      <formula>50</formula>
    </cfRule>
  </conditionalFormatting>
  <conditionalFormatting sqref="M189">
    <cfRule type="cellIs" dxfId="876" priority="950" stopIfTrue="1" operator="greaterThanOrEqual">
      <formula>15</formula>
    </cfRule>
    <cfRule type="cellIs" dxfId="875" priority="951" stopIfTrue="1" operator="between">
      <formula>7</formula>
      <formula>14</formula>
    </cfRule>
    <cfRule type="cellIs" dxfId="874" priority="952" stopIfTrue="1" operator="lessThan">
      <formula>7</formula>
    </cfRule>
  </conditionalFormatting>
  <conditionalFormatting sqref="Q189">
    <cfRule type="cellIs" dxfId="873" priority="953" stopIfTrue="1" operator="greaterThanOrEqual">
      <formula>70</formula>
    </cfRule>
    <cfRule type="cellIs" dxfId="872" priority="954" stopIfTrue="1" operator="between">
      <formula>60</formula>
      <formula>69.999999</formula>
    </cfRule>
    <cfRule type="cellIs" dxfId="871" priority="955" stopIfTrue="1" operator="between">
      <formula>50</formula>
      <formula>59.9999</formula>
    </cfRule>
    <cfRule type="cellIs" dxfId="870" priority="956" stopIfTrue="1" operator="lessThanOrEqual">
      <formula>50</formula>
    </cfRule>
  </conditionalFormatting>
  <conditionalFormatting sqref="Q191">
    <cfRule type="cellIs" dxfId="869" priority="946" stopIfTrue="1" operator="greaterThanOrEqual">
      <formula>70</formula>
    </cfRule>
    <cfRule type="cellIs" dxfId="868" priority="947" stopIfTrue="1" operator="between">
      <formula>60</formula>
      <formula>69.999999</formula>
    </cfRule>
    <cfRule type="cellIs" dxfId="867" priority="948" stopIfTrue="1" operator="between">
      <formula>50</formula>
      <formula>59.9999</formula>
    </cfRule>
    <cfRule type="cellIs" dxfId="866" priority="949" stopIfTrue="1" operator="lessThanOrEqual">
      <formula>50</formula>
    </cfRule>
  </conditionalFormatting>
  <conditionalFormatting sqref="M191">
    <cfRule type="cellIs" dxfId="865" priority="943" stopIfTrue="1" operator="greaterThanOrEqual">
      <formula>15</formula>
    </cfRule>
    <cfRule type="cellIs" dxfId="864" priority="944" stopIfTrue="1" operator="between">
      <formula>7</formula>
      <formula>14</formula>
    </cfRule>
    <cfRule type="cellIs" dxfId="863" priority="945" stopIfTrue="1" operator="lessThan">
      <formula>7</formula>
    </cfRule>
  </conditionalFormatting>
  <conditionalFormatting sqref="Q198">
    <cfRule type="cellIs" dxfId="862" priority="939" stopIfTrue="1" operator="greaterThanOrEqual">
      <formula>70</formula>
    </cfRule>
    <cfRule type="cellIs" dxfId="861" priority="940" stopIfTrue="1" operator="between">
      <formula>60</formula>
      <formula>69.999999</formula>
    </cfRule>
    <cfRule type="cellIs" dxfId="860" priority="941" stopIfTrue="1" operator="between">
      <formula>50</formula>
      <formula>59.9999</formula>
    </cfRule>
    <cfRule type="cellIs" dxfId="859" priority="942" stopIfTrue="1" operator="lessThanOrEqual">
      <formula>50</formula>
    </cfRule>
  </conditionalFormatting>
  <conditionalFormatting sqref="M198">
    <cfRule type="cellIs" dxfId="858" priority="936" stopIfTrue="1" operator="greaterThanOrEqual">
      <formula>15</formula>
    </cfRule>
    <cfRule type="cellIs" dxfId="857" priority="937" stopIfTrue="1" operator="between">
      <formula>7</formula>
      <formula>14</formula>
    </cfRule>
    <cfRule type="cellIs" dxfId="856" priority="938" stopIfTrue="1" operator="lessThan">
      <formula>7</formula>
    </cfRule>
  </conditionalFormatting>
  <conditionalFormatting sqref="Q200">
    <cfRule type="cellIs" dxfId="855" priority="932" stopIfTrue="1" operator="greaterThanOrEqual">
      <formula>70</formula>
    </cfRule>
    <cfRule type="cellIs" dxfId="854" priority="933" stopIfTrue="1" operator="between">
      <formula>60</formula>
      <formula>69.999999</formula>
    </cfRule>
    <cfRule type="cellIs" dxfId="853" priority="934" stopIfTrue="1" operator="between">
      <formula>50</formula>
      <formula>59.9999</formula>
    </cfRule>
    <cfRule type="cellIs" dxfId="852" priority="935" stopIfTrue="1" operator="lessThanOrEqual">
      <formula>50</formula>
    </cfRule>
  </conditionalFormatting>
  <conditionalFormatting sqref="M200">
    <cfRule type="cellIs" dxfId="851" priority="929" stopIfTrue="1" operator="greaterThanOrEqual">
      <formula>15</formula>
    </cfRule>
    <cfRule type="cellIs" dxfId="850" priority="930" stopIfTrue="1" operator="between">
      <formula>7</formula>
      <formula>14</formula>
    </cfRule>
    <cfRule type="cellIs" dxfId="849" priority="931" stopIfTrue="1" operator="lessThan">
      <formula>7</formula>
    </cfRule>
  </conditionalFormatting>
  <conditionalFormatting sqref="Q202">
    <cfRule type="cellIs" dxfId="848" priority="925" stopIfTrue="1" operator="greaterThanOrEqual">
      <formula>70</formula>
    </cfRule>
    <cfRule type="cellIs" dxfId="847" priority="926" stopIfTrue="1" operator="between">
      <formula>60</formula>
      <formula>69.999999</formula>
    </cfRule>
    <cfRule type="cellIs" dxfId="846" priority="927" stopIfTrue="1" operator="between">
      <formula>50</formula>
      <formula>59.9999</formula>
    </cfRule>
    <cfRule type="cellIs" dxfId="845" priority="928" stopIfTrue="1" operator="lessThanOrEqual">
      <formula>50</formula>
    </cfRule>
  </conditionalFormatting>
  <conditionalFormatting sqref="M202">
    <cfRule type="cellIs" dxfId="844" priority="922" stopIfTrue="1" operator="greaterThanOrEqual">
      <formula>15</formula>
    </cfRule>
    <cfRule type="cellIs" dxfId="843" priority="923" stopIfTrue="1" operator="between">
      <formula>7</formula>
      <formula>14</formula>
    </cfRule>
    <cfRule type="cellIs" dxfId="842" priority="924" stopIfTrue="1" operator="lessThan">
      <formula>7</formula>
    </cfRule>
  </conditionalFormatting>
  <conditionalFormatting sqref="Q204">
    <cfRule type="cellIs" dxfId="841" priority="918" stopIfTrue="1" operator="greaterThanOrEqual">
      <formula>70</formula>
    </cfRule>
    <cfRule type="cellIs" dxfId="840" priority="919" stopIfTrue="1" operator="between">
      <formula>60</formula>
      <formula>69.999999</formula>
    </cfRule>
    <cfRule type="cellIs" dxfId="839" priority="920" stopIfTrue="1" operator="between">
      <formula>50</formula>
      <formula>59.9999</formula>
    </cfRule>
    <cfRule type="cellIs" dxfId="838" priority="921" stopIfTrue="1" operator="lessThanOrEqual">
      <formula>50</formula>
    </cfRule>
  </conditionalFormatting>
  <conditionalFormatting sqref="M204">
    <cfRule type="cellIs" dxfId="837" priority="915" stopIfTrue="1" operator="greaterThanOrEqual">
      <formula>15</formula>
    </cfRule>
    <cfRule type="cellIs" dxfId="836" priority="916" stopIfTrue="1" operator="between">
      <formula>7</formula>
      <formula>14</formula>
    </cfRule>
    <cfRule type="cellIs" dxfId="835" priority="917" stopIfTrue="1" operator="lessThan">
      <formula>7</formula>
    </cfRule>
  </conditionalFormatting>
  <conditionalFormatting sqref="Q206">
    <cfRule type="cellIs" dxfId="834" priority="911" stopIfTrue="1" operator="greaterThanOrEqual">
      <formula>70</formula>
    </cfRule>
    <cfRule type="cellIs" dxfId="833" priority="912" stopIfTrue="1" operator="between">
      <formula>60</formula>
      <formula>69.999999</formula>
    </cfRule>
    <cfRule type="cellIs" dxfId="832" priority="913" stopIfTrue="1" operator="between">
      <formula>50</formula>
      <formula>59.9999</formula>
    </cfRule>
    <cfRule type="cellIs" dxfId="831" priority="914" stopIfTrue="1" operator="lessThanOrEqual">
      <formula>50</formula>
    </cfRule>
  </conditionalFormatting>
  <conditionalFormatting sqref="M206">
    <cfRule type="cellIs" dxfId="830" priority="908" stopIfTrue="1" operator="greaterThanOrEqual">
      <formula>15</formula>
    </cfRule>
    <cfRule type="cellIs" dxfId="829" priority="909" stopIfTrue="1" operator="between">
      <formula>7</formula>
      <formula>14</formula>
    </cfRule>
    <cfRule type="cellIs" dxfId="828" priority="910" stopIfTrue="1" operator="lessThan">
      <formula>7</formula>
    </cfRule>
  </conditionalFormatting>
  <conditionalFormatting sqref="Q208">
    <cfRule type="cellIs" dxfId="827" priority="904" stopIfTrue="1" operator="greaterThanOrEqual">
      <formula>70</formula>
    </cfRule>
    <cfRule type="cellIs" dxfId="826" priority="905" stopIfTrue="1" operator="between">
      <formula>60</formula>
      <formula>69.999999</formula>
    </cfRule>
    <cfRule type="cellIs" dxfId="825" priority="906" stopIfTrue="1" operator="between">
      <formula>50</formula>
      <formula>59.9999</formula>
    </cfRule>
    <cfRule type="cellIs" dxfId="824" priority="907" stopIfTrue="1" operator="lessThanOrEqual">
      <formula>50</formula>
    </cfRule>
  </conditionalFormatting>
  <conditionalFormatting sqref="M208">
    <cfRule type="cellIs" dxfId="823" priority="901" stopIfTrue="1" operator="greaterThanOrEqual">
      <formula>15</formula>
    </cfRule>
    <cfRule type="cellIs" dxfId="822" priority="902" stopIfTrue="1" operator="between">
      <formula>7</formula>
      <formula>14</formula>
    </cfRule>
    <cfRule type="cellIs" dxfId="821" priority="903" stopIfTrue="1" operator="lessThan">
      <formula>7</formula>
    </cfRule>
  </conditionalFormatting>
  <conditionalFormatting sqref="Q212">
    <cfRule type="cellIs" dxfId="820" priority="890" stopIfTrue="1" operator="greaterThanOrEqual">
      <formula>70</formula>
    </cfRule>
    <cfRule type="cellIs" dxfId="819" priority="891" stopIfTrue="1" operator="between">
      <formula>60</formula>
      <formula>69.999999</formula>
    </cfRule>
    <cfRule type="cellIs" dxfId="818" priority="892" stopIfTrue="1" operator="between">
      <formula>50</formula>
      <formula>59.9999</formula>
    </cfRule>
    <cfRule type="cellIs" dxfId="817" priority="893" stopIfTrue="1" operator="lessThanOrEqual">
      <formula>50</formula>
    </cfRule>
  </conditionalFormatting>
  <conditionalFormatting sqref="M212">
    <cfRule type="cellIs" dxfId="816" priority="887" stopIfTrue="1" operator="greaterThanOrEqual">
      <formula>15</formula>
    </cfRule>
    <cfRule type="cellIs" dxfId="815" priority="888" stopIfTrue="1" operator="between">
      <formula>7</formula>
      <formula>14</formula>
    </cfRule>
    <cfRule type="cellIs" dxfId="814" priority="889" stopIfTrue="1" operator="lessThan">
      <formula>7</formula>
    </cfRule>
  </conditionalFormatting>
  <conditionalFormatting sqref="M225">
    <cfRule type="cellIs" dxfId="813" priority="880" stopIfTrue="1" operator="greaterThanOrEqual">
      <formula>15</formula>
    </cfRule>
    <cfRule type="cellIs" dxfId="812" priority="881" stopIfTrue="1" operator="between">
      <formula>7</formula>
      <formula>14</formula>
    </cfRule>
    <cfRule type="cellIs" dxfId="811" priority="882" stopIfTrue="1" operator="lessThan">
      <formula>7</formula>
    </cfRule>
  </conditionalFormatting>
  <conditionalFormatting sqref="M219">
    <cfRule type="cellIs" dxfId="810" priority="873" stopIfTrue="1" operator="greaterThanOrEqual">
      <formula>15</formula>
    </cfRule>
    <cfRule type="cellIs" dxfId="809" priority="874" stopIfTrue="1" operator="between">
      <formula>7</formula>
      <formula>14</formula>
    </cfRule>
    <cfRule type="cellIs" dxfId="808" priority="875" stopIfTrue="1" operator="lessThan">
      <formula>7</formula>
    </cfRule>
  </conditionalFormatting>
  <conditionalFormatting sqref="Q219">
    <cfRule type="cellIs" dxfId="807" priority="876" stopIfTrue="1" operator="greaterThanOrEqual">
      <formula>70</formula>
    </cfRule>
    <cfRule type="cellIs" dxfId="806" priority="877" stopIfTrue="1" operator="between">
      <formula>60</formula>
      <formula>69.999999</formula>
    </cfRule>
    <cfRule type="cellIs" dxfId="805" priority="878" stopIfTrue="1" operator="between">
      <formula>50</formula>
      <formula>59.9999</formula>
    </cfRule>
    <cfRule type="cellIs" dxfId="804" priority="879" stopIfTrue="1" operator="lessThanOrEqual">
      <formula>50</formula>
    </cfRule>
  </conditionalFormatting>
  <conditionalFormatting sqref="Q217">
    <cfRule type="cellIs" dxfId="803" priority="869" stopIfTrue="1" operator="greaterThanOrEqual">
      <formula>70</formula>
    </cfRule>
    <cfRule type="cellIs" dxfId="802" priority="870" stopIfTrue="1" operator="between">
      <formula>60</formula>
      <formula>69.999999</formula>
    </cfRule>
    <cfRule type="cellIs" dxfId="801" priority="871" stopIfTrue="1" operator="between">
      <formula>50</formula>
      <formula>59.9999</formula>
    </cfRule>
    <cfRule type="cellIs" dxfId="800" priority="872" stopIfTrue="1" operator="lessThanOrEqual">
      <formula>50</formula>
    </cfRule>
  </conditionalFormatting>
  <conditionalFormatting sqref="M217">
    <cfRule type="cellIs" dxfId="799" priority="866" stopIfTrue="1" operator="greaterThanOrEqual">
      <formula>15</formula>
    </cfRule>
    <cfRule type="cellIs" dxfId="798" priority="867" stopIfTrue="1" operator="between">
      <formula>7</formula>
      <formula>14</formula>
    </cfRule>
    <cfRule type="cellIs" dxfId="797" priority="868" stopIfTrue="1" operator="lessThan">
      <formula>7</formula>
    </cfRule>
  </conditionalFormatting>
  <conditionalFormatting sqref="Q215">
    <cfRule type="cellIs" dxfId="796" priority="862" stopIfTrue="1" operator="greaterThanOrEqual">
      <formula>70</formula>
    </cfRule>
    <cfRule type="cellIs" dxfId="795" priority="863" stopIfTrue="1" operator="between">
      <formula>60</formula>
      <formula>69.999999</formula>
    </cfRule>
    <cfRule type="cellIs" dxfId="794" priority="864" stopIfTrue="1" operator="between">
      <formula>50</formula>
      <formula>59.9999</formula>
    </cfRule>
    <cfRule type="cellIs" dxfId="793" priority="865" stopIfTrue="1" operator="lessThanOrEqual">
      <formula>50</formula>
    </cfRule>
  </conditionalFormatting>
  <conditionalFormatting sqref="M215">
    <cfRule type="cellIs" dxfId="792" priority="859" stopIfTrue="1" operator="greaterThanOrEqual">
      <formula>15</formula>
    </cfRule>
    <cfRule type="cellIs" dxfId="791" priority="860" stopIfTrue="1" operator="between">
      <formula>7</formula>
      <formula>14</formula>
    </cfRule>
    <cfRule type="cellIs" dxfId="790" priority="861" stopIfTrue="1" operator="lessThan">
      <formula>7</formula>
    </cfRule>
  </conditionalFormatting>
  <conditionalFormatting sqref="Q35">
    <cfRule type="cellIs" dxfId="789" priority="855" stopIfTrue="1" operator="greaterThanOrEqual">
      <formula>70</formula>
    </cfRule>
    <cfRule type="cellIs" dxfId="788" priority="856" stopIfTrue="1" operator="between">
      <formula>60</formula>
      <formula>69.999999</formula>
    </cfRule>
    <cfRule type="cellIs" dxfId="787" priority="857" stopIfTrue="1" operator="between">
      <formula>50</formula>
      <formula>59.9999</formula>
    </cfRule>
    <cfRule type="cellIs" dxfId="786" priority="858" stopIfTrue="1" operator="lessThanOrEqual">
      <formula>50</formula>
    </cfRule>
  </conditionalFormatting>
  <conditionalFormatting sqref="M35">
    <cfRule type="cellIs" dxfId="785" priority="852" stopIfTrue="1" operator="greaterThanOrEqual">
      <formula>15</formula>
    </cfRule>
    <cfRule type="cellIs" dxfId="784" priority="853" stopIfTrue="1" operator="between">
      <formula>7</formula>
      <formula>14</formula>
    </cfRule>
    <cfRule type="cellIs" dxfId="783" priority="854" stopIfTrue="1" operator="lessThan">
      <formula>7</formula>
    </cfRule>
  </conditionalFormatting>
  <conditionalFormatting sqref="Q53">
    <cfRule type="cellIs" dxfId="782" priority="848" stopIfTrue="1" operator="greaterThanOrEqual">
      <formula>70</formula>
    </cfRule>
    <cfRule type="cellIs" dxfId="781" priority="849" stopIfTrue="1" operator="between">
      <formula>60</formula>
      <formula>69.999999</formula>
    </cfRule>
    <cfRule type="cellIs" dxfId="780" priority="850" stopIfTrue="1" operator="between">
      <formula>50</formula>
      <formula>59.9999</formula>
    </cfRule>
    <cfRule type="cellIs" dxfId="779" priority="851" stopIfTrue="1" operator="lessThanOrEqual">
      <formula>50</formula>
    </cfRule>
  </conditionalFormatting>
  <conditionalFormatting sqref="M53">
    <cfRule type="cellIs" dxfId="778" priority="845" stopIfTrue="1" operator="greaterThanOrEqual">
      <formula>15</formula>
    </cfRule>
    <cfRule type="cellIs" dxfId="777" priority="846" stopIfTrue="1" operator="between">
      <formula>7</formula>
      <formula>14</formula>
    </cfRule>
    <cfRule type="cellIs" dxfId="776" priority="847" stopIfTrue="1" operator="lessThan">
      <formula>7</formula>
    </cfRule>
  </conditionalFormatting>
  <conditionalFormatting sqref="Q56">
    <cfRule type="cellIs" dxfId="775" priority="841" stopIfTrue="1" operator="greaterThanOrEqual">
      <formula>70</formula>
    </cfRule>
    <cfRule type="cellIs" dxfId="774" priority="842" stopIfTrue="1" operator="between">
      <formula>60</formula>
      <formula>69.999999</formula>
    </cfRule>
    <cfRule type="cellIs" dxfId="773" priority="843" stopIfTrue="1" operator="between">
      <formula>50</formula>
      <formula>59.9999</formula>
    </cfRule>
    <cfRule type="cellIs" dxfId="772" priority="844" stopIfTrue="1" operator="lessThanOrEqual">
      <formula>50</formula>
    </cfRule>
  </conditionalFormatting>
  <conditionalFormatting sqref="M56">
    <cfRule type="cellIs" dxfId="771" priority="838" stopIfTrue="1" operator="greaterThanOrEqual">
      <formula>15</formula>
    </cfRule>
    <cfRule type="cellIs" dxfId="770" priority="839" stopIfTrue="1" operator="between">
      <formula>7</formula>
      <formula>14</formula>
    </cfRule>
    <cfRule type="cellIs" dxfId="769" priority="840" stopIfTrue="1" operator="lessThan">
      <formula>7</formula>
    </cfRule>
  </conditionalFormatting>
  <conditionalFormatting sqref="Q210">
    <cfRule type="cellIs" dxfId="768" priority="806" stopIfTrue="1" operator="greaterThanOrEqual">
      <formula>70</formula>
    </cfRule>
    <cfRule type="cellIs" dxfId="767" priority="807" stopIfTrue="1" operator="between">
      <formula>60</formula>
      <formula>69.999999</formula>
    </cfRule>
    <cfRule type="cellIs" dxfId="766" priority="808" stopIfTrue="1" operator="between">
      <formula>50</formula>
      <formula>59.9999</formula>
    </cfRule>
    <cfRule type="cellIs" dxfId="765" priority="809" stopIfTrue="1" operator="lessThanOrEqual">
      <formula>50</formula>
    </cfRule>
  </conditionalFormatting>
  <conditionalFormatting sqref="M130">
    <cfRule type="cellIs" dxfId="764" priority="831" stopIfTrue="1" operator="greaterThanOrEqual">
      <formula>15</formula>
    </cfRule>
    <cfRule type="cellIs" dxfId="763" priority="832" stopIfTrue="1" operator="between">
      <formula>7</formula>
      <formula>14</formula>
    </cfRule>
    <cfRule type="cellIs" dxfId="762" priority="833" stopIfTrue="1" operator="lessThan">
      <formula>7</formula>
    </cfRule>
  </conditionalFormatting>
  <conditionalFormatting sqref="Q136">
    <cfRule type="cellIs" dxfId="761" priority="827" stopIfTrue="1" operator="greaterThanOrEqual">
      <formula>70</formula>
    </cfRule>
    <cfRule type="cellIs" dxfId="760" priority="828" stopIfTrue="1" operator="between">
      <formula>60</formula>
      <formula>69.999999</formula>
    </cfRule>
    <cfRule type="cellIs" dxfId="759" priority="829" stopIfTrue="1" operator="between">
      <formula>50</formula>
      <formula>59.9999</formula>
    </cfRule>
    <cfRule type="cellIs" dxfId="758" priority="830" stopIfTrue="1" operator="lessThanOrEqual">
      <formula>50</formula>
    </cfRule>
  </conditionalFormatting>
  <conditionalFormatting sqref="M136">
    <cfRule type="cellIs" dxfId="757" priority="824" stopIfTrue="1" operator="greaterThanOrEqual">
      <formula>15</formula>
    </cfRule>
    <cfRule type="cellIs" dxfId="756" priority="825" stopIfTrue="1" operator="between">
      <formula>7</formula>
      <formula>14</formula>
    </cfRule>
    <cfRule type="cellIs" dxfId="755" priority="826" stopIfTrue="1" operator="lessThan">
      <formula>7</formula>
    </cfRule>
  </conditionalFormatting>
  <conditionalFormatting sqref="Q144">
    <cfRule type="cellIs" dxfId="754" priority="820" stopIfTrue="1" operator="greaterThanOrEqual">
      <formula>70</formula>
    </cfRule>
    <cfRule type="cellIs" dxfId="753" priority="821" stopIfTrue="1" operator="between">
      <formula>60</formula>
      <formula>69.999999</formula>
    </cfRule>
    <cfRule type="cellIs" dxfId="752" priority="822" stopIfTrue="1" operator="between">
      <formula>50</formula>
      <formula>59.9999</formula>
    </cfRule>
    <cfRule type="cellIs" dxfId="751" priority="823" stopIfTrue="1" operator="lessThanOrEqual">
      <formula>50</formula>
    </cfRule>
  </conditionalFormatting>
  <conditionalFormatting sqref="M144">
    <cfRule type="cellIs" dxfId="750" priority="817" stopIfTrue="1" operator="greaterThanOrEqual">
      <formula>15</formula>
    </cfRule>
    <cfRule type="cellIs" dxfId="749" priority="818" stopIfTrue="1" operator="between">
      <formula>7</formula>
      <formula>14</formula>
    </cfRule>
    <cfRule type="cellIs" dxfId="748" priority="819" stopIfTrue="1" operator="lessThan">
      <formula>7</formula>
    </cfRule>
  </conditionalFormatting>
  <conditionalFormatting sqref="M210">
    <cfRule type="cellIs" dxfId="747" priority="803" stopIfTrue="1" operator="greaterThanOrEqual">
      <formula>15</formula>
    </cfRule>
    <cfRule type="cellIs" dxfId="746" priority="804" stopIfTrue="1" operator="between">
      <formula>7</formula>
      <formula>14</formula>
    </cfRule>
    <cfRule type="cellIs" dxfId="745" priority="805" stopIfTrue="1" operator="lessThan">
      <formula>7</formula>
    </cfRule>
  </conditionalFormatting>
  <conditionalFormatting sqref="Q255">
    <cfRule type="cellIs" dxfId="744" priority="799" stopIfTrue="1" operator="greaterThanOrEqual">
      <formula>70</formula>
    </cfRule>
    <cfRule type="cellIs" dxfId="743" priority="800" stopIfTrue="1" operator="between">
      <formula>60</formula>
      <formula>69.999999</formula>
    </cfRule>
    <cfRule type="cellIs" dxfId="742" priority="801" stopIfTrue="1" operator="between">
      <formula>50</formula>
      <formula>59.9999</formula>
    </cfRule>
    <cfRule type="cellIs" dxfId="741" priority="802" stopIfTrue="1" operator="lessThanOrEqual">
      <formula>50</formula>
    </cfRule>
  </conditionalFormatting>
  <conditionalFormatting sqref="M255">
    <cfRule type="cellIs" dxfId="740" priority="796" stopIfTrue="1" operator="greaterThanOrEqual">
      <formula>15</formula>
    </cfRule>
    <cfRule type="cellIs" dxfId="739" priority="797" stopIfTrue="1" operator="between">
      <formula>7</formula>
      <formula>14</formula>
    </cfRule>
    <cfRule type="cellIs" dxfId="738" priority="798" stopIfTrue="1" operator="lessThan">
      <formula>7</formula>
    </cfRule>
  </conditionalFormatting>
  <conditionalFormatting sqref="M256">
    <cfRule type="cellIs" dxfId="737" priority="789" stopIfTrue="1" operator="greaterThanOrEqual">
      <formula>15</formula>
    </cfRule>
    <cfRule type="cellIs" dxfId="736" priority="790" stopIfTrue="1" operator="between">
      <formula>7</formula>
      <formula>14</formula>
    </cfRule>
    <cfRule type="cellIs" dxfId="735" priority="791" stopIfTrue="1" operator="lessThan">
      <formula>7</formula>
    </cfRule>
  </conditionalFormatting>
  <conditionalFormatting sqref="Q256">
    <cfRule type="cellIs" dxfId="734" priority="792" stopIfTrue="1" operator="greaterThanOrEqual">
      <formula>70</formula>
    </cfRule>
    <cfRule type="cellIs" dxfId="733" priority="793" stopIfTrue="1" operator="between">
      <formula>60</formula>
      <formula>69.999999</formula>
    </cfRule>
    <cfRule type="cellIs" dxfId="732" priority="794" stopIfTrue="1" operator="between">
      <formula>50</formula>
      <formula>59.9999</formula>
    </cfRule>
    <cfRule type="cellIs" dxfId="731" priority="795" stopIfTrue="1" operator="lessThanOrEqual">
      <formula>50</formula>
    </cfRule>
  </conditionalFormatting>
  <conditionalFormatting sqref="M268">
    <cfRule type="cellIs" dxfId="730" priority="782" stopIfTrue="1" operator="greaterThanOrEqual">
      <formula>15</formula>
    </cfRule>
    <cfRule type="cellIs" dxfId="729" priority="783" stopIfTrue="1" operator="between">
      <formula>7</formula>
      <formula>14</formula>
    </cfRule>
    <cfRule type="cellIs" dxfId="728" priority="784" stopIfTrue="1" operator="lessThan">
      <formula>7</formula>
    </cfRule>
  </conditionalFormatting>
  <conditionalFormatting sqref="Q268:Q269">
    <cfRule type="cellIs" dxfId="727" priority="785" stopIfTrue="1" operator="greaterThanOrEqual">
      <formula>70</formula>
    </cfRule>
    <cfRule type="cellIs" dxfId="726" priority="786" stopIfTrue="1" operator="between">
      <formula>60</formula>
      <formula>69.999999</formula>
    </cfRule>
    <cfRule type="cellIs" dxfId="725" priority="787" stopIfTrue="1" operator="between">
      <formula>50</formula>
      <formula>59.9999</formula>
    </cfRule>
    <cfRule type="cellIs" dxfId="724" priority="788" stopIfTrue="1" operator="lessThanOrEqual">
      <formula>50</formula>
    </cfRule>
  </conditionalFormatting>
  <conditionalFormatting sqref="M270">
    <cfRule type="cellIs" dxfId="723" priority="775" stopIfTrue="1" operator="greaterThanOrEqual">
      <formula>15</formula>
    </cfRule>
    <cfRule type="cellIs" dxfId="722" priority="776" stopIfTrue="1" operator="between">
      <formula>7</formula>
      <formula>14</formula>
    </cfRule>
    <cfRule type="cellIs" dxfId="721" priority="777" stopIfTrue="1" operator="lessThan">
      <formula>7</formula>
    </cfRule>
  </conditionalFormatting>
  <conditionalFormatting sqref="Q270">
    <cfRule type="cellIs" dxfId="720" priority="778" stopIfTrue="1" operator="greaterThanOrEqual">
      <formula>70</formula>
    </cfRule>
    <cfRule type="cellIs" dxfId="719" priority="779" stopIfTrue="1" operator="between">
      <formula>60</formula>
      <formula>69.999999</formula>
    </cfRule>
    <cfRule type="cellIs" dxfId="718" priority="780" stopIfTrue="1" operator="between">
      <formula>50</formula>
      <formula>59.9999</formula>
    </cfRule>
    <cfRule type="cellIs" dxfId="717" priority="781" stopIfTrue="1" operator="lessThanOrEqual">
      <formula>50</formula>
    </cfRule>
  </conditionalFormatting>
  <conditionalFormatting sqref="Q32">
    <cfRule type="cellIs" dxfId="716" priority="771" stopIfTrue="1" operator="greaterThanOrEqual">
      <formula>70</formula>
    </cfRule>
    <cfRule type="cellIs" dxfId="715" priority="772" stopIfTrue="1" operator="between">
      <formula>60</formula>
      <formula>69.999999</formula>
    </cfRule>
    <cfRule type="cellIs" dxfId="714" priority="773" stopIfTrue="1" operator="between">
      <formula>50</formula>
      <formula>59.9999</formula>
    </cfRule>
    <cfRule type="cellIs" dxfId="713" priority="774" stopIfTrue="1" operator="lessThanOrEqual">
      <formula>50</formula>
    </cfRule>
  </conditionalFormatting>
  <conditionalFormatting sqref="M32">
    <cfRule type="cellIs" dxfId="712" priority="768" stopIfTrue="1" operator="greaterThanOrEqual">
      <formula>15</formula>
    </cfRule>
    <cfRule type="cellIs" dxfId="711" priority="769" stopIfTrue="1" operator="between">
      <formula>7</formula>
      <formula>14</formula>
    </cfRule>
    <cfRule type="cellIs" dxfId="710" priority="770" stopIfTrue="1" operator="lessThan">
      <formula>7</formula>
    </cfRule>
  </conditionalFormatting>
  <conditionalFormatting sqref="Q146">
    <cfRule type="cellIs" dxfId="709" priority="764" stopIfTrue="1" operator="greaterThanOrEqual">
      <formula>70</formula>
    </cfRule>
    <cfRule type="cellIs" dxfId="708" priority="765" stopIfTrue="1" operator="between">
      <formula>60</formula>
      <formula>69.999999</formula>
    </cfRule>
    <cfRule type="cellIs" dxfId="707" priority="766" stopIfTrue="1" operator="between">
      <formula>50</formula>
      <formula>59.9999</formula>
    </cfRule>
    <cfRule type="cellIs" dxfId="706" priority="767" stopIfTrue="1" operator="lessThanOrEqual">
      <formula>50</formula>
    </cfRule>
  </conditionalFormatting>
  <conditionalFormatting sqref="M146">
    <cfRule type="cellIs" dxfId="705" priority="761" stopIfTrue="1" operator="greaterThanOrEqual">
      <formula>15</formula>
    </cfRule>
    <cfRule type="cellIs" dxfId="704" priority="762" stopIfTrue="1" operator="between">
      <formula>7</formula>
      <formula>14</formula>
    </cfRule>
    <cfRule type="cellIs" dxfId="703" priority="763" stopIfTrue="1" operator="lessThan">
      <formula>7</formula>
    </cfRule>
  </conditionalFormatting>
  <conditionalFormatting sqref="Q227">
    <cfRule type="cellIs" dxfId="702" priority="757" stopIfTrue="1" operator="greaterThanOrEqual">
      <formula>70</formula>
    </cfRule>
    <cfRule type="cellIs" dxfId="701" priority="758" stopIfTrue="1" operator="between">
      <formula>60</formula>
      <formula>69.999999</formula>
    </cfRule>
    <cfRule type="cellIs" dxfId="700" priority="759" stopIfTrue="1" operator="between">
      <formula>50</formula>
      <formula>59.9999</formula>
    </cfRule>
    <cfRule type="cellIs" dxfId="699" priority="760" stopIfTrue="1" operator="lessThanOrEqual">
      <formula>50</formula>
    </cfRule>
  </conditionalFormatting>
  <conditionalFormatting sqref="M227">
    <cfRule type="cellIs" dxfId="698" priority="754" stopIfTrue="1" operator="greaterThanOrEqual">
      <formula>15</formula>
    </cfRule>
    <cfRule type="cellIs" dxfId="697" priority="755" stopIfTrue="1" operator="between">
      <formula>7</formula>
      <formula>14</formula>
    </cfRule>
    <cfRule type="cellIs" dxfId="696" priority="756" stopIfTrue="1" operator="lessThan">
      <formula>7</formula>
    </cfRule>
  </conditionalFormatting>
  <conditionalFormatting sqref="Q246">
    <cfRule type="cellIs" dxfId="695" priority="750" stopIfTrue="1" operator="greaterThanOrEqual">
      <formula>70</formula>
    </cfRule>
    <cfRule type="cellIs" dxfId="694" priority="751" stopIfTrue="1" operator="between">
      <formula>60</formula>
      <formula>69.999999</formula>
    </cfRule>
    <cfRule type="cellIs" dxfId="693" priority="752" stopIfTrue="1" operator="between">
      <formula>50</formula>
      <formula>59.9999</formula>
    </cfRule>
    <cfRule type="cellIs" dxfId="692" priority="753" stopIfTrue="1" operator="lessThanOrEqual">
      <formula>50</formula>
    </cfRule>
  </conditionalFormatting>
  <conditionalFormatting sqref="M246">
    <cfRule type="cellIs" dxfId="691" priority="747" stopIfTrue="1" operator="greaterThanOrEqual">
      <formula>15</formula>
    </cfRule>
    <cfRule type="cellIs" dxfId="690" priority="748" stopIfTrue="1" operator="between">
      <formula>7</formula>
      <formula>14</formula>
    </cfRule>
    <cfRule type="cellIs" dxfId="689" priority="749" stopIfTrue="1" operator="lessThan">
      <formula>7</formula>
    </cfRule>
  </conditionalFormatting>
  <conditionalFormatting sqref="Q250">
    <cfRule type="cellIs" dxfId="688" priority="743" stopIfTrue="1" operator="greaterThanOrEqual">
      <formula>70</formula>
    </cfRule>
    <cfRule type="cellIs" dxfId="687" priority="744" stopIfTrue="1" operator="between">
      <formula>60</formula>
      <formula>69.999999</formula>
    </cfRule>
    <cfRule type="cellIs" dxfId="686" priority="745" stopIfTrue="1" operator="between">
      <formula>50</formula>
      <formula>59.9999</formula>
    </cfRule>
    <cfRule type="cellIs" dxfId="685" priority="746" stopIfTrue="1" operator="lessThanOrEqual">
      <formula>50</formula>
    </cfRule>
  </conditionalFormatting>
  <conditionalFormatting sqref="M250">
    <cfRule type="cellIs" dxfId="684" priority="740" stopIfTrue="1" operator="greaterThanOrEqual">
      <formula>15</formula>
    </cfRule>
    <cfRule type="cellIs" dxfId="683" priority="741" stopIfTrue="1" operator="between">
      <formula>7</formula>
      <formula>14</formula>
    </cfRule>
    <cfRule type="cellIs" dxfId="682" priority="742" stopIfTrue="1" operator="lessThan">
      <formula>7</formula>
    </cfRule>
  </conditionalFormatting>
  <conditionalFormatting sqref="Q252">
    <cfRule type="cellIs" dxfId="681" priority="736" stopIfTrue="1" operator="greaterThanOrEqual">
      <formula>70</formula>
    </cfRule>
    <cfRule type="cellIs" dxfId="680" priority="737" stopIfTrue="1" operator="between">
      <formula>60</formula>
      <formula>69.999999</formula>
    </cfRule>
    <cfRule type="cellIs" dxfId="679" priority="738" stopIfTrue="1" operator="between">
      <formula>50</formula>
      <formula>59.9999</formula>
    </cfRule>
    <cfRule type="cellIs" dxfId="678" priority="739" stopIfTrue="1" operator="lessThanOrEqual">
      <formula>50</formula>
    </cfRule>
  </conditionalFormatting>
  <conditionalFormatting sqref="M252">
    <cfRule type="cellIs" dxfId="677" priority="733" stopIfTrue="1" operator="greaterThanOrEqual">
      <formula>15</formula>
    </cfRule>
    <cfRule type="cellIs" dxfId="676" priority="734" stopIfTrue="1" operator="between">
      <formula>7</formula>
      <formula>14</formula>
    </cfRule>
    <cfRule type="cellIs" dxfId="675" priority="735" stopIfTrue="1" operator="lessThan">
      <formula>7</formula>
    </cfRule>
  </conditionalFormatting>
  <conditionalFormatting sqref="Q243:Q244">
    <cfRule type="cellIs" dxfId="674" priority="729" stopIfTrue="1" operator="greaterThanOrEqual">
      <formula>70</formula>
    </cfRule>
    <cfRule type="cellIs" dxfId="673" priority="730" stopIfTrue="1" operator="between">
      <formula>60</formula>
      <formula>69.999999</formula>
    </cfRule>
    <cfRule type="cellIs" dxfId="672" priority="731" stopIfTrue="1" operator="between">
      <formula>50</formula>
      <formula>59.9999</formula>
    </cfRule>
    <cfRule type="cellIs" dxfId="671" priority="732" stopIfTrue="1" operator="lessThanOrEqual">
      <formula>50</formula>
    </cfRule>
  </conditionalFormatting>
  <conditionalFormatting sqref="M243:M244">
    <cfRule type="cellIs" dxfId="670" priority="726" stopIfTrue="1" operator="greaterThanOrEqual">
      <formula>15</formula>
    </cfRule>
    <cfRule type="cellIs" dxfId="669" priority="727" stopIfTrue="1" operator="between">
      <formula>7</formula>
      <formula>14</formula>
    </cfRule>
    <cfRule type="cellIs" dxfId="668" priority="728" stopIfTrue="1" operator="lessThan">
      <formula>7</formula>
    </cfRule>
  </conditionalFormatting>
  <conditionalFormatting sqref="Q338:Q339">
    <cfRule type="cellIs" dxfId="667" priority="722" stopIfTrue="1" operator="greaterThanOrEqual">
      <formula>70</formula>
    </cfRule>
    <cfRule type="cellIs" dxfId="666" priority="723" stopIfTrue="1" operator="between">
      <formula>60</formula>
      <formula>69.999999</formula>
    </cfRule>
    <cfRule type="cellIs" dxfId="665" priority="724" stopIfTrue="1" operator="between">
      <formula>50</formula>
      <formula>59.9999</formula>
    </cfRule>
    <cfRule type="cellIs" dxfId="664" priority="725" stopIfTrue="1" operator="lessThanOrEqual">
      <formula>50</formula>
    </cfRule>
  </conditionalFormatting>
  <conditionalFormatting sqref="M338:M339">
    <cfRule type="cellIs" dxfId="663" priority="719" stopIfTrue="1" operator="greaterThanOrEqual">
      <formula>15</formula>
    </cfRule>
    <cfRule type="cellIs" dxfId="662" priority="720" stopIfTrue="1" operator="between">
      <formula>7</formula>
      <formula>14</formula>
    </cfRule>
    <cfRule type="cellIs" dxfId="661" priority="721" stopIfTrue="1" operator="lessThan">
      <formula>7</formula>
    </cfRule>
  </conditionalFormatting>
  <conditionalFormatting sqref="Q282:Q283">
    <cfRule type="cellIs" dxfId="660" priority="715" stopIfTrue="1" operator="greaterThanOrEqual">
      <formula>70</formula>
    </cfRule>
    <cfRule type="cellIs" dxfId="659" priority="716" stopIfTrue="1" operator="between">
      <formula>60</formula>
      <formula>69.999999</formula>
    </cfRule>
    <cfRule type="cellIs" dxfId="658" priority="717" stopIfTrue="1" operator="between">
      <formula>50</formula>
      <formula>59.9999</formula>
    </cfRule>
    <cfRule type="cellIs" dxfId="657" priority="718" stopIfTrue="1" operator="lessThanOrEqual">
      <formula>50</formula>
    </cfRule>
  </conditionalFormatting>
  <conditionalFormatting sqref="M282:M283">
    <cfRule type="cellIs" dxfId="656" priority="712" stopIfTrue="1" operator="greaterThanOrEqual">
      <formula>15</formula>
    </cfRule>
    <cfRule type="cellIs" dxfId="655" priority="713" stopIfTrue="1" operator="between">
      <formula>7</formula>
      <formula>14</formula>
    </cfRule>
    <cfRule type="cellIs" dxfId="654" priority="714" stopIfTrue="1" operator="lessThan">
      <formula>7</formula>
    </cfRule>
  </conditionalFormatting>
  <conditionalFormatting sqref="Q289">
    <cfRule type="cellIs" dxfId="653" priority="708" stopIfTrue="1" operator="greaterThanOrEqual">
      <formula>70</formula>
    </cfRule>
    <cfRule type="cellIs" dxfId="652" priority="709" stopIfTrue="1" operator="between">
      <formula>60</formula>
      <formula>69.999999</formula>
    </cfRule>
    <cfRule type="cellIs" dxfId="651" priority="710" stopIfTrue="1" operator="between">
      <formula>50</formula>
      <formula>59.9999</formula>
    </cfRule>
    <cfRule type="cellIs" dxfId="650" priority="711" stopIfTrue="1" operator="lessThanOrEqual">
      <formula>50</formula>
    </cfRule>
  </conditionalFormatting>
  <conditionalFormatting sqref="M289">
    <cfRule type="cellIs" dxfId="649" priority="705" stopIfTrue="1" operator="greaterThanOrEqual">
      <formula>15</formula>
    </cfRule>
    <cfRule type="cellIs" dxfId="648" priority="706" stopIfTrue="1" operator="between">
      <formula>7</formula>
      <formula>14</formula>
    </cfRule>
    <cfRule type="cellIs" dxfId="647" priority="707" stopIfTrue="1" operator="lessThan">
      <formula>7</formula>
    </cfRule>
  </conditionalFormatting>
  <conditionalFormatting sqref="Q288">
    <cfRule type="cellIs" dxfId="646" priority="701" stopIfTrue="1" operator="greaterThanOrEqual">
      <formula>70</formula>
    </cfRule>
    <cfRule type="cellIs" dxfId="645" priority="702" stopIfTrue="1" operator="between">
      <formula>60</formula>
      <formula>69.999999</formula>
    </cfRule>
    <cfRule type="cellIs" dxfId="644" priority="703" stopIfTrue="1" operator="between">
      <formula>50</formula>
      <formula>59.9999</formula>
    </cfRule>
    <cfRule type="cellIs" dxfId="643" priority="704" stopIfTrue="1" operator="lessThanOrEqual">
      <formula>50</formula>
    </cfRule>
  </conditionalFormatting>
  <conditionalFormatting sqref="M288">
    <cfRule type="cellIs" dxfId="642" priority="698" stopIfTrue="1" operator="greaterThanOrEqual">
      <formula>15</formula>
    </cfRule>
    <cfRule type="cellIs" dxfId="641" priority="699" stopIfTrue="1" operator="between">
      <formula>7</formula>
      <formula>14</formula>
    </cfRule>
    <cfRule type="cellIs" dxfId="640" priority="700" stopIfTrue="1" operator="lessThan">
      <formula>7</formula>
    </cfRule>
  </conditionalFormatting>
  <conditionalFormatting sqref="Q288:Q289">
    <cfRule type="cellIs" dxfId="639" priority="694" stopIfTrue="1" operator="greaterThanOrEqual">
      <formula>70</formula>
    </cfRule>
    <cfRule type="cellIs" dxfId="638" priority="695" stopIfTrue="1" operator="between">
      <formula>60</formula>
      <formula>69.999999</formula>
    </cfRule>
    <cfRule type="cellIs" dxfId="637" priority="696" stopIfTrue="1" operator="between">
      <formula>50</formula>
      <formula>59.9999</formula>
    </cfRule>
    <cfRule type="cellIs" dxfId="636" priority="697" stopIfTrue="1" operator="lessThanOrEqual">
      <formula>50</formula>
    </cfRule>
  </conditionalFormatting>
  <conditionalFormatting sqref="M288:M289">
    <cfRule type="cellIs" dxfId="635" priority="691" stopIfTrue="1" operator="greaterThanOrEqual">
      <formula>15</formula>
    </cfRule>
    <cfRule type="cellIs" dxfId="634" priority="692" stopIfTrue="1" operator="between">
      <formula>7</formula>
      <formula>14</formula>
    </cfRule>
    <cfRule type="cellIs" dxfId="633" priority="693" stopIfTrue="1" operator="lessThan">
      <formula>7</formula>
    </cfRule>
  </conditionalFormatting>
  <conditionalFormatting sqref="Q386">
    <cfRule type="cellIs" dxfId="632" priority="687" stopIfTrue="1" operator="greaterThanOrEqual">
      <formula>70</formula>
    </cfRule>
    <cfRule type="cellIs" dxfId="631" priority="688" stopIfTrue="1" operator="between">
      <formula>60</formula>
      <formula>69.999999</formula>
    </cfRule>
    <cfRule type="cellIs" dxfId="630" priority="689" stopIfTrue="1" operator="between">
      <formula>50</formula>
      <formula>59.9999</formula>
    </cfRule>
    <cfRule type="cellIs" dxfId="629" priority="690" stopIfTrue="1" operator="lessThanOrEqual">
      <formula>50</formula>
    </cfRule>
  </conditionalFormatting>
  <conditionalFormatting sqref="M386">
    <cfRule type="cellIs" dxfId="628" priority="684" stopIfTrue="1" operator="greaterThanOrEqual">
      <formula>15</formula>
    </cfRule>
    <cfRule type="cellIs" dxfId="627" priority="685" stopIfTrue="1" operator="between">
      <formula>7</formula>
      <formula>14</formula>
    </cfRule>
    <cfRule type="cellIs" dxfId="626" priority="686" stopIfTrue="1" operator="lessThan">
      <formula>7</formula>
    </cfRule>
  </conditionalFormatting>
  <conditionalFormatting sqref="Q369">
    <cfRule type="cellIs" dxfId="625" priority="680" stopIfTrue="1" operator="greaterThanOrEqual">
      <formula>70</formula>
    </cfRule>
    <cfRule type="cellIs" dxfId="624" priority="681" stopIfTrue="1" operator="between">
      <formula>60</formula>
      <formula>69.999999</formula>
    </cfRule>
    <cfRule type="cellIs" dxfId="623" priority="682" stopIfTrue="1" operator="between">
      <formula>50</formula>
      <formula>59.9999</formula>
    </cfRule>
    <cfRule type="cellIs" dxfId="622" priority="683" stopIfTrue="1" operator="lessThanOrEqual">
      <formula>50</formula>
    </cfRule>
  </conditionalFormatting>
  <conditionalFormatting sqref="M369">
    <cfRule type="cellIs" dxfId="621" priority="677" stopIfTrue="1" operator="greaterThanOrEqual">
      <formula>15</formula>
    </cfRule>
    <cfRule type="cellIs" dxfId="620" priority="678" stopIfTrue="1" operator="between">
      <formula>7</formula>
      <formula>14</formula>
    </cfRule>
    <cfRule type="cellIs" dxfId="619" priority="679" stopIfTrue="1" operator="lessThan">
      <formula>7</formula>
    </cfRule>
  </conditionalFormatting>
  <conditionalFormatting sqref="Q370">
    <cfRule type="cellIs" dxfId="618" priority="673" stopIfTrue="1" operator="greaterThanOrEqual">
      <formula>70</formula>
    </cfRule>
    <cfRule type="cellIs" dxfId="617" priority="674" stopIfTrue="1" operator="between">
      <formula>60</formula>
      <formula>69.999999</formula>
    </cfRule>
    <cfRule type="cellIs" dxfId="616" priority="675" stopIfTrue="1" operator="between">
      <formula>50</formula>
      <formula>59.9999</formula>
    </cfRule>
    <cfRule type="cellIs" dxfId="615" priority="676" stopIfTrue="1" operator="lessThanOrEqual">
      <formula>50</formula>
    </cfRule>
  </conditionalFormatting>
  <conditionalFormatting sqref="M370">
    <cfRule type="cellIs" dxfId="614" priority="670" stopIfTrue="1" operator="greaterThanOrEqual">
      <formula>15</formula>
    </cfRule>
    <cfRule type="cellIs" dxfId="613" priority="671" stopIfTrue="1" operator="between">
      <formula>7</formula>
      <formula>14</formula>
    </cfRule>
    <cfRule type="cellIs" dxfId="612" priority="672" stopIfTrue="1" operator="lessThan">
      <formula>7</formula>
    </cfRule>
  </conditionalFormatting>
  <conditionalFormatting sqref="Q365">
    <cfRule type="cellIs" dxfId="611" priority="666" stopIfTrue="1" operator="greaterThanOrEqual">
      <formula>70</formula>
    </cfRule>
    <cfRule type="cellIs" dxfId="610" priority="667" stopIfTrue="1" operator="between">
      <formula>60</formula>
      <formula>69.999999</formula>
    </cfRule>
    <cfRule type="cellIs" dxfId="609" priority="668" stopIfTrue="1" operator="between">
      <formula>50</formula>
      <formula>59.9999</formula>
    </cfRule>
    <cfRule type="cellIs" dxfId="608" priority="669" stopIfTrue="1" operator="lessThanOrEqual">
      <formula>50</formula>
    </cfRule>
  </conditionalFormatting>
  <conditionalFormatting sqref="M365">
    <cfRule type="cellIs" dxfId="607" priority="663" stopIfTrue="1" operator="greaterThanOrEqual">
      <formula>15</formula>
    </cfRule>
    <cfRule type="cellIs" dxfId="606" priority="664" stopIfTrue="1" operator="between">
      <formula>7</formula>
      <formula>14</formula>
    </cfRule>
    <cfRule type="cellIs" dxfId="605" priority="665" stopIfTrue="1" operator="lessThan">
      <formula>7</formula>
    </cfRule>
  </conditionalFormatting>
  <conditionalFormatting sqref="Q366">
    <cfRule type="cellIs" dxfId="604" priority="659" stopIfTrue="1" operator="greaterThanOrEqual">
      <formula>70</formula>
    </cfRule>
    <cfRule type="cellIs" dxfId="603" priority="660" stopIfTrue="1" operator="between">
      <formula>60</formula>
      <formula>69.999999</formula>
    </cfRule>
    <cfRule type="cellIs" dxfId="602" priority="661" stopIfTrue="1" operator="between">
      <formula>50</formula>
      <formula>59.9999</formula>
    </cfRule>
    <cfRule type="cellIs" dxfId="601" priority="662" stopIfTrue="1" operator="lessThanOrEqual">
      <formula>50</formula>
    </cfRule>
  </conditionalFormatting>
  <conditionalFormatting sqref="M366">
    <cfRule type="cellIs" dxfId="600" priority="656" stopIfTrue="1" operator="greaterThanOrEqual">
      <formula>15</formula>
    </cfRule>
    <cfRule type="cellIs" dxfId="599" priority="657" stopIfTrue="1" operator="between">
      <formula>7</formula>
      <formula>14</formula>
    </cfRule>
    <cfRule type="cellIs" dxfId="598" priority="658" stopIfTrue="1" operator="lessThan">
      <formula>7</formula>
    </cfRule>
  </conditionalFormatting>
  <conditionalFormatting sqref="Q358">
    <cfRule type="cellIs" dxfId="597" priority="652" stopIfTrue="1" operator="greaterThanOrEqual">
      <formula>70</formula>
    </cfRule>
    <cfRule type="cellIs" dxfId="596" priority="653" stopIfTrue="1" operator="between">
      <formula>60</formula>
      <formula>69.999999</formula>
    </cfRule>
    <cfRule type="cellIs" dxfId="595" priority="654" stopIfTrue="1" operator="between">
      <formula>50</formula>
      <formula>59.9999</formula>
    </cfRule>
    <cfRule type="cellIs" dxfId="594" priority="655" stopIfTrue="1" operator="lessThanOrEqual">
      <formula>50</formula>
    </cfRule>
  </conditionalFormatting>
  <conditionalFormatting sqref="M358">
    <cfRule type="cellIs" dxfId="593" priority="649" stopIfTrue="1" operator="greaterThanOrEqual">
      <formula>15</formula>
    </cfRule>
    <cfRule type="cellIs" dxfId="592" priority="650" stopIfTrue="1" operator="between">
      <formula>7</formula>
      <formula>14</formula>
    </cfRule>
    <cfRule type="cellIs" dxfId="591" priority="651" stopIfTrue="1" operator="lessThan">
      <formula>7</formula>
    </cfRule>
  </conditionalFormatting>
  <conditionalFormatting sqref="Q359">
    <cfRule type="cellIs" dxfId="590" priority="645" stopIfTrue="1" operator="greaterThanOrEqual">
      <formula>70</formula>
    </cfRule>
    <cfRule type="cellIs" dxfId="589" priority="646" stopIfTrue="1" operator="between">
      <formula>60</formula>
      <formula>69.999999</formula>
    </cfRule>
    <cfRule type="cellIs" dxfId="588" priority="647" stopIfTrue="1" operator="between">
      <formula>50</formula>
      <formula>59.9999</formula>
    </cfRule>
    <cfRule type="cellIs" dxfId="587" priority="648" stopIfTrue="1" operator="lessThanOrEqual">
      <formula>50</formula>
    </cfRule>
  </conditionalFormatting>
  <conditionalFormatting sqref="M359">
    <cfRule type="cellIs" dxfId="586" priority="642" stopIfTrue="1" operator="greaterThanOrEqual">
      <formula>15</formula>
    </cfRule>
    <cfRule type="cellIs" dxfId="585" priority="643" stopIfTrue="1" operator="between">
      <formula>7</formula>
      <formula>14</formula>
    </cfRule>
    <cfRule type="cellIs" dxfId="584" priority="644" stopIfTrue="1" operator="lessThan">
      <formula>7</formula>
    </cfRule>
  </conditionalFormatting>
  <conditionalFormatting sqref="Q384">
    <cfRule type="cellIs" dxfId="583" priority="638" stopIfTrue="1" operator="greaterThanOrEqual">
      <formula>70</formula>
    </cfRule>
    <cfRule type="cellIs" dxfId="582" priority="639" stopIfTrue="1" operator="between">
      <formula>60</formula>
      <formula>69.999999</formula>
    </cfRule>
    <cfRule type="cellIs" dxfId="581" priority="640" stopIfTrue="1" operator="between">
      <formula>50</formula>
      <formula>59.9999</formula>
    </cfRule>
    <cfRule type="cellIs" dxfId="580" priority="641" stopIfTrue="1" operator="lessThanOrEqual">
      <formula>50</formula>
    </cfRule>
  </conditionalFormatting>
  <conditionalFormatting sqref="M384">
    <cfRule type="cellIs" dxfId="579" priority="635" stopIfTrue="1" operator="greaterThanOrEqual">
      <formula>15</formula>
    </cfRule>
    <cfRule type="cellIs" dxfId="578" priority="636" stopIfTrue="1" operator="between">
      <formula>7</formula>
      <formula>14</formula>
    </cfRule>
    <cfRule type="cellIs" dxfId="577" priority="637" stopIfTrue="1" operator="lessThan">
      <formula>7</formula>
    </cfRule>
  </conditionalFormatting>
  <conditionalFormatting sqref="Q385">
    <cfRule type="cellIs" dxfId="576" priority="631" stopIfTrue="1" operator="greaterThanOrEqual">
      <formula>70</formula>
    </cfRule>
    <cfRule type="cellIs" dxfId="575" priority="632" stopIfTrue="1" operator="between">
      <formula>60</formula>
      <formula>69.999999</formula>
    </cfRule>
    <cfRule type="cellIs" dxfId="574" priority="633" stopIfTrue="1" operator="between">
      <formula>50</formula>
      <formula>59.9999</formula>
    </cfRule>
    <cfRule type="cellIs" dxfId="573" priority="634" stopIfTrue="1" operator="lessThanOrEqual">
      <formula>50</formula>
    </cfRule>
  </conditionalFormatting>
  <conditionalFormatting sqref="M385">
    <cfRule type="cellIs" dxfId="572" priority="628" stopIfTrue="1" operator="greaterThanOrEqual">
      <formula>15</formula>
    </cfRule>
    <cfRule type="cellIs" dxfId="571" priority="629" stopIfTrue="1" operator="between">
      <formula>7</formula>
      <formula>14</formula>
    </cfRule>
    <cfRule type="cellIs" dxfId="570" priority="630" stopIfTrue="1" operator="lessThan">
      <formula>7</formula>
    </cfRule>
  </conditionalFormatting>
  <conditionalFormatting sqref="Q373">
    <cfRule type="cellIs" dxfId="569" priority="624" stopIfTrue="1" operator="greaterThanOrEqual">
      <formula>70</formula>
    </cfRule>
    <cfRule type="cellIs" dxfId="568" priority="625" stopIfTrue="1" operator="between">
      <formula>60</formula>
      <formula>69.999999</formula>
    </cfRule>
    <cfRule type="cellIs" dxfId="567" priority="626" stopIfTrue="1" operator="between">
      <formula>50</formula>
      <formula>59.9999</formula>
    </cfRule>
    <cfRule type="cellIs" dxfId="566" priority="627" stopIfTrue="1" operator="lessThanOrEqual">
      <formula>50</formula>
    </cfRule>
  </conditionalFormatting>
  <conditionalFormatting sqref="M373">
    <cfRule type="cellIs" dxfId="565" priority="621" stopIfTrue="1" operator="greaterThanOrEqual">
      <formula>15</formula>
    </cfRule>
    <cfRule type="cellIs" dxfId="564" priority="622" stopIfTrue="1" operator="between">
      <formula>7</formula>
      <formula>14</formula>
    </cfRule>
    <cfRule type="cellIs" dxfId="563" priority="623" stopIfTrue="1" operator="lessThan">
      <formula>7</formula>
    </cfRule>
  </conditionalFormatting>
  <conditionalFormatting sqref="Q374">
    <cfRule type="cellIs" dxfId="562" priority="617" stopIfTrue="1" operator="greaterThanOrEqual">
      <formula>70</formula>
    </cfRule>
    <cfRule type="cellIs" dxfId="561" priority="618" stopIfTrue="1" operator="between">
      <formula>60</formula>
      <formula>69.999999</formula>
    </cfRule>
    <cfRule type="cellIs" dxfId="560" priority="619" stopIfTrue="1" operator="between">
      <formula>50</formula>
      <formula>59.9999</formula>
    </cfRule>
    <cfRule type="cellIs" dxfId="559" priority="620" stopIfTrue="1" operator="lessThanOrEqual">
      <formula>50</formula>
    </cfRule>
  </conditionalFormatting>
  <conditionalFormatting sqref="M374">
    <cfRule type="cellIs" dxfId="558" priority="614" stopIfTrue="1" operator="greaterThanOrEqual">
      <formula>15</formula>
    </cfRule>
    <cfRule type="cellIs" dxfId="557" priority="615" stopIfTrue="1" operator="between">
      <formula>7</formula>
      <formula>14</formula>
    </cfRule>
    <cfRule type="cellIs" dxfId="556" priority="616" stopIfTrue="1" operator="lessThan">
      <formula>7</formula>
    </cfRule>
  </conditionalFormatting>
  <conditionalFormatting sqref="Q371">
    <cfRule type="cellIs" dxfId="555" priority="610" stopIfTrue="1" operator="greaterThanOrEqual">
      <formula>70</formula>
    </cfRule>
    <cfRule type="cellIs" dxfId="554" priority="611" stopIfTrue="1" operator="between">
      <formula>60</formula>
      <formula>69.999999</formula>
    </cfRule>
    <cfRule type="cellIs" dxfId="553" priority="612" stopIfTrue="1" operator="between">
      <formula>50</formula>
      <formula>59.9999</formula>
    </cfRule>
    <cfRule type="cellIs" dxfId="552" priority="613" stopIfTrue="1" operator="lessThanOrEqual">
      <formula>50</formula>
    </cfRule>
  </conditionalFormatting>
  <conditionalFormatting sqref="M371">
    <cfRule type="cellIs" dxfId="551" priority="607" stopIfTrue="1" operator="greaterThanOrEqual">
      <formula>15</formula>
    </cfRule>
    <cfRule type="cellIs" dxfId="550" priority="608" stopIfTrue="1" operator="between">
      <formula>7</formula>
      <formula>14</formula>
    </cfRule>
    <cfRule type="cellIs" dxfId="549" priority="609" stopIfTrue="1" operator="lessThan">
      <formula>7</formula>
    </cfRule>
  </conditionalFormatting>
  <conditionalFormatting sqref="Q372">
    <cfRule type="cellIs" dxfId="548" priority="603" stopIfTrue="1" operator="greaterThanOrEqual">
      <formula>70</formula>
    </cfRule>
    <cfRule type="cellIs" dxfId="547" priority="604" stopIfTrue="1" operator="between">
      <formula>60</formula>
      <formula>69.999999</formula>
    </cfRule>
    <cfRule type="cellIs" dxfId="546" priority="605" stopIfTrue="1" operator="between">
      <formula>50</formula>
      <formula>59.9999</formula>
    </cfRule>
    <cfRule type="cellIs" dxfId="545" priority="606" stopIfTrue="1" operator="lessThanOrEqual">
      <formula>50</formula>
    </cfRule>
  </conditionalFormatting>
  <conditionalFormatting sqref="M372">
    <cfRule type="cellIs" dxfId="544" priority="600" stopIfTrue="1" operator="greaterThanOrEqual">
      <formula>15</formula>
    </cfRule>
    <cfRule type="cellIs" dxfId="543" priority="601" stopIfTrue="1" operator="between">
      <formula>7</formula>
      <formula>14</formula>
    </cfRule>
    <cfRule type="cellIs" dxfId="542" priority="602" stopIfTrue="1" operator="lessThan">
      <formula>7</formula>
    </cfRule>
  </conditionalFormatting>
  <conditionalFormatting sqref="Q387">
    <cfRule type="cellIs" dxfId="541" priority="596" stopIfTrue="1" operator="greaterThanOrEqual">
      <formula>70</formula>
    </cfRule>
    <cfRule type="cellIs" dxfId="540" priority="597" stopIfTrue="1" operator="between">
      <formula>60</formula>
      <formula>69.999999</formula>
    </cfRule>
    <cfRule type="cellIs" dxfId="539" priority="598" stopIfTrue="1" operator="between">
      <formula>50</formula>
      <formula>59.9999</formula>
    </cfRule>
    <cfRule type="cellIs" dxfId="538" priority="599" stopIfTrue="1" operator="lessThanOrEqual">
      <formula>50</formula>
    </cfRule>
  </conditionalFormatting>
  <conditionalFormatting sqref="M387">
    <cfRule type="cellIs" dxfId="537" priority="593" stopIfTrue="1" operator="greaterThanOrEqual">
      <formula>15</formula>
    </cfRule>
    <cfRule type="cellIs" dxfId="536" priority="594" stopIfTrue="1" operator="between">
      <formula>7</formula>
      <formula>14</formula>
    </cfRule>
    <cfRule type="cellIs" dxfId="535" priority="595" stopIfTrue="1" operator="lessThan">
      <formula>7</formula>
    </cfRule>
  </conditionalFormatting>
  <conditionalFormatting sqref="Q388">
    <cfRule type="cellIs" dxfId="534" priority="589" stopIfTrue="1" operator="greaterThanOrEqual">
      <formula>70</formula>
    </cfRule>
    <cfRule type="cellIs" dxfId="533" priority="590" stopIfTrue="1" operator="between">
      <formula>60</formula>
      <formula>69.999999</formula>
    </cfRule>
    <cfRule type="cellIs" dxfId="532" priority="591" stopIfTrue="1" operator="between">
      <formula>50</formula>
      <formula>59.9999</formula>
    </cfRule>
    <cfRule type="cellIs" dxfId="531" priority="592" stopIfTrue="1" operator="lessThanOrEqual">
      <formula>50</formula>
    </cfRule>
  </conditionalFormatting>
  <conditionalFormatting sqref="M388">
    <cfRule type="cellIs" dxfId="530" priority="586" stopIfTrue="1" operator="greaterThanOrEqual">
      <formula>15</formula>
    </cfRule>
    <cfRule type="cellIs" dxfId="529" priority="587" stopIfTrue="1" operator="between">
      <formula>7</formula>
      <formula>14</formula>
    </cfRule>
    <cfRule type="cellIs" dxfId="528" priority="588" stopIfTrue="1" operator="lessThan">
      <formula>7</formula>
    </cfRule>
  </conditionalFormatting>
  <conditionalFormatting sqref="Q389">
    <cfRule type="cellIs" dxfId="527" priority="582" stopIfTrue="1" operator="greaterThanOrEqual">
      <formula>70</formula>
    </cfRule>
    <cfRule type="cellIs" dxfId="526" priority="583" stopIfTrue="1" operator="between">
      <formula>60</formula>
      <formula>69.999999</formula>
    </cfRule>
    <cfRule type="cellIs" dxfId="525" priority="584" stopIfTrue="1" operator="between">
      <formula>50</formula>
      <formula>59.9999</formula>
    </cfRule>
    <cfRule type="cellIs" dxfId="524" priority="585" stopIfTrue="1" operator="lessThanOrEqual">
      <formula>50</formula>
    </cfRule>
  </conditionalFormatting>
  <conditionalFormatting sqref="M389">
    <cfRule type="cellIs" dxfId="523" priority="579" stopIfTrue="1" operator="greaterThanOrEqual">
      <formula>15</formula>
    </cfRule>
    <cfRule type="cellIs" dxfId="522" priority="580" stopIfTrue="1" operator="between">
      <formula>7</formula>
      <formula>14</formula>
    </cfRule>
    <cfRule type="cellIs" dxfId="521" priority="581" stopIfTrue="1" operator="lessThan">
      <formula>7</formula>
    </cfRule>
  </conditionalFormatting>
  <conditionalFormatting sqref="M383">
    <cfRule type="cellIs" dxfId="520" priority="558" stopIfTrue="1" operator="greaterThanOrEqual">
      <formula>15</formula>
    </cfRule>
    <cfRule type="cellIs" dxfId="519" priority="559" stopIfTrue="1" operator="between">
      <formula>7</formula>
      <formula>14</formula>
    </cfRule>
    <cfRule type="cellIs" dxfId="518" priority="560" stopIfTrue="1" operator="lessThan">
      <formula>7</formula>
    </cfRule>
  </conditionalFormatting>
  <conditionalFormatting sqref="M368">
    <cfRule type="cellIs" dxfId="517" priority="509" stopIfTrue="1" operator="greaterThanOrEqual">
      <formula>15</formula>
    </cfRule>
    <cfRule type="cellIs" dxfId="516" priority="510" stopIfTrue="1" operator="between">
      <formula>7</formula>
      <formula>14</formula>
    </cfRule>
    <cfRule type="cellIs" dxfId="515" priority="511" stopIfTrue="1" operator="lessThan">
      <formula>7</formula>
    </cfRule>
  </conditionalFormatting>
  <conditionalFormatting sqref="M337">
    <cfRule type="cellIs" dxfId="514" priority="424" stopIfTrue="1" operator="greaterThanOrEqual">
      <formula>15</formula>
    </cfRule>
    <cfRule type="cellIs" dxfId="513" priority="425" stopIfTrue="1" operator="between">
      <formula>7</formula>
      <formula>14</formula>
    </cfRule>
    <cfRule type="cellIs" dxfId="512" priority="426" stopIfTrue="1" operator="lessThan">
      <formula>7</formula>
    </cfRule>
  </conditionalFormatting>
  <conditionalFormatting sqref="M313">
    <cfRule type="cellIs" dxfId="511" priority="407" stopIfTrue="1" operator="greaterThanOrEqual">
      <formula>15</formula>
    </cfRule>
    <cfRule type="cellIs" dxfId="510" priority="408" stopIfTrue="1" operator="between">
      <formula>7</formula>
      <formula>14</formula>
    </cfRule>
    <cfRule type="cellIs" dxfId="509" priority="409" stopIfTrue="1" operator="lessThan">
      <formula>7</formula>
    </cfRule>
  </conditionalFormatting>
  <conditionalFormatting sqref="Q381">
    <cfRule type="cellIs" dxfId="508" priority="575" stopIfTrue="1" operator="greaterThanOrEqual">
      <formula>70</formula>
    </cfRule>
    <cfRule type="cellIs" dxfId="507" priority="576" stopIfTrue="1" operator="between">
      <formula>60</formula>
      <formula>69.999999</formula>
    </cfRule>
    <cfRule type="cellIs" dxfId="506" priority="577" stopIfTrue="1" operator="between">
      <formula>50</formula>
      <formula>59.9999</formula>
    </cfRule>
    <cfRule type="cellIs" dxfId="505" priority="578" stopIfTrue="1" operator="lessThanOrEqual">
      <formula>50</formula>
    </cfRule>
  </conditionalFormatting>
  <conditionalFormatting sqref="M381">
    <cfRule type="cellIs" dxfId="504" priority="572" stopIfTrue="1" operator="greaterThanOrEqual">
      <formula>15</formula>
    </cfRule>
    <cfRule type="cellIs" dxfId="503" priority="573" stopIfTrue="1" operator="between">
      <formula>7</formula>
      <formula>14</formula>
    </cfRule>
    <cfRule type="cellIs" dxfId="502" priority="574" stopIfTrue="1" operator="lessThan">
      <formula>7</formula>
    </cfRule>
  </conditionalFormatting>
  <conditionalFormatting sqref="Q382">
    <cfRule type="cellIs" dxfId="501" priority="568" stopIfTrue="1" operator="greaterThanOrEqual">
      <formula>70</formula>
    </cfRule>
    <cfRule type="cellIs" dxfId="500" priority="569" stopIfTrue="1" operator="between">
      <formula>60</formula>
      <formula>69.999999</formula>
    </cfRule>
    <cfRule type="cellIs" dxfId="499" priority="570" stopIfTrue="1" operator="between">
      <formula>50</formula>
      <formula>59.9999</formula>
    </cfRule>
    <cfRule type="cellIs" dxfId="498" priority="571" stopIfTrue="1" operator="lessThanOrEqual">
      <formula>50</formula>
    </cfRule>
  </conditionalFormatting>
  <conditionalFormatting sqref="M382">
    <cfRule type="cellIs" dxfId="497" priority="565" stopIfTrue="1" operator="greaterThanOrEqual">
      <formula>15</formula>
    </cfRule>
    <cfRule type="cellIs" dxfId="496" priority="566" stopIfTrue="1" operator="between">
      <formula>7</formula>
      <formula>14</formula>
    </cfRule>
    <cfRule type="cellIs" dxfId="495" priority="567" stopIfTrue="1" operator="lessThan">
      <formula>7</formula>
    </cfRule>
  </conditionalFormatting>
  <conditionalFormatting sqref="Q383">
    <cfRule type="cellIs" dxfId="494" priority="561" stopIfTrue="1" operator="greaterThanOrEqual">
      <formula>70</formula>
    </cfRule>
    <cfRule type="cellIs" dxfId="493" priority="562" stopIfTrue="1" operator="between">
      <formula>60</formula>
      <formula>69.999999</formula>
    </cfRule>
    <cfRule type="cellIs" dxfId="492" priority="563" stopIfTrue="1" operator="between">
      <formula>50</formula>
      <formula>59.9999</formula>
    </cfRule>
    <cfRule type="cellIs" dxfId="491" priority="564" stopIfTrue="1" operator="lessThanOrEqual">
      <formula>50</formula>
    </cfRule>
  </conditionalFormatting>
  <conditionalFormatting sqref="M291">
    <cfRule type="cellIs" dxfId="490" priority="363" stopIfTrue="1" operator="greaterThanOrEqual">
      <formula>15</formula>
    </cfRule>
    <cfRule type="cellIs" dxfId="489" priority="364" stopIfTrue="1" operator="between">
      <formula>7</formula>
      <formula>14</formula>
    </cfRule>
    <cfRule type="cellIs" dxfId="488" priority="365" stopIfTrue="1" operator="lessThan">
      <formula>7</formula>
    </cfRule>
  </conditionalFormatting>
  <conditionalFormatting sqref="Q375">
    <cfRule type="cellIs" dxfId="487" priority="554" stopIfTrue="1" operator="greaterThanOrEqual">
      <formula>70</formula>
    </cfRule>
    <cfRule type="cellIs" dxfId="486" priority="555" stopIfTrue="1" operator="between">
      <formula>60</formula>
      <formula>69.999999</formula>
    </cfRule>
    <cfRule type="cellIs" dxfId="485" priority="556" stopIfTrue="1" operator="between">
      <formula>50</formula>
      <formula>59.9999</formula>
    </cfRule>
    <cfRule type="cellIs" dxfId="484" priority="557" stopIfTrue="1" operator="lessThanOrEqual">
      <formula>50</formula>
    </cfRule>
  </conditionalFormatting>
  <conditionalFormatting sqref="M375">
    <cfRule type="cellIs" dxfId="483" priority="551" stopIfTrue="1" operator="greaterThanOrEqual">
      <formula>15</formula>
    </cfRule>
    <cfRule type="cellIs" dxfId="482" priority="552" stopIfTrue="1" operator="between">
      <formula>7</formula>
      <formula>14</formula>
    </cfRule>
    <cfRule type="cellIs" dxfId="481" priority="553" stopIfTrue="1" operator="lessThan">
      <formula>7</formula>
    </cfRule>
  </conditionalFormatting>
  <conditionalFormatting sqref="Q379">
    <cfRule type="cellIs" dxfId="480" priority="547" stopIfTrue="1" operator="greaterThanOrEqual">
      <formula>70</formula>
    </cfRule>
    <cfRule type="cellIs" dxfId="479" priority="548" stopIfTrue="1" operator="between">
      <formula>60</formula>
      <formula>69.999999</formula>
    </cfRule>
    <cfRule type="cellIs" dxfId="478" priority="549" stopIfTrue="1" operator="between">
      <formula>50</formula>
      <formula>59.9999</formula>
    </cfRule>
    <cfRule type="cellIs" dxfId="477" priority="550" stopIfTrue="1" operator="lessThanOrEqual">
      <formula>50</formula>
    </cfRule>
  </conditionalFormatting>
  <conditionalFormatting sqref="M379">
    <cfRule type="cellIs" dxfId="476" priority="544" stopIfTrue="1" operator="greaterThanOrEqual">
      <formula>15</formula>
    </cfRule>
    <cfRule type="cellIs" dxfId="475" priority="545" stopIfTrue="1" operator="between">
      <formula>7</formula>
      <formula>14</formula>
    </cfRule>
    <cfRule type="cellIs" dxfId="474" priority="546" stopIfTrue="1" operator="lessThan">
      <formula>7</formula>
    </cfRule>
  </conditionalFormatting>
  <conditionalFormatting sqref="Q377:Q378">
    <cfRule type="cellIs" dxfId="473" priority="540" stopIfTrue="1" operator="greaterThanOrEqual">
      <formula>70</formula>
    </cfRule>
    <cfRule type="cellIs" dxfId="472" priority="541" stopIfTrue="1" operator="between">
      <formula>60</formula>
      <formula>69.999999</formula>
    </cfRule>
    <cfRule type="cellIs" dxfId="471" priority="542" stopIfTrue="1" operator="between">
      <formula>50</formula>
      <formula>59.9999</formula>
    </cfRule>
    <cfRule type="cellIs" dxfId="470" priority="543" stopIfTrue="1" operator="lessThanOrEqual">
      <formula>50</formula>
    </cfRule>
  </conditionalFormatting>
  <conditionalFormatting sqref="M377:M378">
    <cfRule type="cellIs" dxfId="469" priority="537" stopIfTrue="1" operator="greaterThanOrEqual">
      <formula>15</formula>
    </cfRule>
    <cfRule type="cellIs" dxfId="468" priority="538" stopIfTrue="1" operator="between">
      <formula>7</formula>
      <formula>14</formula>
    </cfRule>
    <cfRule type="cellIs" dxfId="467" priority="539" stopIfTrue="1" operator="lessThan">
      <formula>7</formula>
    </cfRule>
  </conditionalFormatting>
  <conditionalFormatting sqref="Q380">
    <cfRule type="cellIs" dxfId="466" priority="533" stopIfTrue="1" operator="greaterThanOrEqual">
      <formula>70</formula>
    </cfRule>
    <cfRule type="cellIs" dxfId="465" priority="534" stopIfTrue="1" operator="between">
      <formula>60</formula>
      <formula>69.999999</formula>
    </cfRule>
    <cfRule type="cellIs" dxfId="464" priority="535" stopIfTrue="1" operator="between">
      <formula>50</formula>
      <formula>59.9999</formula>
    </cfRule>
    <cfRule type="cellIs" dxfId="463" priority="536" stopIfTrue="1" operator="lessThanOrEqual">
      <formula>50</formula>
    </cfRule>
  </conditionalFormatting>
  <conditionalFormatting sqref="M380">
    <cfRule type="cellIs" dxfId="462" priority="530" stopIfTrue="1" operator="greaterThanOrEqual">
      <formula>15</formula>
    </cfRule>
    <cfRule type="cellIs" dxfId="461" priority="531" stopIfTrue="1" operator="between">
      <formula>7</formula>
      <formula>14</formula>
    </cfRule>
    <cfRule type="cellIs" dxfId="460" priority="532" stopIfTrue="1" operator="lessThan">
      <formula>7</formula>
    </cfRule>
  </conditionalFormatting>
  <conditionalFormatting sqref="Q376">
    <cfRule type="cellIs" dxfId="459" priority="526" stopIfTrue="1" operator="greaterThanOrEqual">
      <formula>70</formula>
    </cfRule>
    <cfRule type="cellIs" dxfId="458" priority="527" stopIfTrue="1" operator="between">
      <formula>60</formula>
      <formula>69.999999</formula>
    </cfRule>
    <cfRule type="cellIs" dxfId="457" priority="528" stopIfTrue="1" operator="between">
      <formula>50</formula>
      <formula>59.9999</formula>
    </cfRule>
    <cfRule type="cellIs" dxfId="456" priority="529" stopIfTrue="1" operator="lessThanOrEqual">
      <formula>50</formula>
    </cfRule>
  </conditionalFormatting>
  <conditionalFormatting sqref="M376">
    <cfRule type="cellIs" dxfId="455" priority="523" stopIfTrue="1" operator="greaterThanOrEqual">
      <formula>15</formula>
    </cfRule>
    <cfRule type="cellIs" dxfId="454" priority="524" stopIfTrue="1" operator="between">
      <formula>7</formula>
      <formula>14</formula>
    </cfRule>
    <cfRule type="cellIs" dxfId="453" priority="525" stopIfTrue="1" operator="lessThan">
      <formula>7</formula>
    </cfRule>
  </conditionalFormatting>
  <conditionalFormatting sqref="M90:M91">
    <cfRule type="cellIs" dxfId="452" priority="274" stopIfTrue="1" operator="greaterThanOrEqual">
      <formula>15</formula>
    </cfRule>
    <cfRule type="cellIs" dxfId="451" priority="275" stopIfTrue="1" operator="between">
      <formula>7</formula>
      <formula>14</formula>
    </cfRule>
    <cfRule type="cellIs" dxfId="450" priority="276" stopIfTrue="1" operator="lessThan">
      <formula>7</formula>
    </cfRule>
  </conditionalFormatting>
  <conditionalFormatting sqref="M300">
    <cfRule type="cellIs" dxfId="449" priority="197" stopIfTrue="1" operator="greaterThanOrEqual">
      <formula>15</formula>
    </cfRule>
    <cfRule type="cellIs" dxfId="448" priority="198" stopIfTrue="1" operator="between">
      <formula>7</formula>
      <formula>14</formula>
    </cfRule>
    <cfRule type="cellIs" dxfId="447" priority="199" stopIfTrue="1" operator="lessThan">
      <formula>7</formula>
    </cfRule>
  </conditionalFormatting>
  <conditionalFormatting sqref="Q367">
    <cfRule type="cellIs" dxfId="446" priority="519" stopIfTrue="1" operator="greaterThanOrEqual">
      <formula>70</formula>
    </cfRule>
    <cfRule type="cellIs" dxfId="445" priority="520" stopIfTrue="1" operator="between">
      <formula>60</formula>
      <formula>69.999999</formula>
    </cfRule>
    <cfRule type="cellIs" dxfId="444" priority="521" stopIfTrue="1" operator="between">
      <formula>50</formula>
      <formula>59.9999</formula>
    </cfRule>
    <cfRule type="cellIs" dxfId="443" priority="522" stopIfTrue="1" operator="lessThanOrEqual">
      <formula>50</formula>
    </cfRule>
  </conditionalFormatting>
  <conditionalFormatting sqref="M367">
    <cfRule type="cellIs" dxfId="442" priority="516" stopIfTrue="1" operator="greaterThanOrEqual">
      <formula>15</formula>
    </cfRule>
    <cfRule type="cellIs" dxfId="441" priority="517" stopIfTrue="1" operator="between">
      <formula>7</formula>
      <formula>14</formula>
    </cfRule>
    <cfRule type="cellIs" dxfId="440" priority="518" stopIfTrue="1" operator="lessThan">
      <formula>7</formula>
    </cfRule>
  </conditionalFormatting>
  <conditionalFormatting sqref="Q368">
    <cfRule type="cellIs" dxfId="439" priority="512" stopIfTrue="1" operator="greaterThanOrEqual">
      <formula>70</formula>
    </cfRule>
    <cfRule type="cellIs" dxfId="438" priority="513" stopIfTrue="1" operator="between">
      <formula>60</formula>
      <formula>69.999999</formula>
    </cfRule>
    <cfRule type="cellIs" dxfId="437" priority="514" stopIfTrue="1" operator="between">
      <formula>50</formula>
      <formula>59.9999</formula>
    </cfRule>
    <cfRule type="cellIs" dxfId="436" priority="515" stopIfTrue="1" operator="lessThanOrEqual">
      <formula>50</formula>
    </cfRule>
  </conditionalFormatting>
  <conditionalFormatting sqref="M258">
    <cfRule type="cellIs" dxfId="435" priority="148" stopIfTrue="1" operator="greaterThanOrEqual">
      <formula>15</formula>
    </cfRule>
    <cfRule type="cellIs" dxfId="434" priority="149" stopIfTrue="1" operator="between">
      <formula>7</formula>
      <formula>14</formula>
    </cfRule>
    <cfRule type="cellIs" dxfId="433" priority="150" stopIfTrue="1" operator="lessThan">
      <formula>7</formula>
    </cfRule>
  </conditionalFormatting>
  <conditionalFormatting sqref="Q362">
    <cfRule type="cellIs" dxfId="432" priority="505" stopIfTrue="1" operator="greaterThanOrEqual">
      <formula>70</formula>
    </cfRule>
    <cfRule type="cellIs" dxfId="431" priority="506" stopIfTrue="1" operator="between">
      <formula>60</formula>
      <formula>69.999999</formula>
    </cfRule>
    <cfRule type="cellIs" dxfId="430" priority="507" stopIfTrue="1" operator="between">
      <formula>50</formula>
      <formula>59.9999</formula>
    </cfRule>
    <cfRule type="cellIs" dxfId="429" priority="508" stopIfTrue="1" operator="lessThanOrEqual">
      <formula>50</formula>
    </cfRule>
  </conditionalFormatting>
  <conditionalFormatting sqref="M362">
    <cfRule type="cellIs" dxfId="428" priority="502" stopIfTrue="1" operator="greaterThanOrEqual">
      <formula>15</formula>
    </cfRule>
    <cfRule type="cellIs" dxfId="427" priority="503" stopIfTrue="1" operator="between">
      <formula>7</formula>
      <formula>14</formula>
    </cfRule>
    <cfRule type="cellIs" dxfId="426" priority="504" stopIfTrue="1" operator="lessThan">
      <formula>7</formula>
    </cfRule>
  </conditionalFormatting>
  <conditionalFormatting sqref="Q364">
    <cfRule type="cellIs" dxfId="425" priority="498" stopIfTrue="1" operator="greaterThanOrEqual">
      <formula>70</formula>
    </cfRule>
    <cfRule type="cellIs" dxfId="424" priority="499" stopIfTrue="1" operator="between">
      <formula>60</formula>
      <formula>69.999999</formula>
    </cfRule>
    <cfRule type="cellIs" dxfId="423" priority="500" stopIfTrue="1" operator="between">
      <formula>50</formula>
      <formula>59.9999</formula>
    </cfRule>
    <cfRule type="cellIs" dxfId="422" priority="501" stopIfTrue="1" operator="lessThanOrEqual">
      <formula>50</formula>
    </cfRule>
  </conditionalFormatting>
  <conditionalFormatting sqref="M364">
    <cfRule type="cellIs" dxfId="421" priority="495" stopIfTrue="1" operator="greaterThanOrEqual">
      <formula>15</formula>
    </cfRule>
    <cfRule type="cellIs" dxfId="420" priority="496" stopIfTrue="1" operator="between">
      <formula>7</formula>
      <formula>14</formula>
    </cfRule>
    <cfRule type="cellIs" dxfId="419" priority="497" stopIfTrue="1" operator="lessThan">
      <formula>7</formula>
    </cfRule>
  </conditionalFormatting>
  <conditionalFormatting sqref="Q363">
    <cfRule type="cellIs" dxfId="418" priority="491" stopIfTrue="1" operator="greaterThanOrEqual">
      <formula>70</formula>
    </cfRule>
    <cfRule type="cellIs" dxfId="417" priority="492" stopIfTrue="1" operator="between">
      <formula>60</formula>
      <formula>69.999999</formula>
    </cfRule>
    <cfRule type="cellIs" dxfId="416" priority="493" stopIfTrue="1" operator="between">
      <formula>50</formula>
      <formula>59.9999</formula>
    </cfRule>
    <cfRule type="cellIs" dxfId="415" priority="494" stopIfTrue="1" operator="lessThanOrEqual">
      <formula>50</formula>
    </cfRule>
  </conditionalFormatting>
  <conditionalFormatting sqref="M363">
    <cfRule type="cellIs" dxfId="414" priority="488" stopIfTrue="1" operator="greaterThanOrEqual">
      <formula>15</formula>
    </cfRule>
    <cfRule type="cellIs" dxfId="413" priority="489" stopIfTrue="1" operator="between">
      <formula>7</formula>
      <formula>14</formula>
    </cfRule>
    <cfRule type="cellIs" dxfId="412" priority="490" stopIfTrue="1" operator="lessThan">
      <formula>7</formula>
    </cfRule>
  </conditionalFormatting>
  <conditionalFormatting sqref="M242">
    <cfRule type="cellIs" dxfId="411" priority="134" stopIfTrue="1" operator="greaterThanOrEqual">
      <formula>15</formula>
    </cfRule>
    <cfRule type="cellIs" dxfId="410" priority="135" stopIfTrue="1" operator="between">
      <formula>7</formula>
      <formula>14</formula>
    </cfRule>
    <cfRule type="cellIs" dxfId="409" priority="136" stopIfTrue="1" operator="lessThan">
      <formula>7</formula>
    </cfRule>
  </conditionalFormatting>
  <conditionalFormatting sqref="Q360">
    <cfRule type="cellIs" dxfId="408" priority="484" stopIfTrue="1" operator="greaterThanOrEqual">
      <formula>70</formula>
    </cfRule>
    <cfRule type="cellIs" dxfId="407" priority="485" stopIfTrue="1" operator="between">
      <formula>60</formula>
      <formula>69.999999</formula>
    </cfRule>
    <cfRule type="cellIs" dxfId="406" priority="486" stopIfTrue="1" operator="between">
      <formula>50</formula>
      <formula>59.9999</formula>
    </cfRule>
    <cfRule type="cellIs" dxfId="405" priority="487" stopIfTrue="1" operator="lessThanOrEqual">
      <formula>50</formula>
    </cfRule>
  </conditionalFormatting>
  <conditionalFormatting sqref="M360">
    <cfRule type="cellIs" dxfId="404" priority="481" stopIfTrue="1" operator="greaterThanOrEqual">
      <formula>15</formula>
    </cfRule>
    <cfRule type="cellIs" dxfId="403" priority="482" stopIfTrue="1" operator="between">
      <formula>7</formula>
      <formula>14</formula>
    </cfRule>
    <cfRule type="cellIs" dxfId="402" priority="483" stopIfTrue="1" operator="lessThan">
      <formula>7</formula>
    </cfRule>
  </conditionalFormatting>
  <conditionalFormatting sqref="Q361">
    <cfRule type="cellIs" dxfId="401" priority="477" stopIfTrue="1" operator="greaterThanOrEqual">
      <formula>70</formula>
    </cfRule>
    <cfRule type="cellIs" dxfId="400" priority="478" stopIfTrue="1" operator="between">
      <formula>60</formula>
      <formula>69.999999</formula>
    </cfRule>
    <cfRule type="cellIs" dxfId="399" priority="479" stopIfTrue="1" operator="between">
      <formula>50</formula>
      <formula>59.9999</formula>
    </cfRule>
    <cfRule type="cellIs" dxfId="398" priority="480" stopIfTrue="1" operator="lessThanOrEqual">
      <formula>50</formula>
    </cfRule>
  </conditionalFormatting>
  <conditionalFormatting sqref="M361">
    <cfRule type="cellIs" dxfId="397" priority="474" stopIfTrue="1" operator="greaterThanOrEqual">
      <formula>15</formula>
    </cfRule>
    <cfRule type="cellIs" dxfId="396" priority="475" stopIfTrue="1" operator="between">
      <formula>7</formula>
      <formula>14</formula>
    </cfRule>
    <cfRule type="cellIs" dxfId="395" priority="476" stopIfTrue="1" operator="lessThan">
      <formula>7</formula>
    </cfRule>
  </conditionalFormatting>
  <conditionalFormatting sqref="M354">
    <cfRule type="cellIs" dxfId="394" priority="471" stopIfTrue="1" operator="greaterThanOrEqual">
      <formula>15</formula>
    </cfRule>
    <cfRule type="cellIs" dxfId="393" priority="472" stopIfTrue="1" operator="between">
      <formula>7</formula>
      <formula>14</formula>
    </cfRule>
    <cfRule type="cellIs" dxfId="392" priority="473" stopIfTrue="1" operator="lessThan">
      <formula>7</formula>
    </cfRule>
  </conditionalFormatting>
  <conditionalFormatting sqref="Q291">
    <cfRule type="cellIs" dxfId="391" priority="370" stopIfTrue="1" operator="greaterThanOrEqual">
      <formula>70</formula>
    </cfRule>
    <cfRule type="cellIs" dxfId="390" priority="371" stopIfTrue="1" operator="between">
      <formula>60</formula>
      <formula>69.999999</formula>
    </cfRule>
    <cfRule type="cellIs" dxfId="389" priority="372" stopIfTrue="1" operator="between">
      <formula>50</formula>
      <formula>59.9999</formula>
    </cfRule>
    <cfRule type="cellIs" dxfId="388" priority="373" stopIfTrue="1" operator="lessThanOrEqual">
      <formula>50</formula>
    </cfRule>
  </conditionalFormatting>
  <conditionalFormatting sqref="Q337">
    <cfRule type="cellIs" dxfId="387" priority="427" stopIfTrue="1" operator="greaterThanOrEqual">
      <formula>70</formula>
    </cfRule>
    <cfRule type="cellIs" dxfId="386" priority="428" stopIfTrue="1" operator="between">
      <formula>60</formula>
      <formula>69.999999</formula>
    </cfRule>
    <cfRule type="cellIs" dxfId="385" priority="429" stopIfTrue="1" operator="between">
      <formula>50</formula>
      <formula>59.9999</formula>
    </cfRule>
    <cfRule type="cellIs" dxfId="384" priority="430" stopIfTrue="1" operator="lessThanOrEqual">
      <formula>50</formula>
    </cfRule>
  </conditionalFormatting>
  <conditionalFormatting sqref="Q355">
    <cfRule type="cellIs" dxfId="383" priority="456" stopIfTrue="1" operator="greaterThanOrEqual">
      <formula>70</formula>
    </cfRule>
    <cfRule type="cellIs" dxfId="382" priority="457" stopIfTrue="1" operator="between">
      <formula>60</formula>
      <formula>69.999999</formula>
    </cfRule>
    <cfRule type="cellIs" dxfId="381" priority="458" stopIfTrue="1" operator="between">
      <formula>50</formula>
      <formula>59.9999</formula>
    </cfRule>
    <cfRule type="cellIs" dxfId="380" priority="459" stopIfTrue="1" operator="lessThanOrEqual">
      <formula>50</formula>
    </cfRule>
  </conditionalFormatting>
  <conditionalFormatting sqref="Q355">
    <cfRule type="cellIs" dxfId="379" priority="452" stopIfTrue="1" operator="greaterThanOrEqual">
      <formula>70</formula>
    </cfRule>
    <cfRule type="cellIs" dxfId="378" priority="453" stopIfTrue="1" operator="between">
      <formula>60</formula>
      <formula>69.999999</formula>
    </cfRule>
    <cfRule type="cellIs" dxfId="377" priority="454" stopIfTrue="1" operator="between">
      <formula>50</formula>
      <formula>59.9999</formula>
    </cfRule>
    <cfRule type="cellIs" dxfId="376" priority="455" stopIfTrue="1" operator="lessThanOrEqual">
      <formula>50</formula>
    </cfRule>
  </conditionalFormatting>
  <conditionalFormatting sqref="M355">
    <cfRule type="cellIs" dxfId="375" priority="449" stopIfTrue="1" operator="greaterThanOrEqual">
      <formula>15</formula>
    </cfRule>
    <cfRule type="cellIs" dxfId="374" priority="450" stopIfTrue="1" operator="between">
      <formula>7</formula>
      <formula>14</formula>
    </cfRule>
    <cfRule type="cellIs" dxfId="373" priority="451" stopIfTrue="1" operator="lessThan">
      <formula>7</formula>
    </cfRule>
  </conditionalFormatting>
  <conditionalFormatting sqref="Q356:Q357">
    <cfRule type="cellIs" dxfId="372" priority="445" stopIfTrue="1" operator="greaterThanOrEqual">
      <formula>70</formula>
    </cfRule>
    <cfRule type="cellIs" dxfId="371" priority="446" stopIfTrue="1" operator="between">
      <formula>60</formula>
      <formula>69.999999</formula>
    </cfRule>
    <cfRule type="cellIs" dxfId="370" priority="447" stopIfTrue="1" operator="between">
      <formula>50</formula>
      <formula>59.9999</formula>
    </cfRule>
    <cfRule type="cellIs" dxfId="369" priority="448" stopIfTrue="1" operator="lessThanOrEqual">
      <formula>50</formula>
    </cfRule>
  </conditionalFormatting>
  <conditionalFormatting sqref="Q356:Q357">
    <cfRule type="cellIs" dxfId="368" priority="441" stopIfTrue="1" operator="greaterThanOrEqual">
      <formula>70</formula>
    </cfRule>
    <cfRule type="cellIs" dxfId="367" priority="442" stopIfTrue="1" operator="between">
      <formula>60</formula>
      <formula>69.999999</formula>
    </cfRule>
    <cfRule type="cellIs" dxfId="366" priority="443" stopIfTrue="1" operator="between">
      <formula>50</formula>
      <formula>59.9999</formula>
    </cfRule>
    <cfRule type="cellIs" dxfId="365" priority="444" stopIfTrue="1" operator="lessThanOrEqual">
      <formula>50</formula>
    </cfRule>
  </conditionalFormatting>
  <conditionalFormatting sqref="M356:M357">
    <cfRule type="cellIs" dxfId="364" priority="438" stopIfTrue="1" operator="greaterThanOrEqual">
      <formula>15</formula>
    </cfRule>
    <cfRule type="cellIs" dxfId="363" priority="439" stopIfTrue="1" operator="between">
      <formula>7</formula>
      <formula>14</formula>
    </cfRule>
    <cfRule type="cellIs" dxfId="362" priority="440" stopIfTrue="1" operator="lessThan">
      <formula>7</formula>
    </cfRule>
  </conditionalFormatting>
  <conditionalFormatting sqref="Q336">
    <cfRule type="cellIs" dxfId="361" priority="434" stopIfTrue="1" operator="greaterThanOrEqual">
      <formula>70</formula>
    </cfRule>
    <cfRule type="cellIs" dxfId="360" priority="435" stopIfTrue="1" operator="between">
      <formula>60</formula>
      <formula>69.999999</formula>
    </cfRule>
    <cfRule type="cellIs" dxfId="359" priority="436" stopIfTrue="1" operator="between">
      <formula>50</formula>
      <formula>59.9999</formula>
    </cfRule>
    <cfRule type="cellIs" dxfId="358" priority="437" stopIfTrue="1" operator="lessThanOrEqual">
      <formula>50</formula>
    </cfRule>
  </conditionalFormatting>
  <conditionalFormatting sqref="M336">
    <cfRule type="cellIs" dxfId="357" priority="431" stopIfTrue="1" operator="greaterThanOrEqual">
      <formula>15</formula>
    </cfRule>
    <cfRule type="cellIs" dxfId="356" priority="432" stopIfTrue="1" operator="between">
      <formula>7</formula>
      <formula>14</formula>
    </cfRule>
    <cfRule type="cellIs" dxfId="355" priority="433" stopIfTrue="1" operator="lessThan">
      <formula>7</formula>
    </cfRule>
  </conditionalFormatting>
  <conditionalFormatting sqref="Q313">
    <cfRule type="cellIs" dxfId="354" priority="410" stopIfTrue="1" operator="greaterThanOrEqual">
      <formula>70</formula>
    </cfRule>
    <cfRule type="cellIs" dxfId="353" priority="411" stopIfTrue="1" operator="between">
      <formula>60</formula>
      <formula>69.999999</formula>
    </cfRule>
    <cfRule type="cellIs" dxfId="352" priority="412" stopIfTrue="1" operator="between">
      <formula>50</formula>
      <formula>59.9999</formula>
    </cfRule>
    <cfRule type="cellIs" dxfId="351" priority="413" stopIfTrue="1" operator="lessThanOrEqual">
      <formula>50</formula>
    </cfRule>
  </conditionalFormatting>
  <conditionalFormatting sqref="M304">
    <cfRule type="cellIs" dxfId="350" priority="421" stopIfTrue="1" operator="greaterThanOrEqual">
      <formula>15</formula>
    </cfRule>
    <cfRule type="cellIs" dxfId="349" priority="422" stopIfTrue="1" operator="between">
      <formula>7</formula>
      <formula>14</formula>
    </cfRule>
    <cfRule type="cellIs" dxfId="348" priority="423" stopIfTrue="1" operator="lessThan">
      <formula>7</formula>
    </cfRule>
  </conditionalFormatting>
  <conditionalFormatting sqref="Q312">
    <cfRule type="cellIs" dxfId="347" priority="417" stopIfTrue="1" operator="greaterThanOrEqual">
      <formula>70</formula>
    </cfRule>
    <cfRule type="cellIs" dxfId="346" priority="418" stopIfTrue="1" operator="between">
      <formula>60</formula>
      <formula>69.999999</formula>
    </cfRule>
    <cfRule type="cellIs" dxfId="345" priority="419" stopIfTrue="1" operator="between">
      <formula>50</formula>
      <formula>59.9999</formula>
    </cfRule>
    <cfRule type="cellIs" dxfId="344" priority="420" stopIfTrue="1" operator="lessThanOrEqual">
      <formula>50</formula>
    </cfRule>
  </conditionalFormatting>
  <conditionalFormatting sqref="M312">
    <cfRule type="cellIs" dxfId="343" priority="414" stopIfTrue="1" operator="greaterThanOrEqual">
      <formula>15</formula>
    </cfRule>
    <cfRule type="cellIs" dxfId="342" priority="415" stopIfTrue="1" operator="between">
      <formula>7</formula>
      <formula>14</formula>
    </cfRule>
    <cfRule type="cellIs" dxfId="341" priority="416" stopIfTrue="1" operator="lessThan">
      <formula>7</formula>
    </cfRule>
  </conditionalFormatting>
  <conditionalFormatting sqref="Q291">
    <cfRule type="cellIs" dxfId="340" priority="366" stopIfTrue="1" operator="greaterThanOrEqual">
      <formula>70</formula>
    </cfRule>
    <cfRule type="cellIs" dxfId="339" priority="367" stopIfTrue="1" operator="between">
      <formula>60</formula>
      <formula>69.999999</formula>
    </cfRule>
    <cfRule type="cellIs" dxfId="338" priority="368" stopIfTrue="1" operator="between">
      <formula>50</formula>
      <formula>59.9999</formula>
    </cfRule>
    <cfRule type="cellIs" dxfId="337" priority="369" stopIfTrue="1" operator="lessThanOrEqual">
      <formula>50</formula>
    </cfRule>
  </conditionalFormatting>
  <conditionalFormatting sqref="Q90:Q91 Q99">
    <cfRule type="cellIs" dxfId="336" priority="281" stopIfTrue="1" operator="greaterThanOrEqual">
      <formula>70</formula>
    </cfRule>
    <cfRule type="cellIs" dxfId="335" priority="282" stopIfTrue="1" operator="between">
      <formula>60</formula>
      <formula>69.999999</formula>
    </cfRule>
    <cfRule type="cellIs" dxfId="334" priority="283" stopIfTrue="1" operator="between">
      <formula>50</formula>
      <formula>59.9999</formula>
    </cfRule>
    <cfRule type="cellIs" dxfId="333" priority="284" stopIfTrue="1" operator="lessThanOrEqual">
      <formula>50</formula>
    </cfRule>
  </conditionalFormatting>
  <conditionalFormatting sqref="Q90:Q91 Q99">
    <cfRule type="cellIs" dxfId="332" priority="277" stopIfTrue="1" operator="greaterThanOrEqual">
      <formula>70</formula>
    </cfRule>
    <cfRule type="cellIs" dxfId="331" priority="278" stopIfTrue="1" operator="between">
      <formula>60</formula>
      <formula>69.999999</formula>
    </cfRule>
    <cfRule type="cellIs" dxfId="330" priority="279" stopIfTrue="1" operator="between">
      <formula>50</formula>
      <formula>59.9999</formula>
    </cfRule>
    <cfRule type="cellIs" dxfId="329" priority="280" stopIfTrue="1" operator="lessThanOrEqual">
      <formula>50</formula>
    </cfRule>
  </conditionalFormatting>
  <conditionalFormatting sqref="Q292:Q293">
    <cfRule type="cellIs" dxfId="328" priority="392" stopIfTrue="1" operator="greaterThanOrEqual">
      <formula>70</formula>
    </cfRule>
    <cfRule type="cellIs" dxfId="327" priority="393" stopIfTrue="1" operator="between">
      <formula>60</formula>
      <formula>69.999999</formula>
    </cfRule>
    <cfRule type="cellIs" dxfId="326" priority="394" stopIfTrue="1" operator="between">
      <formula>50</formula>
      <formula>59.9999</formula>
    </cfRule>
    <cfRule type="cellIs" dxfId="325" priority="395" stopIfTrue="1" operator="lessThanOrEqual">
      <formula>50</formula>
    </cfRule>
  </conditionalFormatting>
  <conditionalFormatting sqref="Q292:Q293">
    <cfRule type="cellIs" dxfId="324" priority="388" stopIfTrue="1" operator="greaterThanOrEqual">
      <formula>70</formula>
    </cfRule>
    <cfRule type="cellIs" dxfId="323" priority="389" stopIfTrue="1" operator="between">
      <formula>60</formula>
      <formula>69.999999</formula>
    </cfRule>
    <cfRule type="cellIs" dxfId="322" priority="390" stopIfTrue="1" operator="between">
      <formula>50</formula>
      <formula>59.9999</formula>
    </cfRule>
    <cfRule type="cellIs" dxfId="321" priority="391" stopIfTrue="1" operator="lessThanOrEqual">
      <formula>50</formula>
    </cfRule>
  </conditionalFormatting>
  <conditionalFormatting sqref="M292:M293">
    <cfRule type="cellIs" dxfId="320" priority="385" stopIfTrue="1" operator="greaterThanOrEqual">
      <formula>15</formula>
    </cfRule>
    <cfRule type="cellIs" dxfId="319" priority="386" stopIfTrue="1" operator="between">
      <formula>7</formula>
      <formula>14</formula>
    </cfRule>
    <cfRule type="cellIs" dxfId="318" priority="387" stopIfTrue="1" operator="lessThan">
      <formula>7</formula>
    </cfRule>
  </conditionalFormatting>
  <conditionalFormatting sqref="Q290">
    <cfRule type="cellIs" dxfId="317" priority="381" stopIfTrue="1" operator="greaterThanOrEqual">
      <formula>70</formula>
    </cfRule>
    <cfRule type="cellIs" dxfId="316" priority="382" stopIfTrue="1" operator="between">
      <formula>60</formula>
      <formula>69.999999</formula>
    </cfRule>
    <cfRule type="cellIs" dxfId="315" priority="383" stopIfTrue="1" operator="between">
      <formula>50</formula>
      <formula>59.9999</formula>
    </cfRule>
    <cfRule type="cellIs" dxfId="314" priority="384" stopIfTrue="1" operator="lessThanOrEqual">
      <formula>50</formula>
    </cfRule>
  </conditionalFormatting>
  <conditionalFormatting sqref="Q290">
    <cfRule type="cellIs" dxfId="313" priority="377" stopIfTrue="1" operator="greaterThanOrEqual">
      <formula>70</formula>
    </cfRule>
    <cfRule type="cellIs" dxfId="312" priority="378" stopIfTrue="1" operator="between">
      <formula>60</formula>
      <formula>69.999999</formula>
    </cfRule>
    <cfRule type="cellIs" dxfId="311" priority="379" stopIfTrue="1" operator="between">
      <formula>50</formula>
      <formula>59.9999</formula>
    </cfRule>
    <cfRule type="cellIs" dxfId="310" priority="380" stopIfTrue="1" operator="lessThanOrEqual">
      <formula>50</formula>
    </cfRule>
  </conditionalFormatting>
  <conditionalFormatting sqref="M290">
    <cfRule type="cellIs" dxfId="309" priority="374" stopIfTrue="1" operator="greaterThanOrEqual">
      <formula>15</formula>
    </cfRule>
    <cfRule type="cellIs" dxfId="308" priority="375" stopIfTrue="1" operator="between">
      <formula>7</formula>
      <formula>14</formula>
    </cfRule>
    <cfRule type="cellIs" dxfId="307" priority="376" stopIfTrue="1" operator="lessThan">
      <formula>7</formula>
    </cfRule>
  </conditionalFormatting>
  <conditionalFormatting sqref="Q300">
    <cfRule type="cellIs" dxfId="306" priority="200" stopIfTrue="1" operator="greaterThanOrEqual">
      <formula>70</formula>
    </cfRule>
    <cfRule type="cellIs" dxfId="305" priority="201" stopIfTrue="1" operator="between">
      <formula>60</formula>
      <formula>69.999999</formula>
    </cfRule>
    <cfRule type="cellIs" dxfId="304" priority="202" stopIfTrue="1" operator="between">
      <formula>50</formula>
      <formula>59.9999</formula>
    </cfRule>
    <cfRule type="cellIs" dxfId="303" priority="203" stopIfTrue="1" operator="lessThanOrEqual">
      <formula>50</formula>
    </cfRule>
  </conditionalFormatting>
  <conditionalFormatting sqref="Q137">
    <cfRule type="cellIs" dxfId="302" priority="359" stopIfTrue="1" operator="greaterThanOrEqual">
      <formula>70</formula>
    </cfRule>
    <cfRule type="cellIs" dxfId="301" priority="360" stopIfTrue="1" operator="between">
      <formula>60</formula>
      <formula>69.999999</formula>
    </cfRule>
    <cfRule type="cellIs" dxfId="300" priority="361" stopIfTrue="1" operator="between">
      <formula>50</formula>
      <formula>59.9999</formula>
    </cfRule>
    <cfRule type="cellIs" dxfId="299" priority="362" stopIfTrue="1" operator="lessThanOrEqual">
      <formula>50</formula>
    </cfRule>
  </conditionalFormatting>
  <conditionalFormatting sqref="M137">
    <cfRule type="cellIs" dxfId="298" priority="356" stopIfTrue="1" operator="greaterThanOrEqual">
      <formula>15</formula>
    </cfRule>
    <cfRule type="cellIs" dxfId="297" priority="357" stopIfTrue="1" operator="between">
      <formula>7</formula>
      <formula>14</formula>
    </cfRule>
    <cfRule type="cellIs" dxfId="296" priority="358" stopIfTrue="1" operator="lessThan">
      <formula>7</formula>
    </cfRule>
  </conditionalFormatting>
  <conditionalFormatting sqref="Q138">
    <cfRule type="cellIs" dxfId="295" priority="352" stopIfTrue="1" operator="greaterThanOrEqual">
      <formula>70</formula>
    </cfRule>
    <cfRule type="cellIs" dxfId="294" priority="353" stopIfTrue="1" operator="between">
      <formula>60</formula>
      <formula>69.999999</formula>
    </cfRule>
    <cfRule type="cellIs" dxfId="293" priority="354" stopIfTrue="1" operator="between">
      <formula>50</formula>
      <formula>59.9999</formula>
    </cfRule>
    <cfRule type="cellIs" dxfId="292" priority="355" stopIfTrue="1" operator="lessThanOrEqual">
      <formula>50</formula>
    </cfRule>
  </conditionalFormatting>
  <conditionalFormatting sqref="M138">
    <cfRule type="cellIs" dxfId="291" priority="349" stopIfTrue="1" operator="greaterThanOrEqual">
      <formula>15</formula>
    </cfRule>
    <cfRule type="cellIs" dxfId="290" priority="350" stopIfTrue="1" operator="between">
      <formula>7</formula>
      <formula>14</formula>
    </cfRule>
    <cfRule type="cellIs" dxfId="289" priority="351" stopIfTrue="1" operator="lessThan">
      <formula>7</formula>
    </cfRule>
  </conditionalFormatting>
  <conditionalFormatting sqref="Q139:Q140">
    <cfRule type="cellIs" dxfId="288" priority="345" stopIfTrue="1" operator="greaterThanOrEqual">
      <formula>70</formula>
    </cfRule>
    <cfRule type="cellIs" dxfId="287" priority="346" stopIfTrue="1" operator="between">
      <formula>60</formula>
      <formula>69.999999</formula>
    </cfRule>
    <cfRule type="cellIs" dxfId="286" priority="347" stopIfTrue="1" operator="between">
      <formula>50</formula>
      <formula>59.9999</formula>
    </cfRule>
    <cfRule type="cellIs" dxfId="285" priority="348" stopIfTrue="1" operator="lessThanOrEqual">
      <formula>50</formula>
    </cfRule>
  </conditionalFormatting>
  <conditionalFormatting sqref="M139:M142">
    <cfRule type="cellIs" dxfId="284" priority="342" stopIfTrue="1" operator="greaterThanOrEqual">
      <formula>15</formula>
    </cfRule>
    <cfRule type="cellIs" dxfId="283" priority="343" stopIfTrue="1" operator="between">
      <formula>7</formula>
      <formula>14</formula>
    </cfRule>
    <cfRule type="cellIs" dxfId="282" priority="344" stopIfTrue="1" operator="lessThan">
      <formula>7</formula>
    </cfRule>
  </conditionalFormatting>
  <conditionalFormatting sqref="Q141:Q142">
    <cfRule type="cellIs" dxfId="281" priority="338" stopIfTrue="1" operator="greaterThanOrEqual">
      <formula>70</formula>
    </cfRule>
    <cfRule type="cellIs" dxfId="280" priority="339" stopIfTrue="1" operator="between">
      <formula>60</formula>
      <formula>69.999999</formula>
    </cfRule>
    <cfRule type="cellIs" dxfId="279" priority="340" stopIfTrue="1" operator="between">
      <formula>50</formula>
      <formula>59.9999</formula>
    </cfRule>
    <cfRule type="cellIs" dxfId="278" priority="341" stopIfTrue="1" operator="lessThanOrEqual">
      <formula>50</formula>
    </cfRule>
  </conditionalFormatting>
  <conditionalFormatting sqref="Q123">
    <cfRule type="cellIs" dxfId="277" priority="334" stopIfTrue="1" operator="greaterThanOrEqual">
      <formula>70</formula>
    </cfRule>
    <cfRule type="cellIs" dxfId="276" priority="335" stopIfTrue="1" operator="between">
      <formula>60</formula>
      <formula>69.999999</formula>
    </cfRule>
    <cfRule type="cellIs" dxfId="275" priority="336" stopIfTrue="1" operator="between">
      <formula>50</formula>
      <formula>59.9999</formula>
    </cfRule>
    <cfRule type="cellIs" dxfId="274" priority="337" stopIfTrue="1" operator="lessThanOrEqual">
      <formula>50</formula>
    </cfRule>
  </conditionalFormatting>
  <conditionalFormatting sqref="M123">
    <cfRule type="cellIs" dxfId="273" priority="331" stopIfTrue="1" operator="greaterThanOrEqual">
      <formula>15</formula>
    </cfRule>
    <cfRule type="cellIs" dxfId="272" priority="332" stopIfTrue="1" operator="between">
      <formula>7</formula>
      <formula>14</formula>
    </cfRule>
    <cfRule type="cellIs" dxfId="271" priority="333" stopIfTrue="1" operator="lessThan">
      <formula>7</formula>
    </cfRule>
  </conditionalFormatting>
  <conditionalFormatting sqref="Q258">
    <cfRule type="cellIs" dxfId="270" priority="151" stopIfTrue="1" operator="greaterThanOrEqual">
      <formula>70</formula>
    </cfRule>
    <cfRule type="cellIs" dxfId="269" priority="152" stopIfTrue="1" operator="between">
      <formula>60</formula>
      <formula>69.999999</formula>
    </cfRule>
    <cfRule type="cellIs" dxfId="268" priority="153" stopIfTrue="1" operator="between">
      <formula>50</formula>
      <formula>59.9999</formula>
    </cfRule>
    <cfRule type="cellIs" dxfId="267" priority="154" stopIfTrue="1" operator="lessThanOrEqual">
      <formula>50</formula>
    </cfRule>
  </conditionalFormatting>
  <conditionalFormatting sqref="Q124">
    <cfRule type="cellIs" dxfId="266" priority="320" stopIfTrue="1" operator="greaterThanOrEqual">
      <formula>70</formula>
    </cfRule>
    <cfRule type="cellIs" dxfId="265" priority="321" stopIfTrue="1" operator="between">
      <formula>60</formula>
      <formula>69.999999</formula>
    </cfRule>
    <cfRule type="cellIs" dxfId="264" priority="322" stopIfTrue="1" operator="between">
      <formula>50</formula>
      <formula>59.9999</formula>
    </cfRule>
    <cfRule type="cellIs" dxfId="263" priority="323" stopIfTrue="1" operator="lessThanOrEqual">
      <formula>50</formula>
    </cfRule>
  </conditionalFormatting>
  <conditionalFormatting sqref="M124">
    <cfRule type="cellIs" dxfId="262" priority="317" stopIfTrue="1" operator="greaterThanOrEqual">
      <formula>15</formula>
    </cfRule>
    <cfRule type="cellIs" dxfId="261" priority="318" stopIfTrue="1" operator="between">
      <formula>7</formula>
      <formula>14</formula>
    </cfRule>
    <cfRule type="cellIs" dxfId="260" priority="319" stopIfTrue="1" operator="lessThan">
      <formula>7</formula>
    </cfRule>
  </conditionalFormatting>
  <conditionalFormatting sqref="Q125">
    <cfRule type="cellIs" dxfId="259" priority="313" stopIfTrue="1" operator="greaterThanOrEqual">
      <formula>70</formula>
    </cfRule>
    <cfRule type="cellIs" dxfId="258" priority="314" stopIfTrue="1" operator="between">
      <formula>60</formula>
      <formula>69.999999</formula>
    </cfRule>
    <cfRule type="cellIs" dxfId="257" priority="315" stopIfTrue="1" operator="between">
      <formula>50</formula>
      <formula>59.9999</formula>
    </cfRule>
    <cfRule type="cellIs" dxfId="256" priority="316" stopIfTrue="1" operator="lessThanOrEqual">
      <formula>50</formula>
    </cfRule>
  </conditionalFormatting>
  <conditionalFormatting sqref="M125">
    <cfRule type="cellIs" dxfId="255" priority="310" stopIfTrue="1" operator="greaterThanOrEqual">
      <formula>15</formula>
    </cfRule>
    <cfRule type="cellIs" dxfId="254" priority="311" stopIfTrue="1" operator="between">
      <formula>7</formula>
      <formula>14</formula>
    </cfRule>
    <cfRule type="cellIs" dxfId="253" priority="312" stopIfTrue="1" operator="lessThan">
      <formula>7</formula>
    </cfRule>
  </conditionalFormatting>
  <conditionalFormatting sqref="Q86">
    <cfRule type="cellIs" dxfId="252" priority="306" stopIfTrue="1" operator="greaterThanOrEqual">
      <formula>70</formula>
    </cfRule>
    <cfRule type="cellIs" dxfId="251" priority="307" stopIfTrue="1" operator="between">
      <formula>60</formula>
      <formula>69.999999</formula>
    </cfRule>
    <cfRule type="cellIs" dxfId="250" priority="308" stopIfTrue="1" operator="between">
      <formula>50</formula>
      <formula>59.9999</formula>
    </cfRule>
    <cfRule type="cellIs" dxfId="249" priority="309" stopIfTrue="1" operator="lessThanOrEqual">
      <formula>50</formula>
    </cfRule>
  </conditionalFormatting>
  <conditionalFormatting sqref="M86">
    <cfRule type="cellIs" dxfId="248" priority="303" stopIfTrue="1" operator="greaterThanOrEqual">
      <formula>15</formula>
    </cfRule>
    <cfRule type="cellIs" dxfId="247" priority="304" stopIfTrue="1" operator="between">
      <formula>7</formula>
      <formula>14</formula>
    </cfRule>
    <cfRule type="cellIs" dxfId="246" priority="305" stopIfTrue="1" operator="lessThan">
      <formula>7</formula>
    </cfRule>
  </conditionalFormatting>
  <conditionalFormatting sqref="Q87">
    <cfRule type="cellIs" dxfId="245" priority="299" stopIfTrue="1" operator="greaterThanOrEqual">
      <formula>70</formula>
    </cfRule>
    <cfRule type="cellIs" dxfId="244" priority="300" stopIfTrue="1" operator="between">
      <formula>60</formula>
      <formula>69.999999</formula>
    </cfRule>
    <cfRule type="cellIs" dxfId="243" priority="301" stopIfTrue="1" operator="between">
      <formula>50</formula>
      <formula>59.9999</formula>
    </cfRule>
    <cfRule type="cellIs" dxfId="242" priority="302" stopIfTrue="1" operator="lessThanOrEqual">
      <formula>50</formula>
    </cfRule>
  </conditionalFormatting>
  <conditionalFormatting sqref="M87">
    <cfRule type="cellIs" dxfId="241" priority="296" stopIfTrue="1" operator="greaterThanOrEqual">
      <formula>15</formula>
    </cfRule>
    <cfRule type="cellIs" dxfId="240" priority="297" stopIfTrue="1" operator="between">
      <formula>7</formula>
      <formula>14</formula>
    </cfRule>
    <cfRule type="cellIs" dxfId="239" priority="298" stopIfTrue="1" operator="lessThan">
      <formula>7</formula>
    </cfRule>
  </conditionalFormatting>
  <conditionalFormatting sqref="Q88:Q89">
    <cfRule type="cellIs" dxfId="238" priority="292" stopIfTrue="1" operator="greaterThanOrEqual">
      <formula>70</formula>
    </cfRule>
    <cfRule type="cellIs" dxfId="237" priority="293" stopIfTrue="1" operator="between">
      <formula>60</formula>
      <formula>69.999999</formula>
    </cfRule>
    <cfRule type="cellIs" dxfId="236" priority="294" stopIfTrue="1" operator="between">
      <formula>50</formula>
      <formula>59.9999</formula>
    </cfRule>
    <cfRule type="cellIs" dxfId="235" priority="295" stopIfTrue="1" operator="lessThanOrEqual">
      <formula>50</formula>
    </cfRule>
  </conditionalFormatting>
  <conditionalFormatting sqref="Q88:Q89">
    <cfRule type="cellIs" dxfId="234" priority="288" stopIfTrue="1" operator="greaterThanOrEqual">
      <formula>70</formula>
    </cfRule>
    <cfRule type="cellIs" dxfId="233" priority="289" stopIfTrue="1" operator="between">
      <formula>60</formula>
      <formula>69.999999</formula>
    </cfRule>
    <cfRule type="cellIs" dxfId="232" priority="290" stopIfTrue="1" operator="between">
      <formula>50</formula>
      <formula>59.9999</formula>
    </cfRule>
    <cfRule type="cellIs" dxfId="231" priority="291" stopIfTrue="1" operator="lessThanOrEqual">
      <formula>50</formula>
    </cfRule>
  </conditionalFormatting>
  <conditionalFormatting sqref="M88:M89">
    <cfRule type="cellIs" dxfId="230" priority="285" stopIfTrue="1" operator="greaterThanOrEqual">
      <formula>15</formula>
    </cfRule>
    <cfRule type="cellIs" dxfId="229" priority="286" stopIfTrue="1" operator="between">
      <formula>7</formula>
      <formula>14</formula>
    </cfRule>
    <cfRule type="cellIs" dxfId="228" priority="287" stopIfTrue="1" operator="lessThan">
      <formula>7</formula>
    </cfRule>
  </conditionalFormatting>
  <conditionalFormatting sqref="Q242">
    <cfRule type="cellIs" dxfId="227" priority="137" stopIfTrue="1" operator="greaterThanOrEqual">
      <formula>70</formula>
    </cfRule>
    <cfRule type="cellIs" dxfId="226" priority="138" stopIfTrue="1" operator="between">
      <formula>60</formula>
      <formula>69.999999</formula>
    </cfRule>
    <cfRule type="cellIs" dxfId="225" priority="139" stopIfTrue="1" operator="between">
      <formula>50</formula>
      <formula>59.9999</formula>
    </cfRule>
    <cfRule type="cellIs" dxfId="224" priority="140" stopIfTrue="1" operator="lessThanOrEqual">
      <formula>50</formula>
    </cfRule>
  </conditionalFormatting>
  <conditionalFormatting sqref="Q349">
    <cfRule type="cellIs" dxfId="223" priority="270" stopIfTrue="1" operator="greaterThanOrEqual">
      <formula>70</formula>
    </cfRule>
    <cfRule type="cellIs" dxfId="222" priority="271" stopIfTrue="1" operator="between">
      <formula>60</formula>
      <formula>69.999999</formula>
    </cfRule>
    <cfRule type="cellIs" dxfId="221" priority="272" stopIfTrue="1" operator="between">
      <formula>50</formula>
      <formula>59.9999</formula>
    </cfRule>
    <cfRule type="cellIs" dxfId="220" priority="273" stopIfTrue="1" operator="lessThanOrEqual">
      <formula>50</formula>
    </cfRule>
  </conditionalFormatting>
  <conditionalFormatting sqref="M349">
    <cfRule type="cellIs" dxfId="219" priority="267" stopIfTrue="1" operator="greaterThanOrEqual">
      <formula>15</formula>
    </cfRule>
    <cfRule type="cellIs" dxfId="218" priority="268" stopIfTrue="1" operator="between">
      <formula>7</formula>
      <formula>14</formula>
    </cfRule>
    <cfRule type="cellIs" dxfId="217" priority="269" stopIfTrue="1" operator="lessThan">
      <formula>7</formula>
    </cfRule>
  </conditionalFormatting>
  <conditionalFormatting sqref="Q349">
    <cfRule type="cellIs" dxfId="216" priority="263" stopIfTrue="1" operator="greaterThanOrEqual">
      <formula>70</formula>
    </cfRule>
    <cfRule type="cellIs" dxfId="215" priority="264" stopIfTrue="1" operator="between">
      <formula>60</formula>
      <formula>69.999999</formula>
    </cfRule>
    <cfRule type="cellIs" dxfId="214" priority="265" stopIfTrue="1" operator="between">
      <formula>50</formula>
      <formula>59.9999</formula>
    </cfRule>
    <cfRule type="cellIs" dxfId="213" priority="266" stopIfTrue="1" operator="lessThanOrEqual">
      <formula>50</formula>
    </cfRule>
  </conditionalFormatting>
  <conditionalFormatting sqref="M349">
    <cfRule type="cellIs" dxfId="212" priority="260" stopIfTrue="1" operator="greaterThanOrEqual">
      <formula>15</formula>
    </cfRule>
    <cfRule type="cellIs" dxfId="211" priority="261" stopIfTrue="1" operator="between">
      <formula>7</formula>
      <formula>14</formula>
    </cfRule>
    <cfRule type="cellIs" dxfId="210" priority="262" stopIfTrue="1" operator="lessThan">
      <formula>7</formula>
    </cfRule>
  </conditionalFormatting>
  <conditionalFormatting sqref="Q310">
    <cfRule type="cellIs" dxfId="209" priority="256" stopIfTrue="1" operator="greaterThanOrEqual">
      <formula>70</formula>
    </cfRule>
    <cfRule type="cellIs" dxfId="208" priority="257" stopIfTrue="1" operator="between">
      <formula>60</formula>
      <formula>69.999999</formula>
    </cfRule>
    <cfRule type="cellIs" dxfId="207" priority="258" stopIfTrue="1" operator="between">
      <formula>50</formula>
      <formula>59.9999</formula>
    </cfRule>
    <cfRule type="cellIs" dxfId="206" priority="259" stopIfTrue="1" operator="lessThanOrEqual">
      <formula>50</formula>
    </cfRule>
  </conditionalFormatting>
  <conditionalFormatting sqref="M310">
    <cfRule type="cellIs" dxfId="205" priority="253" stopIfTrue="1" operator="greaterThanOrEqual">
      <formula>15</formula>
    </cfRule>
    <cfRule type="cellIs" dxfId="204" priority="254" stopIfTrue="1" operator="between">
      <formula>7</formula>
      <formula>14</formula>
    </cfRule>
    <cfRule type="cellIs" dxfId="203" priority="255" stopIfTrue="1" operator="lessThan">
      <formula>7</formula>
    </cfRule>
  </conditionalFormatting>
  <conditionalFormatting sqref="Q311">
    <cfRule type="cellIs" dxfId="202" priority="249" stopIfTrue="1" operator="greaterThanOrEqual">
      <formula>70</formula>
    </cfRule>
    <cfRule type="cellIs" dxfId="201" priority="250" stopIfTrue="1" operator="between">
      <formula>60</formula>
      <formula>69.999999</formula>
    </cfRule>
    <cfRule type="cellIs" dxfId="200" priority="251" stopIfTrue="1" operator="between">
      <formula>50</formula>
      <formula>59.9999</formula>
    </cfRule>
    <cfRule type="cellIs" dxfId="199" priority="252" stopIfTrue="1" operator="lessThanOrEqual">
      <formula>50</formula>
    </cfRule>
  </conditionalFormatting>
  <conditionalFormatting sqref="M311">
    <cfRule type="cellIs" dxfId="198" priority="246" stopIfTrue="1" operator="greaterThanOrEqual">
      <formula>15</formula>
    </cfRule>
    <cfRule type="cellIs" dxfId="197" priority="247" stopIfTrue="1" operator="between">
      <formula>7</formula>
      <formula>14</formula>
    </cfRule>
    <cfRule type="cellIs" dxfId="196" priority="248" stopIfTrue="1" operator="lessThan">
      <formula>7</formula>
    </cfRule>
  </conditionalFormatting>
  <conditionalFormatting sqref="Q308">
    <cfRule type="cellIs" dxfId="195" priority="242" stopIfTrue="1" operator="greaterThanOrEqual">
      <formula>70</formula>
    </cfRule>
    <cfRule type="cellIs" dxfId="194" priority="243" stopIfTrue="1" operator="between">
      <formula>60</formula>
      <formula>69.999999</formula>
    </cfRule>
    <cfRule type="cellIs" dxfId="193" priority="244" stopIfTrue="1" operator="between">
      <formula>50</formula>
      <formula>59.9999</formula>
    </cfRule>
    <cfRule type="cellIs" dxfId="192" priority="245" stopIfTrue="1" operator="lessThanOrEqual">
      <formula>50</formula>
    </cfRule>
  </conditionalFormatting>
  <conditionalFormatting sqref="M308">
    <cfRule type="cellIs" dxfId="191" priority="239" stopIfTrue="1" operator="greaterThanOrEqual">
      <formula>15</formula>
    </cfRule>
    <cfRule type="cellIs" dxfId="190" priority="240" stopIfTrue="1" operator="between">
      <formula>7</formula>
      <formula>14</formula>
    </cfRule>
    <cfRule type="cellIs" dxfId="189" priority="241" stopIfTrue="1" operator="lessThan">
      <formula>7</formula>
    </cfRule>
  </conditionalFormatting>
  <conditionalFormatting sqref="Q309">
    <cfRule type="cellIs" dxfId="188" priority="235" stopIfTrue="1" operator="greaterThanOrEqual">
      <formula>70</formula>
    </cfRule>
    <cfRule type="cellIs" dxfId="187" priority="236" stopIfTrue="1" operator="between">
      <formula>60</formula>
      <formula>69.999999</formula>
    </cfRule>
    <cfRule type="cellIs" dxfId="186" priority="237" stopIfTrue="1" operator="between">
      <formula>50</formula>
      <formula>59.9999</formula>
    </cfRule>
    <cfRule type="cellIs" dxfId="185" priority="238" stopIfTrue="1" operator="lessThanOrEqual">
      <formula>50</formula>
    </cfRule>
  </conditionalFormatting>
  <conditionalFormatting sqref="M309">
    <cfRule type="cellIs" dxfId="184" priority="232" stopIfTrue="1" operator="greaterThanOrEqual">
      <formula>15</formula>
    </cfRule>
    <cfRule type="cellIs" dxfId="183" priority="233" stopIfTrue="1" operator="between">
      <formula>7</formula>
      <formula>14</formula>
    </cfRule>
    <cfRule type="cellIs" dxfId="182" priority="234" stopIfTrue="1" operator="lessThan">
      <formula>7</formula>
    </cfRule>
  </conditionalFormatting>
  <conditionalFormatting sqref="Q303">
    <cfRule type="cellIs" dxfId="181" priority="228" stopIfTrue="1" operator="greaterThanOrEqual">
      <formula>70</formula>
    </cfRule>
    <cfRule type="cellIs" dxfId="180" priority="229" stopIfTrue="1" operator="between">
      <formula>60</formula>
      <formula>69.999999</formula>
    </cfRule>
    <cfRule type="cellIs" dxfId="179" priority="230" stopIfTrue="1" operator="between">
      <formula>50</formula>
      <formula>59.9999</formula>
    </cfRule>
    <cfRule type="cellIs" dxfId="178" priority="231" stopIfTrue="1" operator="lessThanOrEqual">
      <formula>50</formula>
    </cfRule>
  </conditionalFormatting>
  <conditionalFormatting sqref="M303">
    <cfRule type="cellIs" dxfId="177" priority="225" stopIfTrue="1" operator="greaterThanOrEqual">
      <formula>15</formula>
    </cfRule>
    <cfRule type="cellIs" dxfId="176" priority="226" stopIfTrue="1" operator="between">
      <formula>7</formula>
      <formula>14</formula>
    </cfRule>
    <cfRule type="cellIs" dxfId="175" priority="227" stopIfTrue="1" operator="lessThan">
      <formula>7</formula>
    </cfRule>
  </conditionalFormatting>
  <conditionalFormatting sqref="Q302">
    <cfRule type="cellIs" dxfId="174" priority="214" stopIfTrue="1" operator="greaterThanOrEqual">
      <formula>70</formula>
    </cfRule>
    <cfRule type="cellIs" dxfId="173" priority="215" stopIfTrue="1" operator="between">
      <formula>60</formula>
      <formula>69.999999</formula>
    </cfRule>
    <cfRule type="cellIs" dxfId="172" priority="216" stopIfTrue="1" operator="between">
      <formula>50</formula>
      <formula>59.9999</formula>
    </cfRule>
    <cfRule type="cellIs" dxfId="171" priority="217" stopIfTrue="1" operator="lessThanOrEqual">
      <formula>50</formula>
    </cfRule>
  </conditionalFormatting>
  <conditionalFormatting sqref="M302">
    <cfRule type="cellIs" dxfId="170" priority="211" stopIfTrue="1" operator="greaterThanOrEqual">
      <formula>15</formula>
    </cfRule>
    <cfRule type="cellIs" dxfId="169" priority="212" stopIfTrue="1" operator="between">
      <formula>7</formula>
      <formula>14</formula>
    </cfRule>
    <cfRule type="cellIs" dxfId="168" priority="213" stopIfTrue="1" operator="lessThan">
      <formula>7</formula>
    </cfRule>
  </conditionalFormatting>
  <conditionalFormatting sqref="Q301">
    <cfRule type="cellIs" dxfId="167" priority="207" stopIfTrue="1" operator="greaterThanOrEqual">
      <formula>70</formula>
    </cfRule>
    <cfRule type="cellIs" dxfId="166" priority="208" stopIfTrue="1" operator="between">
      <formula>60</formula>
      <formula>69.999999</formula>
    </cfRule>
    <cfRule type="cellIs" dxfId="165" priority="209" stopIfTrue="1" operator="between">
      <formula>50</formula>
      <formula>59.9999</formula>
    </cfRule>
    <cfRule type="cellIs" dxfId="164" priority="210" stopIfTrue="1" operator="lessThanOrEqual">
      <formula>50</formula>
    </cfRule>
  </conditionalFormatting>
  <conditionalFormatting sqref="M301">
    <cfRule type="cellIs" dxfId="163" priority="204" stopIfTrue="1" operator="greaterThanOrEqual">
      <formula>15</formula>
    </cfRule>
    <cfRule type="cellIs" dxfId="162" priority="205" stopIfTrue="1" operator="between">
      <formula>7</formula>
      <formula>14</formula>
    </cfRule>
    <cfRule type="cellIs" dxfId="161" priority="206" stopIfTrue="1" operator="lessThan">
      <formula>7</formula>
    </cfRule>
  </conditionalFormatting>
  <conditionalFormatting sqref="Q286">
    <cfRule type="cellIs" dxfId="160" priority="193" stopIfTrue="1" operator="greaterThanOrEqual">
      <formula>70</formula>
    </cfRule>
    <cfRule type="cellIs" dxfId="159" priority="194" stopIfTrue="1" operator="between">
      <formula>60</formula>
      <formula>69.999999</formula>
    </cfRule>
    <cfRule type="cellIs" dxfId="158" priority="195" stopIfTrue="1" operator="between">
      <formula>50</formula>
      <formula>59.9999</formula>
    </cfRule>
    <cfRule type="cellIs" dxfId="157" priority="196" stopIfTrue="1" operator="lessThanOrEqual">
      <formula>50</formula>
    </cfRule>
  </conditionalFormatting>
  <conditionalFormatting sqref="M286">
    <cfRule type="cellIs" dxfId="156" priority="190" stopIfTrue="1" operator="greaterThanOrEqual">
      <formula>15</formula>
    </cfRule>
    <cfRule type="cellIs" dxfId="155" priority="191" stopIfTrue="1" operator="between">
      <formula>7</formula>
      <formula>14</formula>
    </cfRule>
    <cfRule type="cellIs" dxfId="154" priority="192" stopIfTrue="1" operator="lessThan">
      <formula>7</formula>
    </cfRule>
  </conditionalFormatting>
  <conditionalFormatting sqref="Q276">
    <cfRule type="cellIs" dxfId="153" priority="186" stopIfTrue="1" operator="greaterThanOrEqual">
      <formula>70</formula>
    </cfRule>
    <cfRule type="cellIs" dxfId="152" priority="187" stopIfTrue="1" operator="between">
      <formula>60</formula>
      <formula>69.999999</formula>
    </cfRule>
    <cfRule type="cellIs" dxfId="151" priority="188" stopIfTrue="1" operator="between">
      <formula>50</formula>
      <formula>59.9999</formula>
    </cfRule>
    <cfRule type="cellIs" dxfId="150" priority="189" stopIfTrue="1" operator="lessThanOrEqual">
      <formula>50</formula>
    </cfRule>
  </conditionalFormatting>
  <conditionalFormatting sqref="M276">
    <cfRule type="cellIs" dxfId="149" priority="183" stopIfTrue="1" operator="greaterThanOrEqual">
      <formula>15</formula>
    </cfRule>
    <cfRule type="cellIs" dxfId="148" priority="184" stopIfTrue="1" operator="between">
      <formula>7</formula>
      <formula>14</formula>
    </cfRule>
    <cfRule type="cellIs" dxfId="147" priority="185" stopIfTrue="1" operator="lessThan">
      <formula>7</formula>
    </cfRule>
  </conditionalFormatting>
  <conditionalFormatting sqref="Q277">
    <cfRule type="cellIs" dxfId="146" priority="179" stopIfTrue="1" operator="greaterThanOrEqual">
      <formula>70</formula>
    </cfRule>
    <cfRule type="cellIs" dxfId="145" priority="180" stopIfTrue="1" operator="between">
      <formula>60</formula>
      <formula>69.999999</formula>
    </cfRule>
    <cfRule type="cellIs" dxfId="144" priority="181" stopIfTrue="1" operator="between">
      <formula>50</formula>
      <formula>59.9999</formula>
    </cfRule>
    <cfRule type="cellIs" dxfId="143" priority="182" stopIfTrue="1" operator="lessThanOrEqual">
      <formula>50</formula>
    </cfRule>
  </conditionalFormatting>
  <conditionalFormatting sqref="M277">
    <cfRule type="cellIs" dxfId="142" priority="176" stopIfTrue="1" operator="greaterThanOrEqual">
      <formula>15</formula>
    </cfRule>
    <cfRule type="cellIs" dxfId="141" priority="177" stopIfTrue="1" operator="between">
      <formula>7</formula>
      <formula>14</formula>
    </cfRule>
    <cfRule type="cellIs" dxfId="140" priority="178" stopIfTrue="1" operator="lessThan">
      <formula>7</formula>
    </cfRule>
  </conditionalFormatting>
  <conditionalFormatting sqref="Q278">
    <cfRule type="cellIs" dxfId="139" priority="172" stopIfTrue="1" operator="greaterThanOrEqual">
      <formula>70</formula>
    </cfRule>
    <cfRule type="cellIs" dxfId="138" priority="173" stopIfTrue="1" operator="between">
      <formula>60</formula>
      <formula>69.999999</formula>
    </cfRule>
    <cfRule type="cellIs" dxfId="137" priority="174" stopIfTrue="1" operator="between">
      <formula>50</formula>
      <formula>59.9999</formula>
    </cfRule>
    <cfRule type="cellIs" dxfId="136" priority="175" stopIfTrue="1" operator="lessThanOrEqual">
      <formula>50</formula>
    </cfRule>
  </conditionalFormatting>
  <conditionalFormatting sqref="M278">
    <cfRule type="cellIs" dxfId="135" priority="169" stopIfTrue="1" operator="greaterThanOrEqual">
      <formula>15</formula>
    </cfRule>
    <cfRule type="cellIs" dxfId="134" priority="170" stopIfTrue="1" operator="between">
      <formula>7</formula>
      <formula>14</formula>
    </cfRule>
    <cfRule type="cellIs" dxfId="133" priority="171" stopIfTrue="1" operator="lessThan">
      <formula>7</formula>
    </cfRule>
  </conditionalFormatting>
  <conditionalFormatting sqref="Q279">
    <cfRule type="cellIs" dxfId="132" priority="165" stopIfTrue="1" operator="greaterThanOrEqual">
      <formula>70</formula>
    </cfRule>
    <cfRule type="cellIs" dxfId="131" priority="166" stopIfTrue="1" operator="between">
      <formula>60</formula>
      <formula>69.999999</formula>
    </cfRule>
    <cfRule type="cellIs" dxfId="130" priority="167" stopIfTrue="1" operator="between">
      <formula>50</formula>
      <formula>59.9999</formula>
    </cfRule>
    <cfRule type="cellIs" dxfId="129" priority="168" stopIfTrue="1" operator="lessThanOrEqual">
      <formula>50</formula>
    </cfRule>
  </conditionalFormatting>
  <conditionalFormatting sqref="M279">
    <cfRule type="cellIs" dxfId="128" priority="162" stopIfTrue="1" operator="greaterThanOrEqual">
      <formula>15</formula>
    </cfRule>
    <cfRule type="cellIs" dxfId="127" priority="163" stopIfTrue="1" operator="between">
      <formula>7</formula>
      <formula>14</formula>
    </cfRule>
    <cfRule type="cellIs" dxfId="126" priority="164" stopIfTrue="1" operator="lessThan">
      <formula>7</formula>
    </cfRule>
  </conditionalFormatting>
  <conditionalFormatting sqref="Q257">
    <cfRule type="cellIs" dxfId="125" priority="158" stopIfTrue="1" operator="greaterThanOrEqual">
      <formula>70</formula>
    </cfRule>
    <cfRule type="cellIs" dxfId="124" priority="159" stopIfTrue="1" operator="between">
      <formula>60</formula>
      <formula>69.999999</formula>
    </cfRule>
    <cfRule type="cellIs" dxfId="123" priority="160" stopIfTrue="1" operator="between">
      <formula>50</formula>
      <formula>59.9999</formula>
    </cfRule>
    <cfRule type="cellIs" dxfId="122" priority="161" stopIfTrue="1" operator="lessThanOrEqual">
      <formula>50</formula>
    </cfRule>
  </conditionalFormatting>
  <conditionalFormatting sqref="M257">
    <cfRule type="cellIs" dxfId="121" priority="155" stopIfTrue="1" operator="greaterThanOrEqual">
      <formula>15</formula>
    </cfRule>
    <cfRule type="cellIs" dxfId="120" priority="156" stopIfTrue="1" operator="between">
      <formula>7</formula>
      <formula>14</formula>
    </cfRule>
    <cfRule type="cellIs" dxfId="119" priority="157" stopIfTrue="1" operator="lessThan">
      <formula>7</formula>
    </cfRule>
  </conditionalFormatting>
  <conditionalFormatting sqref="Q241">
    <cfRule type="cellIs" dxfId="118" priority="144" stopIfTrue="1" operator="greaterThanOrEqual">
      <formula>70</formula>
    </cfRule>
    <cfRule type="cellIs" dxfId="117" priority="145" stopIfTrue="1" operator="between">
      <formula>60</formula>
      <formula>69.999999</formula>
    </cfRule>
    <cfRule type="cellIs" dxfId="116" priority="146" stopIfTrue="1" operator="between">
      <formula>50</formula>
      <formula>59.9999</formula>
    </cfRule>
    <cfRule type="cellIs" dxfId="115" priority="147" stopIfTrue="1" operator="lessThanOrEqual">
      <formula>50</formula>
    </cfRule>
  </conditionalFormatting>
  <conditionalFormatting sqref="M241">
    <cfRule type="cellIs" dxfId="114" priority="141" stopIfTrue="1" operator="greaterThanOrEqual">
      <formula>15</formula>
    </cfRule>
    <cfRule type="cellIs" dxfId="113" priority="142" stopIfTrue="1" operator="between">
      <formula>7</formula>
      <formula>14</formula>
    </cfRule>
    <cfRule type="cellIs" dxfId="112" priority="143" stopIfTrue="1" operator="lessThan">
      <formula>7</formula>
    </cfRule>
  </conditionalFormatting>
  <conditionalFormatting sqref="Q236">
    <cfRule type="cellIs" dxfId="111" priority="130" stopIfTrue="1" operator="greaterThanOrEqual">
      <formula>70</formula>
    </cfRule>
    <cfRule type="cellIs" dxfId="110" priority="131" stopIfTrue="1" operator="between">
      <formula>60</formula>
      <formula>69.999999</formula>
    </cfRule>
    <cfRule type="cellIs" dxfId="109" priority="132" stopIfTrue="1" operator="between">
      <formula>50</formula>
      <formula>59.9999</formula>
    </cfRule>
    <cfRule type="cellIs" dxfId="108" priority="133" stopIfTrue="1" operator="lessThanOrEqual">
      <formula>50</formula>
    </cfRule>
  </conditionalFormatting>
  <conditionalFormatting sqref="M236">
    <cfRule type="cellIs" dxfId="107" priority="127" stopIfTrue="1" operator="greaterThanOrEqual">
      <formula>15</formula>
    </cfRule>
    <cfRule type="cellIs" dxfId="106" priority="128" stopIfTrue="1" operator="between">
      <formula>7</formula>
      <formula>14</formula>
    </cfRule>
    <cfRule type="cellIs" dxfId="105" priority="129" stopIfTrue="1" operator="lessThan">
      <formula>7</formula>
    </cfRule>
  </conditionalFormatting>
  <conditionalFormatting sqref="Q237">
    <cfRule type="cellIs" dxfId="104" priority="116" stopIfTrue="1" operator="greaterThanOrEqual">
      <formula>70</formula>
    </cfRule>
    <cfRule type="cellIs" dxfId="103" priority="117" stopIfTrue="1" operator="between">
      <formula>60</formula>
      <formula>69.999999</formula>
    </cfRule>
    <cfRule type="cellIs" dxfId="102" priority="118" stopIfTrue="1" operator="between">
      <formula>50</formula>
      <formula>59.9999</formula>
    </cfRule>
    <cfRule type="cellIs" dxfId="101" priority="119" stopIfTrue="1" operator="lessThanOrEqual">
      <formula>50</formula>
    </cfRule>
  </conditionalFormatting>
  <conditionalFormatting sqref="M237">
    <cfRule type="cellIs" dxfId="100" priority="113" stopIfTrue="1" operator="greaterThanOrEqual">
      <formula>15</formula>
    </cfRule>
    <cfRule type="cellIs" dxfId="99" priority="114" stopIfTrue="1" operator="between">
      <formula>7</formula>
      <formula>14</formula>
    </cfRule>
    <cfRule type="cellIs" dxfId="98" priority="115" stopIfTrue="1" operator="lessThan">
      <formula>7</formula>
    </cfRule>
  </conditionalFormatting>
  <conditionalFormatting sqref="Q238">
    <cfRule type="cellIs" dxfId="97" priority="109" stopIfTrue="1" operator="greaterThanOrEqual">
      <formula>70</formula>
    </cfRule>
    <cfRule type="cellIs" dxfId="96" priority="110" stopIfTrue="1" operator="between">
      <formula>60</formula>
      <formula>69.999999</formula>
    </cfRule>
    <cfRule type="cellIs" dxfId="95" priority="111" stopIfTrue="1" operator="between">
      <formula>50</formula>
      <formula>59.9999</formula>
    </cfRule>
    <cfRule type="cellIs" dxfId="94" priority="112" stopIfTrue="1" operator="lessThanOrEqual">
      <formula>50</formula>
    </cfRule>
  </conditionalFormatting>
  <conditionalFormatting sqref="M238">
    <cfRule type="cellIs" dxfId="93" priority="106" stopIfTrue="1" operator="greaterThanOrEqual">
      <formula>15</formula>
    </cfRule>
    <cfRule type="cellIs" dxfId="92" priority="107" stopIfTrue="1" operator="between">
      <formula>7</formula>
      <formula>14</formula>
    </cfRule>
    <cfRule type="cellIs" dxfId="91" priority="108" stopIfTrue="1" operator="lessThan">
      <formula>7</formula>
    </cfRule>
  </conditionalFormatting>
  <conditionalFormatting sqref="Q240">
    <cfRule type="cellIs" dxfId="90" priority="102" stopIfTrue="1" operator="greaterThanOrEqual">
      <formula>70</formula>
    </cfRule>
    <cfRule type="cellIs" dxfId="89" priority="103" stopIfTrue="1" operator="between">
      <formula>60</formula>
      <formula>69.999999</formula>
    </cfRule>
    <cfRule type="cellIs" dxfId="88" priority="104" stopIfTrue="1" operator="between">
      <formula>50</formula>
      <formula>59.9999</formula>
    </cfRule>
    <cfRule type="cellIs" dxfId="87" priority="105" stopIfTrue="1" operator="lessThanOrEqual">
      <formula>50</formula>
    </cfRule>
  </conditionalFormatting>
  <conditionalFormatting sqref="M240">
    <cfRule type="cellIs" dxfId="86" priority="99" stopIfTrue="1" operator="greaterThanOrEqual">
      <formula>15</formula>
    </cfRule>
    <cfRule type="cellIs" dxfId="85" priority="100" stopIfTrue="1" operator="between">
      <formula>7</formula>
      <formula>14</formula>
    </cfRule>
    <cfRule type="cellIs" dxfId="84" priority="101" stopIfTrue="1" operator="lessThan">
      <formula>7</formula>
    </cfRule>
  </conditionalFormatting>
  <conditionalFormatting sqref="Q239">
    <cfRule type="cellIs" dxfId="83" priority="88" stopIfTrue="1" operator="greaterThanOrEqual">
      <formula>70</formula>
    </cfRule>
    <cfRule type="cellIs" dxfId="82" priority="89" stopIfTrue="1" operator="between">
      <formula>60</formula>
      <formula>69.999999</formula>
    </cfRule>
    <cfRule type="cellIs" dxfId="81" priority="90" stopIfTrue="1" operator="between">
      <formula>50</formula>
      <formula>59.9999</formula>
    </cfRule>
    <cfRule type="cellIs" dxfId="80" priority="91" stopIfTrue="1" operator="lessThanOrEqual">
      <formula>50</formula>
    </cfRule>
  </conditionalFormatting>
  <conditionalFormatting sqref="M239">
    <cfRule type="cellIs" dxfId="79" priority="85" stopIfTrue="1" operator="greaterThanOrEqual">
      <formula>15</formula>
    </cfRule>
    <cfRule type="cellIs" dxfId="78" priority="86" stopIfTrue="1" operator="between">
      <formula>7</formula>
      <formula>14</formula>
    </cfRule>
    <cfRule type="cellIs" dxfId="77" priority="87" stopIfTrue="1" operator="lessThan">
      <formula>7</formula>
    </cfRule>
  </conditionalFormatting>
  <conditionalFormatting sqref="Q193:Q194">
    <cfRule type="cellIs" dxfId="76" priority="81" stopIfTrue="1" operator="greaterThanOrEqual">
      <formula>70</formula>
    </cfRule>
    <cfRule type="cellIs" dxfId="75" priority="82" stopIfTrue="1" operator="between">
      <formula>60</formula>
      <formula>69.999999</formula>
    </cfRule>
    <cfRule type="cellIs" dxfId="74" priority="83" stopIfTrue="1" operator="between">
      <formula>50</formula>
      <formula>59.9999</formula>
    </cfRule>
    <cfRule type="cellIs" dxfId="73" priority="84" stopIfTrue="1" operator="lessThanOrEqual">
      <formula>50</formula>
    </cfRule>
  </conditionalFormatting>
  <conditionalFormatting sqref="M193:M194">
    <cfRule type="cellIs" dxfId="72" priority="78" stopIfTrue="1" operator="greaterThanOrEqual">
      <formula>15</formula>
    </cfRule>
    <cfRule type="cellIs" dxfId="71" priority="79" stopIfTrue="1" operator="between">
      <formula>7</formula>
      <formula>14</formula>
    </cfRule>
    <cfRule type="cellIs" dxfId="70" priority="80" stopIfTrue="1" operator="lessThan">
      <formula>7</formula>
    </cfRule>
  </conditionalFormatting>
  <conditionalFormatting sqref="Q196">
    <cfRule type="cellIs" dxfId="69" priority="74" stopIfTrue="1" operator="greaterThanOrEqual">
      <formula>70</formula>
    </cfRule>
    <cfRule type="cellIs" dxfId="68" priority="75" stopIfTrue="1" operator="between">
      <formula>60</formula>
      <formula>69.999999</formula>
    </cfRule>
    <cfRule type="cellIs" dxfId="67" priority="76" stopIfTrue="1" operator="between">
      <formula>50</formula>
      <formula>59.9999</formula>
    </cfRule>
    <cfRule type="cellIs" dxfId="66" priority="77" stopIfTrue="1" operator="lessThanOrEqual">
      <formula>50</formula>
    </cfRule>
  </conditionalFormatting>
  <conditionalFormatting sqref="M196">
    <cfRule type="cellIs" dxfId="65" priority="71" stopIfTrue="1" operator="greaterThanOrEqual">
      <formula>15</formula>
    </cfRule>
    <cfRule type="cellIs" dxfId="64" priority="72" stopIfTrue="1" operator="between">
      <formula>7</formula>
      <formula>14</formula>
    </cfRule>
    <cfRule type="cellIs" dxfId="63" priority="73" stopIfTrue="1" operator="lessThan">
      <formula>7</formula>
    </cfRule>
  </conditionalFormatting>
  <conditionalFormatting sqref="Q195">
    <cfRule type="cellIs" dxfId="62" priority="67" stopIfTrue="1" operator="greaterThanOrEqual">
      <formula>70</formula>
    </cfRule>
    <cfRule type="cellIs" dxfId="61" priority="68" stopIfTrue="1" operator="between">
      <formula>60</formula>
      <formula>69.999999</formula>
    </cfRule>
    <cfRule type="cellIs" dxfId="60" priority="69" stopIfTrue="1" operator="between">
      <formula>50</formula>
      <formula>59.9999</formula>
    </cfRule>
    <cfRule type="cellIs" dxfId="59" priority="70" stopIfTrue="1" operator="lessThanOrEqual">
      <formula>50</formula>
    </cfRule>
  </conditionalFormatting>
  <conditionalFormatting sqref="M195">
    <cfRule type="cellIs" dxfId="58" priority="64" stopIfTrue="1" operator="greaterThanOrEqual">
      <formula>15</formula>
    </cfRule>
    <cfRule type="cellIs" dxfId="57" priority="65" stopIfTrue="1" operator="between">
      <formula>7</formula>
      <formula>14</formula>
    </cfRule>
    <cfRule type="cellIs" dxfId="56" priority="66" stopIfTrue="1" operator="lessThan">
      <formula>7</formula>
    </cfRule>
  </conditionalFormatting>
  <conditionalFormatting sqref="Q305">
    <cfRule type="cellIs" dxfId="55" priority="60" stopIfTrue="1" operator="greaterThanOrEqual">
      <formula>70</formula>
    </cfRule>
    <cfRule type="cellIs" dxfId="54" priority="61" stopIfTrue="1" operator="between">
      <formula>60</formula>
      <formula>69.999999</formula>
    </cfRule>
    <cfRule type="cellIs" dxfId="53" priority="62" stopIfTrue="1" operator="between">
      <formula>50</formula>
      <formula>59.9999</formula>
    </cfRule>
    <cfRule type="cellIs" dxfId="52" priority="63" stopIfTrue="1" operator="lessThanOrEqual">
      <formula>50</formula>
    </cfRule>
  </conditionalFormatting>
  <conditionalFormatting sqref="M305">
    <cfRule type="cellIs" dxfId="51" priority="57" stopIfTrue="1" operator="greaterThanOrEqual">
      <formula>15</formula>
    </cfRule>
    <cfRule type="cellIs" dxfId="50" priority="58" stopIfTrue="1" operator="between">
      <formula>7</formula>
      <formula>14</formula>
    </cfRule>
    <cfRule type="cellIs" dxfId="49" priority="59" stopIfTrue="1" operator="lessThan">
      <formula>7</formula>
    </cfRule>
  </conditionalFormatting>
  <conditionalFormatting sqref="Q152">
    <cfRule type="cellIs" dxfId="48" priority="53" stopIfTrue="1" operator="greaterThanOrEqual">
      <formula>70</formula>
    </cfRule>
    <cfRule type="cellIs" dxfId="47" priority="54" stopIfTrue="1" operator="between">
      <formula>60</formula>
      <formula>69.999999</formula>
    </cfRule>
    <cfRule type="cellIs" dxfId="46" priority="55" stopIfTrue="1" operator="between">
      <formula>50</formula>
      <formula>59.9999</formula>
    </cfRule>
    <cfRule type="cellIs" dxfId="45" priority="56" stopIfTrue="1" operator="lessThanOrEqual">
      <formula>50</formula>
    </cfRule>
  </conditionalFormatting>
  <conditionalFormatting sqref="M152">
    <cfRule type="cellIs" dxfId="44" priority="50" stopIfTrue="1" operator="greaterThanOrEqual">
      <formula>15</formula>
    </cfRule>
    <cfRule type="cellIs" dxfId="43" priority="51" stopIfTrue="1" operator="between">
      <formula>7</formula>
      <formula>14</formula>
    </cfRule>
    <cfRule type="cellIs" dxfId="42" priority="52" stopIfTrue="1" operator="lessThan">
      <formula>7</formula>
    </cfRule>
  </conditionalFormatting>
  <conditionalFormatting sqref="Q150">
    <cfRule type="cellIs" dxfId="41" priority="46" stopIfTrue="1" operator="greaterThanOrEqual">
      <formula>70</formula>
    </cfRule>
    <cfRule type="cellIs" dxfId="40" priority="47" stopIfTrue="1" operator="between">
      <formula>60</formula>
      <formula>69.999999</formula>
    </cfRule>
    <cfRule type="cellIs" dxfId="39" priority="48" stopIfTrue="1" operator="between">
      <formula>50</formula>
      <formula>59.9999</formula>
    </cfRule>
    <cfRule type="cellIs" dxfId="38" priority="49" stopIfTrue="1" operator="lessThanOrEqual">
      <formula>50</formula>
    </cfRule>
  </conditionalFormatting>
  <conditionalFormatting sqref="M150">
    <cfRule type="cellIs" dxfId="37" priority="43" stopIfTrue="1" operator="greaterThanOrEqual">
      <formula>15</formula>
    </cfRule>
    <cfRule type="cellIs" dxfId="36" priority="44" stopIfTrue="1" operator="between">
      <formula>7</formula>
      <formula>14</formula>
    </cfRule>
    <cfRule type="cellIs" dxfId="35" priority="45" stopIfTrue="1" operator="lessThan">
      <formula>7</formula>
    </cfRule>
  </conditionalFormatting>
  <conditionalFormatting sqref="Q151">
    <cfRule type="cellIs" dxfId="34" priority="39" stopIfTrue="1" operator="greaterThanOrEqual">
      <formula>70</formula>
    </cfRule>
    <cfRule type="cellIs" dxfId="33" priority="40" stopIfTrue="1" operator="between">
      <formula>60</formula>
      <formula>69.999999</formula>
    </cfRule>
    <cfRule type="cellIs" dxfId="32" priority="41" stopIfTrue="1" operator="between">
      <formula>50</formula>
      <formula>59.9999</formula>
    </cfRule>
    <cfRule type="cellIs" dxfId="31" priority="42" stopIfTrue="1" operator="lessThanOrEqual">
      <formula>50</formula>
    </cfRule>
  </conditionalFormatting>
  <conditionalFormatting sqref="M151">
    <cfRule type="cellIs" dxfId="30" priority="36" stopIfTrue="1" operator="greaterThanOrEqual">
      <formula>15</formula>
    </cfRule>
    <cfRule type="cellIs" dxfId="29" priority="37" stopIfTrue="1" operator="between">
      <formula>7</formula>
      <formula>14</formula>
    </cfRule>
    <cfRule type="cellIs" dxfId="28" priority="38" stopIfTrue="1" operator="lessThan">
      <formula>7</formula>
    </cfRule>
  </conditionalFormatting>
  <conditionalFormatting sqref="Q153">
    <cfRule type="cellIs" dxfId="27" priority="32" stopIfTrue="1" operator="greaterThanOrEqual">
      <formula>70</formula>
    </cfRule>
    <cfRule type="cellIs" dxfId="26" priority="33" stopIfTrue="1" operator="between">
      <formula>60</formula>
      <formula>69.999999</formula>
    </cfRule>
    <cfRule type="cellIs" dxfId="25" priority="34" stopIfTrue="1" operator="between">
      <formula>50</formula>
      <formula>59.9999</formula>
    </cfRule>
    <cfRule type="cellIs" dxfId="24" priority="35" stopIfTrue="1" operator="lessThanOrEqual">
      <formula>50</formula>
    </cfRule>
  </conditionalFormatting>
  <conditionalFormatting sqref="M153">
    <cfRule type="cellIs" dxfId="23" priority="29" stopIfTrue="1" operator="greaterThanOrEqual">
      <formula>15</formula>
    </cfRule>
    <cfRule type="cellIs" dxfId="22" priority="30" stopIfTrue="1" operator="between">
      <formula>7</formula>
      <formula>14</formula>
    </cfRule>
    <cfRule type="cellIs" dxfId="21" priority="31" stopIfTrue="1" operator="lessThan">
      <formula>7</formula>
    </cfRule>
  </conditionalFormatting>
  <conditionalFormatting sqref="M260">
    <cfRule type="cellIs" dxfId="20" priority="15" stopIfTrue="1" operator="greaterThanOrEqual">
      <formula>15</formula>
    </cfRule>
    <cfRule type="cellIs" dxfId="19" priority="16" stopIfTrue="1" operator="between">
      <formula>7</formula>
      <formula>14</formula>
    </cfRule>
    <cfRule type="cellIs" dxfId="18" priority="17" stopIfTrue="1" operator="lessThan">
      <formula>7</formula>
    </cfRule>
  </conditionalFormatting>
  <conditionalFormatting sqref="Q260">
    <cfRule type="cellIs" dxfId="17" priority="18" stopIfTrue="1" operator="greaterThanOrEqual">
      <formula>70</formula>
    </cfRule>
    <cfRule type="cellIs" dxfId="16" priority="19" stopIfTrue="1" operator="between">
      <formula>60</formula>
      <formula>69.999999</formula>
    </cfRule>
    <cfRule type="cellIs" dxfId="15" priority="20" stopIfTrue="1" operator="between">
      <formula>50</formula>
      <formula>59.9999</formula>
    </cfRule>
    <cfRule type="cellIs" dxfId="14" priority="21" stopIfTrue="1" operator="lessThanOrEqual">
      <formula>50</formula>
    </cfRule>
  </conditionalFormatting>
  <conditionalFormatting sqref="Q259">
    <cfRule type="cellIs" dxfId="13" priority="11" stopIfTrue="1" operator="greaterThanOrEqual">
      <formula>70</formula>
    </cfRule>
    <cfRule type="cellIs" dxfId="12" priority="12" stopIfTrue="1" operator="between">
      <formula>60</formula>
      <formula>69.999999</formula>
    </cfRule>
    <cfRule type="cellIs" dxfId="11" priority="13" stopIfTrue="1" operator="between">
      <formula>50</formula>
      <formula>59.9999</formula>
    </cfRule>
    <cfRule type="cellIs" dxfId="10" priority="14" stopIfTrue="1" operator="lessThanOrEqual">
      <formula>50</formula>
    </cfRule>
  </conditionalFormatting>
  <conditionalFormatting sqref="M259">
    <cfRule type="cellIs" dxfId="9" priority="8" stopIfTrue="1" operator="greaterThanOrEqual">
      <formula>15</formula>
    </cfRule>
    <cfRule type="cellIs" dxfId="8" priority="9" stopIfTrue="1" operator="between">
      <formula>7</formula>
      <formula>14</formula>
    </cfRule>
    <cfRule type="cellIs" dxfId="7" priority="10" stopIfTrue="1" operator="lessThan">
      <formula>7</formula>
    </cfRule>
  </conditionalFormatting>
  <conditionalFormatting sqref="Q158:Q159">
    <cfRule type="cellIs" dxfId="6" priority="4" stopIfTrue="1" operator="greaterThanOrEqual">
      <formula>70</formula>
    </cfRule>
    <cfRule type="cellIs" dxfId="5" priority="5" stopIfTrue="1" operator="between">
      <formula>60</formula>
      <formula>69.999999</formula>
    </cfRule>
    <cfRule type="cellIs" dxfId="4" priority="6" stopIfTrue="1" operator="between">
      <formula>50</formula>
      <formula>59.9999</formula>
    </cfRule>
    <cfRule type="cellIs" dxfId="3" priority="7" stopIfTrue="1" operator="lessThanOrEqual">
      <formula>50</formula>
    </cfRule>
  </conditionalFormatting>
  <conditionalFormatting sqref="M158:M159">
    <cfRule type="cellIs" dxfId="2" priority="1" stopIfTrue="1" operator="greaterThanOrEqual">
      <formula>15</formula>
    </cfRule>
    <cfRule type="cellIs" dxfId="1" priority="2" stopIfTrue="1" operator="between">
      <formula>7</formula>
      <formula>14</formula>
    </cfRule>
    <cfRule type="cellIs" dxfId="0" priority="3" stopIfTrue="1" operator="lessThan">
      <formula>7</formula>
    </cfRule>
  </conditionalFormatting>
  <dataValidations count="3">
    <dataValidation type="whole" allowBlank="1" showInputMessage="1" showErrorMessage="1" errorTitle="Detection Score" error="Detection Score should be 1 to 5." sqref="P76:P95 P248:P295 P5:P74 P297:P332 P178:P246 P97:P176 P334:P1048576" xr:uid="{00000000-0002-0000-0800-000000000000}">
      <formula1>1</formula1>
      <formula2>5</formula2>
    </dataValidation>
    <dataValidation type="whole" allowBlank="1" showInputMessage="1" showErrorMessage="1" errorTitle="Occurrence Score" error="Occurrence Score should be 1 to 5." sqref="L297:L332 L248:L295 L5:L74 L76:L95 L178:L246 L97:L176 L334:L1048576" xr:uid="{00000000-0002-0000-0800-000001000000}">
      <formula1>1</formula1>
      <formula2>5</formula2>
    </dataValidation>
    <dataValidation type="whole" allowBlank="1" showInputMessage="1" showErrorMessage="1" errorTitle="Severity Score" error="Severity Score should be 1 to 5." sqref="I297:I332 I248:I295 I5:I74 I76:I95 I178:I246 I97:I176 I334:I1048576" xr:uid="{00000000-0002-0000-0800-000002000000}">
      <formula1>1</formula1>
      <formula2>5</formula2>
    </dataValidation>
  </dataValidations>
  <pageMargins left="0.75" right="0.75" top="0.61" bottom="0.68" header="0.5" footer="0.25"/>
  <pageSetup paperSize="5" scale="53" fitToHeight="4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4"/>
  <sheetViews>
    <sheetView workbookViewId="0">
      <selection activeCell="A8" sqref="A8"/>
    </sheetView>
  </sheetViews>
  <sheetFormatPr defaultRowHeight="12.75" x14ac:dyDescent="0.2"/>
  <cols>
    <col min="1" max="1" width="14.7109375" bestFit="1" customWidth="1"/>
  </cols>
  <sheetData>
    <row r="1" spans="1:1" x14ac:dyDescent="0.2">
      <c r="A1" s="67" t="s">
        <v>104</v>
      </c>
    </row>
    <row r="2" spans="1:1" x14ac:dyDescent="0.2">
      <c r="A2" t="s">
        <v>106</v>
      </c>
    </row>
    <row r="3" spans="1:1" x14ac:dyDescent="0.2">
      <c r="A3" s="67" t="s">
        <v>108</v>
      </c>
    </row>
    <row r="4" spans="1:1" x14ac:dyDescent="0.2">
      <c r="A4" s="67" t="s">
        <v>107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BBC4C2D3967A4690353A0179DF5447" ma:contentTypeVersion="2" ma:contentTypeDescription="Create a new document." ma:contentTypeScope="" ma:versionID="ca63754b0b9f69cc6cedf4a586266cca">
  <xsd:schema xmlns:xsd="http://www.w3.org/2001/XMLSchema" xmlns:xs="http://www.w3.org/2001/XMLSchema" xmlns:p="http://schemas.microsoft.com/office/2006/metadata/properties" xmlns:ns2="d9639f94-6464-451d-9dd7-750d9b2bec31" targetNamespace="http://schemas.microsoft.com/office/2006/metadata/properties" ma:root="true" ma:fieldsID="a239186ef32374974f21c7b43a509ba4" ns2:_="">
    <xsd:import namespace="d9639f94-6464-451d-9dd7-750d9b2bec3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639f94-6464-451d-9dd7-750d9b2be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0C8D28-EC33-4C07-8490-B2DA302BA73B}">
  <ds:schemaRefs>
    <ds:schemaRef ds:uri="http://schemas.microsoft.com/sharepoint/v3/contenttype/forms"/>
  </ds:schemaRefs>
</ds:datastoreItem>
</file>

<file path=customXml/itemProps2.xml><?xml version="1.0" encoding="utf-8"?>
<ds:datastoreItem xmlns:ds="http://schemas.openxmlformats.org/officeDocument/2006/customXml" ds:itemID="{7C745330-F277-477B-B614-608B9AD33DB0}">
  <ds:schemaRefs>
    <ds:schemaRef ds:uri="http://schemas.microsoft.com/office/2006/metadata/properties"/>
    <ds:schemaRef ds:uri="d9639f94-6464-451d-9dd7-750d9b2bec31"/>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F25630CF-4D85-47D4-8A4F-717453938E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639f94-6464-451d-9dd7-750d9b2be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Title</vt:lpstr>
      <vt:lpstr>Revision History</vt:lpstr>
      <vt:lpstr>Definitions-Terms</vt:lpstr>
      <vt:lpstr>Design-Traceability</vt:lpstr>
      <vt:lpstr>Scores </vt:lpstr>
      <vt:lpstr>S-O-D Definitions</vt:lpstr>
      <vt:lpstr>Lookup_Table</vt:lpstr>
      <vt:lpstr>Bypass - Architecture</vt:lpstr>
      <vt:lpstr>MVAr - Architecture</vt:lpstr>
      <vt:lpstr>Functional Block Diagram </vt:lpstr>
      <vt:lpstr>DFMECA</vt:lpstr>
      <vt:lpstr>Data Validation</vt:lpstr>
      <vt:lpstr>DFMECA!Print_Titles</vt:lpstr>
    </vt:vector>
  </TitlesOfParts>
  <Manager>Amrit</Manager>
  <Company>Smart Wires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FMECA-SmartValve</dc:title>
  <dc:creator>PS19SQA</dc:creator>
  <cp:lastModifiedBy>Zohaib Nayyar</cp:lastModifiedBy>
  <cp:revision/>
  <dcterms:created xsi:type="dcterms:W3CDTF">1999-10-19T12:54:51Z</dcterms:created>
  <dcterms:modified xsi:type="dcterms:W3CDTF">2025-11-14T14:35:02Z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0x0101006DBBC4C2D3967A4690353A0179DF5447</vt:lpwstr>
  </property>
</Properties>
</file>