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rvathy\OSU Boot Camp\Module1\Challenge\"/>
    </mc:Choice>
  </mc:AlternateContent>
  <xr:revisionPtr revIDLastSave="0" documentId="13_ncr:1_{C2DB4A14-FA1B-46E2-AD41-CCADD2A72BF9}" xr6:coauthVersionLast="46" xr6:coauthVersionMax="46" xr10:uidLastSave="{00000000-0000-0000-0000-000000000000}"/>
  <bookViews>
    <workbookView xWindow="20370" yWindow="-120" windowWidth="29040" windowHeight="15840" xr2:uid="{00000000-000D-0000-FFFF-FFFF00000000}"/>
  </bookViews>
  <sheets>
    <sheet name="Kickstarter" sheetId="1" r:id="rId1"/>
    <sheet name="Outcomes  based on Parent Categ" sheetId="2" r:id="rId2"/>
    <sheet name="Outcomes based on Subcategory" sheetId="7" r:id="rId3"/>
    <sheet name="Theater Outcomes by Launch Date" sheetId="12" r:id="rId4"/>
    <sheet name="OUTCOMES BASED ON LAUNCH DATE " sheetId="8" r:id="rId5"/>
    <sheet name="Outcomes Based on Goals" sheetId="14" r:id="rId6"/>
  </sheets>
  <definedNames>
    <definedName name="_xlnm._FilterDatabase" localSheetId="0" hidden="1">Kickstarter!$A$1:$V$1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4" l="1"/>
  <c r="B13" i="14"/>
  <c r="B12" i="14"/>
  <c r="C4" i="14"/>
  <c r="C3" i="14"/>
  <c r="B4" i="14"/>
  <c r="B3" i="14"/>
  <c r="G8" i="14"/>
  <c r="F8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G10" i="14" s="1"/>
  <c r="C9" i="14"/>
  <c r="C8" i="14"/>
  <c r="C7" i="14"/>
  <c r="C6" i="14"/>
  <c r="G6" i="14" s="1"/>
  <c r="C5" i="14"/>
  <c r="C2" i="14"/>
  <c r="B11" i="14"/>
  <c r="E11" i="14" s="1"/>
  <c r="H11" i="14" s="1"/>
  <c r="B10" i="14"/>
  <c r="E10" i="14" s="1"/>
  <c r="H10" i="14" s="1"/>
  <c r="B9" i="14"/>
  <c r="B8" i="14"/>
  <c r="E8" i="14" s="1"/>
  <c r="H8" i="14" s="1"/>
  <c r="B7" i="14"/>
  <c r="E7" i="14" s="1"/>
  <c r="H7" i="14" s="1"/>
  <c r="B6" i="14"/>
  <c r="E6" i="14" s="1"/>
  <c r="H6" i="14" s="1"/>
  <c r="B5" i="14"/>
  <c r="E5" i="14" s="1"/>
  <c r="H5" i="14" s="1"/>
  <c r="B2" i="14"/>
  <c r="S3" i="1"/>
  <c r="U3" i="1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14" l="1"/>
  <c r="G11" i="14"/>
  <c r="G7" i="14"/>
  <c r="F11" i="14"/>
  <c r="F7" i="14"/>
  <c r="F10" i="14"/>
  <c r="F6" i="14"/>
  <c r="G5" i="14"/>
  <c r="E4" i="14"/>
  <c r="E12" i="14"/>
  <c r="G12" i="14" s="1"/>
  <c r="E3" i="14"/>
  <c r="G3" i="14" s="1"/>
  <c r="E2" i="14"/>
  <c r="G2" i="14" s="1"/>
  <c r="E9" i="14"/>
  <c r="E13" i="14"/>
  <c r="G13" i="14" s="1"/>
  <c r="G9" i="14" l="1"/>
  <c r="F9" i="14"/>
  <c r="F12" i="14"/>
  <c r="F13" i="14"/>
  <c r="F2" i="14" s="1"/>
  <c r="F3" i="14"/>
  <c r="H4" i="14"/>
  <c r="G4" i="14"/>
  <c r="F4" i="14"/>
  <c r="H12" i="14"/>
  <c r="H3" i="14"/>
  <c r="H13" i="14"/>
  <c r="H9" i="14"/>
  <c r="H2" i="14"/>
</calcChain>
</file>

<file path=xl/sharedStrings.xml><?xml version="1.0" encoding="utf-8"?>
<sst xmlns="http://schemas.openxmlformats.org/spreadsheetml/2006/main" count="33047" uniqueCount="8403">
  <si>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</si>
  <si>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</si>
  <si>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</si>
  <si>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</si>
  <si>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</si>
  <si>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</si>
  <si>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</si>
  <si>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</si>
  <si>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</si>
  <si>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</si>
  <si>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</si>
  <si>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</si>
  <si>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</si>
  <si>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</si>
  <si>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</si>
  <si>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</si>
  <si>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</si>
  <si>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</si>
  <si>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</si>
  <si>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</si>
  <si>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</si>
  <si>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</si>
  <si>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</si>
  <si>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</si>
  <si>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</si>
  <si>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</si>
  <si>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</si>
  <si>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</si>
  <si>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</si>
  <si>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</si>
  <si>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</si>
  <si>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</si>
  <si>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</si>
  <si>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</si>
  <si>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</si>
  <si>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</si>
  <si>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</si>
  <si>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</si>
  <si>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</si>
  <si>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</si>
  <si>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</si>
  <si>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</si>
  <si>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</si>
  <si>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</si>
  <si>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</si>
  <si>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</si>
  <si>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</si>
  <si>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</si>
  <si>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</si>
  <si>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</si>
  <si>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</si>
  <si>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</si>
  <si>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</si>
  <si>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</si>
  <si>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</si>
  <si>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</si>
  <si>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</si>
  <si>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</si>
  <si>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</si>
  <si>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</si>
  <si>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</si>
  <si>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</si>
  <si>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</si>
  <si>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</si>
  <si>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</si>
  <si>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</si>
  <si>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</si>
  <si>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</si>
  <si>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</si>
  <si>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</si>
  <si>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</si>
  <si>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</si>
  <si>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</si>
  <si>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</si>
  <si>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</si>
  <si>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</si>
  <si>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</si>
  <si>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</si>
  <si>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</si>
  <si>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</si>
  <si>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</si>
  <si>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</si>
  <si>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</si>
  <si>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</si>
  <si>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</si>
  <si>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</si>
  <si>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</si>
  <si>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</si>
  <si>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</si>
  <si>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</si>
  <si>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</si>
  <si>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</si>
  <si>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</si>
  <si>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</si>
  <si>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</si>
  <si>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</si>
  <si>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</si>
  <si>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</si>
  <si>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</si>
  <si>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</si>
  <si>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</si>
  <si>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</si>
  <si>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</si>
  <si>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</si>
  <si>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</si>
  <si>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</si>
  <si>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</si>
  <si>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</si>
  <si>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</si>
  <si>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</si>
  <si>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</si>
  <si>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</si>
  <si>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</si>
  <si>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</si>
  <si>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</si>
  <si>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</si>
  <si>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</si>
  <si>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</si>
  <si>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</si>
  <si>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</si>
  <si>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</si>
  <si>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</si>
  <si>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</si>
  <si>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</si>
  <si>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</si>
  <si>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</si>
  <si>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</si>
  <si>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</si>
  <si>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</si>
  <si>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</si>
  <si>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</si>
  <si>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</si>
  <si>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</si>
  <si>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</si>
  <si>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</si>
  <si>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</si>
  <si>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</si>
  <si>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</si>
  <si>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</si>
  <si>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</si>
  <si>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</si>
  <si>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</si>
  <si>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</si>
  <si>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</si>
  <si>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</si>
  <si>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</si>
  <si>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</si>
  <si>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</si>
  <si>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</si>
  <si>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</si>
  <si>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</si>
  <si>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</si>
  <si>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</si>
  <si>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</si>
  <si>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</si>
  <si>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</si>
  <si>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</si>
  <si>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</si>
  <si>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</si>
  <si>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</si>
  <si>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</si>
  <si>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</si>
  <si>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</si>
  <si>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</si>
  <si>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</si>
  <si>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</si>
  <si>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</si>
  <si>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</si>
  <si>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</si>
  <si>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</si>
  <si>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</si>
  <si>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</si>
  <si>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</si>
  <si>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</si>
  <si>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</si>
  <si>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</si>
  <si>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</si>
  <si>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</si>
  <si>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</si>
  <si>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</si>
  <si>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</si>
  <si>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</si>
  <si>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</si>
  <si>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</si>
  <si>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</si>
  <si>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</si>
  <si>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</si>
  <si>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</si>
  <si>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</si>
  <si>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</si>
  <si>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</si>
  <si>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</si>
  <si>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</si>
  <si>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</si>
  <si>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</si>
  <si>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</si>
  <si>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</si>
  <si>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</si>
  <si>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</si>
  <si>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</si>
  <si>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</si>
  <si>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</si>
  <si>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</si>
  <si>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</si>
  <si>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</si>
  <si>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</si>
  <si>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</si>
  <si>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</si>
  <si>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</si>
  <si>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</si>
  <si>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</si>
  <si>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</si>
  <si>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</si>
  <si>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</si>
  <si>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</si>
  <si>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</si>
  <si>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</si>
  <si>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</si>
  <si>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</si>
  <si>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</si>
  <si>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</si>
  <si>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</si>
  <si>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</si>
  <si>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</si>
  <si>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</si>
  <si>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</si>
  <si>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</si>
  <si>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</si>
  <si>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</si>
  <si>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</si>
  <si>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</si>
  <si>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</si>
  <si>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</si>
  <si>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</si>
  <si>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</si>
  <si>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</si>
  <si>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</si>
  <si>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</si>
  <si>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</si>
  <si>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</si>
  <si>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</si>
  <si>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</si>
  <si>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</si>
  <si>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</si>
  <si>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</si>
  <si>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</si>
  <si>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</si>
  <si>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</si>
  <si>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</si>
  <si>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</si>
  <si>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</si>
  <si>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</si>
  <si>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</si>
  <si>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</si>
  <si>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</si>
  <si>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</si>
  <si>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</si>
  <si>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</si>
  <si>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</si>
  <si>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</si>
  <si>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</si>
  <si>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</si>
  <si>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</si>
  <si>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</si>
  <si>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</si>
  <si>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</si>
  <si>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</si>
  <si>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</si>
  <si>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</si>
  <si>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</si>
  <si>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</si>
  <si>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</si>
  <si>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</si>
  <si>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</si>
  <si>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</si>
  <si>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</si>
  <si>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</si>
  <si>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</si>
  <si>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</si>
  <si>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</si>
  <si>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</si>
  <si>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</si>
  <si>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</si>
  <si>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</si>
  <si>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</si>
  <si>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</si>
  <si>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</si>
  <si>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</si>
  <si>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</si>
  <si>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</si>
  <si>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</si>
  <si>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</si>
  <si>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</si>
  <si>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</si>
  <si>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</si>
  <si>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</si>
  <si>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</si>
  <si>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</si>
  <si>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</si>
  <si>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</si>
  <si>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</si>
  <si>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</si>
  <si>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</si>
  <si>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</si>
  <si>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</si>
  <si>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</si>
  <si>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</si>
  <si>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</si>
  <si>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</si>
  <si>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</si>
  <si>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</si>
  <si>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</si>
  <si>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</si>
  <si>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</si>
  <si>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</si>
  <si>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</si>
  <si>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</si>
  <si>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</si>
  <si>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</si>
  <si>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</si>
  <si>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</si>
  <si>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</si>
  <si>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</si>
  <si>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</si>
  <si>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</si>
  <si>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</si>
  <si>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</si>
  <si>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</si>
  <si>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</si>
  <si>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</si>
  <si>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</si>
  <si>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</si>
  <si>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</si>
  <si>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</si>
  <si>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</si>
  <si>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</si>
  <si>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</si>
  <si>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</si>
  <si>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</si>
  <si>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</si>
  <si>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</si>
  <si>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</si>
  <si>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</si>
  <si>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</si>
  <si>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</si>
  <si>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</si>
  <si>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</si>
  <si>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</si>
  <si>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</si>
  <si>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</si>
  <si>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</si>
  <si>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</si>
  <si>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</si>
  <si>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</si>
  <si>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</si>
  <si>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</si>
  <si>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</si>
  <si>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</si>
  <si>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</si>
  <si>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</si>
  <si>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</si>
  <si>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</si>
  <si>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</si>
  <si>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</si>
  <si>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</si>
  <si>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</si>
  <si>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</si>
  <si>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</si>
  <si>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</si>
  <si>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</si>
  <si>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</si>
  <si>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</si>
  <si>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</si>
  <si>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</si>
  <si>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</si>
  <si>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</si>
  <si>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</si>
  <si>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</si>
  <si>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</si>
  <si>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</si>
  <si>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</si>
  <si>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</si>
  <si>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</si>
  <si>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</si>
  <si>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</si>
  <si>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</si>
  <si>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</si>
  <si>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</si>
  <si>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</si>
  <si>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</si>
  <si>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</si>
  <si>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</si>
  <si>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</si>
  <si>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</si>
  <si>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</si>
  <si>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</si>
  <si>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</si>
  <si>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</si>
  <si>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</si>
  <si>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</si>
  <si>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</si>
  <si>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</si>
  <si>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</si>
  <si>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</si>
  <si>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</si>
  <si>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</si>
  <si>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</si>
  <si>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</si>
  <si>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</si>
  <si>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</si>
  <si>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</si>
  <si>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</si>
  <si>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</si>
  <si>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</si>
  <si>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</si>
  <si>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</si>
  <si>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</si>
  <si>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</si>
  <si>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</si>
  <si>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</si>
  <si>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</si>
  <si>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</si>
  <si>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</si>
  <si>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</si>
  <si>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</si>
  <si>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</si>
  <si>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</si>
  <si>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</si>
  <si>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</si>
  <si>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</si>
  <si>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</si>
  <si>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</si>
  <si>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</si>
  <si>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</si>
  <si>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</si>
  <si>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</si>
  <si>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</si>
  <si>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</si>
  <si>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</si>
  <si>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</si>
  <si>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</si>
  <si>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</si>
  <si>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</si>
  <si>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</si>
  <si>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</si>
  <si>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</si>
  <si>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</si>
  <si>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</si>
  <si>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</si>
  <si>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</si>
  <si>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</si>
  <si>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</si>
  <si>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</si>
  <si>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</si>
  <si>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</si>
  <si>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</si>
  <si>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</si>
  <si>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</si>
  <si>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</si>
  <si>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</si>
  <si>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</si>
  <si>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</si>
  <si>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</si>
  <si>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</si>
  <si>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</si>
  <si>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</si>
  <si>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</si>
  <si>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</si>
  <si>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</si>
  <si>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</si>
  <si>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</si>
  <si>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</si>
  <si>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</si>
  <si>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</si>
  <si>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</si>
  <si>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</si>
  <si>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</si>
  <si>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</si>
  <si>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</si>
  <si>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</si>
  <si>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</si>
  <si>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</si>
  <si>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</si>
  <si>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</si>
  <si>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</si>
  <si>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</si>
  <si>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</si>
  <si>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</si>
  <si>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</si>
  <si>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</si>
  <si>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</si>
  <si>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</si>
  <si>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</si>
  <si>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</si>
  <si>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</si>
  <si>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</si>
  <si>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</si>
  <si>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</si>
  <si>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</si>
  <si>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</si>
  <si>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</si>
  <si>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</si>
  <si>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</si>
  <si>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</si>
  <si>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</si>
  <si>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</si>
  <si>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</si>
  <si>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</si>
  <si>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</si>
  <si>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</si>
  <si>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</si>
  <si>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</si>
  <si>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</si>
  <si>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</si>
  <si>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</si>
  <si>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</si>
  <si>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</si>
  <si>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</si>
  <si>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</si>
  <si>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</si>
  <si>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</si>
  <si>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</si>
  <si>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</si>
  <si>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</si>
  <si>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</si>
  <si>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</si>
  <si>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</si>
  <si>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</si>
  <si>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</si>
  <si>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</si>
  <si>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</si>
  <si>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</si>
  <si>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</si>
  <si>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</si>
  <si>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</si>
  <si>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</si>
  <si>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</si>
  <si>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</si>
  <si>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</si>
  <si>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</si>
  <si>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</si>
  <si>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</si>
  <si>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</si>
  <si>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</si>
  <si>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</si>
  <si>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</si>
  <si>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</si>
  <si>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</si>
  <si>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</si>
  <si>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</si>
  <si>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</si>
  <si>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</si>
  <si>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</si>
  <si>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</si>
  <si>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</si>
  <si>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</si>
  <si>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</si>
  <si>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</si>
  <si>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</si>
  <si>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</si>
  <si>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</si>
  <si>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</si>
  <si>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</si>
  <si>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</si>
  <si>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</si>
  <si>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</si>
  <si>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</si>
  <si>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</si>
  <si>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</si>
  <si>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</si>
  <si>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</si>
  <si>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</si>
  <si>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</si>
  <si>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</si>
  <si>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</si>
  <si>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</si>
  <si>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</si>
  <si>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</si>
  <si>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</si>
  <si>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</si>
  <si>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</si>
  <si>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</si>
  <si>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</si>
  <si>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</si>
  <si>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</si>
  <si>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</si>
  <si>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</si>
  <si>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</si>
  <si>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</si>
  <si>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</si>
  <si>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</si>
  <si>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</si>
  <si>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</si>
  <si>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</si>
  <si>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</si>
  <si>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</si>
  <si>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</si>
  <si>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</si>
  <si>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</si>
  <si>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</si>
  <si>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</si>
  <si>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</si>
  <si>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</si>
  <si>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</si>
  <si>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</si>
  <si>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</si>
  <si>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</si>
  <si>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</si>
  <si>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</si>
  <si>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</si>
  <si>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</si>
  <si>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</si>
  <si>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</si>
  <si>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</si>
  <si>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</si>
  <si>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</si>
  <si>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</si>
  <si>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</si>
  <si>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</si>
  <si>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</si>
  <si>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</si>
  <si>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</si>
  <si>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</si>
  <si>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</si>
  <si>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</si>
  <si>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</si>
  <si>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</si>
  <si>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</si>
  <si>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</si>
  <si>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</si>
  <si>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</si>
  <si>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</si>
  <si>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</si>
  <si>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</si>
  <si>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</si>
  <si>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</si>
  <si>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</si>
  <si>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</si>
  <si>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</si>
  <si>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</si>
  <si>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</si>
  <si>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</si>
  <si>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</si>
  <si>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</si>
  <si>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</si>
  <si>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</si>
  <si>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</si>
  <si>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</si>
  <si>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</si>
  <si>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</si>
  <si>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</si>
  <si>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</si>
  <si>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</si>
  <si>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</si>
  <si>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</si>
  <si>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</si>
  <si>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</si>
  <si>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</si>
  <si>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</si>
  <si>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</si>
  <si>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</si>
  <si>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</si>
  <si>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</si>
  <si>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</si>
  <si>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</si>
  <si>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</si>
  <si>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</si>
  <si>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</si>
  <si>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</si>
  <si>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</si>
  <si>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</si>
  <si>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</si>
  <si>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</si>
  <si>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</si>
  <si>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</si>
  <si>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</si>
  <si>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</si>
  <si>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</si>
  <si>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</si>
  <si>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</si>
  <si>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</si>
  <si>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</si>
  <si>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</si>
  <si>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</si>
  <si>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</si>
  <si>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</si>
  <si>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</si>
  <si>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</si>
  <si>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</si>
  <si>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</si>
  <si>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</si>
  <si>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</si>
  <si>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</si>
  <si>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</si>
  <si>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</si>
  <si>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</si>
  <si>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</si>
  <si>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</si>
  <si>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</si>
  <si>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</si>
  <si>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</si>
  <si>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</si>
  <si>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</si>
  <si>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</si>
  <si>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</si>
  <si>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</si>
  <si>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</si>
  <si>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</si>
  <si>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</si>
  <si>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</si>
  <si>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</si>
  <si>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</si>
  <si>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</si>
  <si>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</si>
  <si>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</si>
  <si>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</si>
  <si>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</si>
  <si>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</si>
  <si>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</si>
  <si>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</si>
  <si>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</si>
  <si>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</si>
  <si>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</si>
  <si>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</si>
  <si>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</si>
  <si>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</si>
  <si>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</si>
  <si>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</si>
  <si>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</si>
  <si>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</si>
  <si>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</si>
  <si>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</si>
  <si>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</si>
  <si>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</si>
  <si>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</si>
  <si>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</si>
  <si>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</si>
  <si>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</si>
  <si>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</si>
  <si>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</si>
  <si>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</si>
  <si>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</si>
  <si>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</si>
  <si>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</si>
  <si>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</si>
  <si>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</si>
  <si>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</si>
  <si>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</si>
  <si>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</si>
  <si>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</si>
  <si>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</si>
  <si>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</si>
  <si>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</si>
  <si>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</si>
  <si>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</si>
  <si>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</si>
  <si>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</si>
  <si>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</si>
  <si>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</si>
  <si>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</si>
  <si>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</si>
  <si>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</si>
  <si>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</si>
  <si>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</si>
  <si>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</si>
  <si>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</si>
  <si>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</si>
  <si>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</si>
  <si>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</si>
  <si>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</si>
  <si>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</si>
  <si>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</si>
  <si>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</si>
  <si>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</si>
  <si>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</si>
  <si>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</si>
  <si>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</si>
  <si>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</si>
  <si>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</si>
  <si>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</si>
  <si>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</si>
  <si>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</si>
  <si>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</si>
  <si>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</si>
  <si>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</si>
  <si>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</si>
  <si>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</si>
  <si>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</si>
  <si>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</si>
  <si>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</si>
  <si>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</si>
  <si>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</si>
  <si>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</si>
  <si>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</si>
  <si>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</si>
  <si>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</si>
  <si>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</si>
  <si>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</si>
  <si>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</si>
  <si>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</si>
  <si>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</si>
  <si>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</si>
  <si>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</si>
  <si>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</si>
  <si>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</si>
  <si>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</si>
  <si>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</si>
  <si>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</si>
  <si>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</si>
  <si>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</si>
  <si>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</si>
  <si>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</si>
  <si>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</si>
  <si>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</si>
  <si>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</si>
  <si>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</si>
  <si>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</si>
  <si>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</si>
  <si>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</si>
  <si>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</si>
  <si>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</si>
  <si>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</si>
  <si>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</si>
  <si>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</si>
  <si>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</si>
  <si>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</si>
  <si>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</si>
  <si>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</si>
  <si>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</si>
  <si>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</si>
  <si>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</si>
  <si>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</si>
  <si>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</si>
  <si>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</si>
  <si>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</si>
  <si>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</si>
  <si>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</si>
  <si>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</si>
  <si>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</si>
  <si>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</si>
  <si>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</si>
  <si>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</si>
  <si>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</si>
  <si>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</si>
  <si>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</si>
  <si>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</si>
  <si>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</si>
  <si>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</si>
  <si>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</si>
  <si>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</si>
  <si>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</si>
  <si>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</si>
  <si>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</si>
  <si>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</si>
  <si>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</si>
  <si>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</si>
  <si>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</si>
  <si>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</si>
  <si>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</si>
  <si>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</si>
  <si>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</si>
  <si>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</si>
  <si>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</si>
  <si>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</si>
  <si>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</si>
  <si>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</si>
  <si>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</si>
  <si>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</si>
  <si>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</si>
  <si>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</si>
  <si>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</si>
  <si>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</si>
  <si>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</si>
  <si>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</si>
  <si>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</si>
  <si>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</si>
  <si>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</si>
  <si>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</si>
  <si>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</si>
  <si>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</si>
  <si>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</si>
  <si>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</si>
  <si>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</si>
  <si>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</si>
  <si>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</si>
  <si>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</si>
  <si>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</si>
  <si>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</si>
  <si>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</si>
  <si>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</si>
  <si>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</si>
  <si>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</si>
  <si>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</si>
  <si>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</si>
  <si>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</si>
  <si>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</si>
  <si>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</si>
  <si>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</si>
  <si>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</si>
  <si>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</si>
  <si>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</si>
  <si>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</si>
  <si>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</si>
  <si>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</si>
  <si>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</si>
  <si>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</si>
  <si>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</si>
  <si>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</si>
  <si>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</si>
  <si>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</si>
  <si>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</si>
  <si>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</si>
  <si>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</si>
  <si>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</si>
  <si>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</si>
  <si>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</si>
  <si>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</si>
  <si>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</si>
  <si>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</si>
  <si>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</si>
  <si>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</si>
  <si>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</si>
  <si>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</si>
  <si>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</si>
  <si>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</si>
  <si>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</si>
  <si>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</si>
  <si>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</si>
  <si>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</si>
  <si>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</si>
  <si>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</si>
  <si>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</si>
  <si>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</si>
  <si>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</si>
  <si>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</si>
  <si>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</si>
  <si>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</si>
  <si>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</si>
  <si>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</si>
  <si>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</si>
  <si>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</si>
  <si>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</si>
  <si>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</si>
  <si>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</si>
  <si>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</si>
  <si>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</si>
  <si>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</si>
  <si>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</si>
  <si>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</si>
  <si>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</si>
  <si>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</si>
  <si>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</si>
  <si>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</si>
  <si>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</si>
  <si>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</si>
  <si>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</si>
  <si>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</si>
  <si>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</si>
  <si>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</si>
  <si>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</si>
  <si>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</si>
  <si>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</si>
  <si>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</si>
  <si>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</si>
  <si>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</si>
  <si>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</si>
  <si>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</si>
  <si>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</si>
  <si>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</si>
  <si>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</si>
  <si>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</si>
  <si>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</si>
  <si>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</si>
  <si>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</si>
  <si>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</si>
  <si>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</si>
  <si>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</si>
  <si>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</si>
  <si>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</si>
  <si>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</si>
  <si>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</si>
  <si>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</si>
  <si>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</si>
  <si>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</si>
  <si>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</si>
  <si>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</si>
  <si>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</si>
  <si>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</si>
  <si>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</si>
  <si>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</si>
  <si>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</si>
  <si>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</si>
  <si>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</si>
  <si>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</si>
  <si>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</si>
  <si>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</si>
  <si>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</si>
  <si>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</si>
  <si>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</si>
  <si>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</si>
  <si>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</si>
  <si>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</si>
  <si>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</si>
  <si>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</si>
  <si>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</si>
  <si>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</si>
  <si>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</si>
  <si>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</si>
  <si>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</si>
  <si>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</si>
  <si>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</si>
  <si>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</si>
  <si>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</si>
  <si>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</si>
  <si>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</si>
  <si>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</si>
  <si>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</si>
  <si>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</si>
  <si>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</si>
  <si>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</si>
  <si>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</si>
  <si>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</si>
  <si>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</si>
  <si>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</si>
  <si>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</si>
  <si>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</si>
  <si>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</si>
  <si>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</si>
  <si>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</si>
  <si>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</si>
  <si>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</si>
  <si>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</si>
  <si>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</si>
  <si>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</si>
  <si>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</si>
  <si>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</si>
  <si>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</si>
  <si>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</si>
  <si>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</si>
  <si>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</si>
  <si>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</si>
  <si>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</si>
  <si>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</si>
  <si>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</si>
  <si>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</si>
  <si>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</si>
  <si>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</si>
  <si>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</si>
  <si>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</si>
  <si>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</si>
  <si>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</si>
  <si>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</si>
  <si>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</si>
  <si>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</si>
  <si>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</si>
  <si>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</si>
  <si>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</si>
  <si>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</si>
  <si>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</si>
  <si>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</si>
  <si>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</si>
  <si>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</si>
  <si>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</si>
  <si>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</si>
  <si>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</si>
  <si>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</si>
  <si>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</si>
  <si>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</si>
  <si>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</si>
  <si>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</si>
  <si>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</si>
  <si>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</si>
  <si>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</si>
  <si>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</si>
  <si>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</si>
  <si>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</si>
  <si>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</si>
  <si>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</si>
  <si>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</si>
  <si>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</si>
  <si>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</si>
  <si>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</si>
  <si>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</si>
  <si>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</si>
  <si>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</si>
  <si>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</si>
  <si>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</si>
  <si>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</si>
  <si>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</si>
  <si>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</si>
  <si>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</si>
  <si>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</si>
  <si>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</si>
  <si>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</si>
  <si>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</si>
  <si>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</si>
  <si>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</si>
  <si>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</si>
  <si>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</si>
  <si>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</si>
  <si>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</si>
  <si>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</si>
  <si>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</si>
  <si>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</si>
  <si>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</si>
  <si>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</si>
  <si>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</si>
  <si>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</si>
  <si>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</si>
  <si>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</si>
  <si>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</si>
  <si>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</si>
  <si>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</si>
  <si>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</si>
  <si>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</si>
  <si>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</si>
  <si>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</si>
  <si>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</si>
  <si>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</si>
  <si>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</si>
  <si>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</si>
  <si>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</si>
  <si>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</si>
  <si>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</si>
  <si>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</si>
  <si>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</si>
  <si>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</si>
  <si>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</si>
  <si>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</si>
  <si>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</si>
  <si>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</si>
  <si>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</si>
  <si>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</si>
  <si>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</si>
  <si>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</si>
  <si>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</si>
  <si>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</si>
  <si>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</si>
  <si>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</si>
  <si>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</si>
  <si>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</si>
  <si>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</si>
  <si>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</si>
  <si>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</si>
  <si>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</si>
  <si>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</si>
  <si>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</si>
  <si>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</si>
  <si>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</si>
  <si>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</si>
  <si>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</si>
  <si>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</si>
  <si>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</si>
  <si>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</si>
  <si>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</si>
  <si>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</si>
  <si>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</si>
  <si>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</si>
  <si>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</si>
  <si>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</si>
  <si>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</si>
  <si>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</si>
  <si>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</si>
  <si>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</si>
  <si>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</si>
  <si>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</si>
  <si>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</si>
  <si>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</si>
  <si>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</si>
  <si>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</si>
  <si>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</si>
  <si>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</si>
  <si>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</si>
  <si>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</si>
  <si>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</si>
  <si>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</si>
  <si>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</si>
  <si>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</si>
  <si>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</si>
  <si>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</si>
  <si>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</si>
  <si>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</si>
  <si>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</si>
  <si>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</si>
  <si>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</si>
  <si>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</si>
  <si>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</si>
  <si>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</si>
  <si>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</si>
  <si>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</si>
  <si>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</si>
  <si>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</si>
  <si>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</si>
  <si>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</si>
  <si>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</si>
  <si>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</si>
  <si>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</si>
  <si>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</si>
  <si>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</si>
  <si>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</si>
  <si>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</si>
  <si>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</si>
  <si>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</si>
  <si>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</si>
  <si>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</si>
  <si>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</si>
  <si>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</si>
  <si>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</si>
  <si>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</si>
  <si>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</si>
  <si>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</si>
  <si>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</si>
  <si>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</si>
  <si>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</si>
  <si>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</si>
  <si>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</si>
  <si>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</si>
  <si>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</si>
  <si>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</si>
  <si>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</si>
  <si>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</si>
  <si>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</si>
  <si>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</si>
  <si>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</si>
  <si>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</si>
  <si>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</si>
  <si>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</si>
  <si>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</si>
  <si>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</si>
  <si>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</si>
  <si>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</si>
  <si>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</si>
  <si>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</si>
  <si>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</si>
  <si>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</si>
  <si>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</si>
  <si>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</si>
  <si>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</si>
  <si>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</si>
  <si>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</si>
  <si>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</si>
  <si>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</si>
  <si>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</si>
  <si>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</si>
  <si>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</si>
  <si>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</si>
  <si>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</si>
  <si>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</si>
  <si>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</si>
  <si>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</si>
  <si>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</si>
  <si>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</si>
  <si>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</si>
  <si>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</si>
  <si>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</si>
  <si>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</si>
  <si>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</si>
  <si>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</si>
  <si>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</si>
  <si>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</si>
  <si>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</si>
  <si>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</si>
  <si>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</si>
  <si>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</si>
  <si>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</si>
  <si>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</si>
  <si>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</si>
  <si>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</si>
  <si>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</si>
  <si>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</si>
  <si>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</si>
  <si>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</si>
  <si>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</si>
  <si>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</si>
  <si>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</si>
  <si>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</si>
  <si>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</si>
  <si>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</si>
  <si>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</si>
  <si>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</si>
  <si>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</si>
  <si>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</si>
  <si>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</si>
  <si>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</si>
  <si>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</si>
  <si>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</si>
  <si>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</si>
  <si>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</si>
  <si>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</si>
  <si>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</si>
  <si>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</si>
  <si>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</si>
  <si>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</si>
  <si>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</si>
  <si>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</si>
  <si>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</si>
  <si>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</si>
  <si>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</si>
  <si>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</si>
  <si>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</si>
  <si>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</si>
  <si>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</si>
  <si>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</si>
  <si>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</si>
  <si>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</si>
  <si>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</si>
  <si>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</si>
  <si>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</si>
  <si>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</si>
  <si>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</si>
  <si>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</si>
  <si>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</si>
  <si>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</si>
  <si>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</si>
  <si>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</si>
  <si>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</si>
  <si>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</si>
  <si>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</si>
  <si>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</si>
  <si>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</si>
  <si>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</si>
  <si>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</si>
  <si>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</si>
  <si>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</si>
  <si>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</si>
  <si>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</si>
  <si>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</si>
  <si>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</si>
  <si>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</si>
  <si>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</si>
  <si>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</si>
  <si>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</si>
  <si>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</si>
  <si>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</si>
  <si>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</si>
  <si>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</si>
  <si>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</si>
  <si>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</si>
  <si>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</si>
  <si>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</si>
  <si>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</si>
  <si>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</si>
  <si>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</si>
  <si>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</si>
  <si>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</si>
  <si>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</si>
  <si>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</si>
  <si>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</si>
  <si>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</si>
  <si>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</si>
  <si>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</si>
  <si>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</si>
  <si>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</si>
  <si>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</si>
  <si>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</si>
  <si>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</si>
  <si>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</si>
  <si>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</si>
  <si>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</si>
  <si>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</si>
  <si>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</si>
  <si>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</si>
  <si>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</si>
  <si>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</si>
  <si>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</si>
  <si>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</si>
  <si>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</si>
  <si>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</si>
  <si>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</si>
  <si>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</si>
  <si>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</si>
  <si>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</si>
  <si>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</si>
  <si>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</si>
  <si>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</si>
  <si>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</si>
  <si>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</si>
  <si>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</si>
  <si>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</si>
  <si>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</si>
  <si>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</si>
  <si>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</si>
  <si>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</si>
  <si>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</si>
  <si>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</si>
  <si>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</si>
  <si>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</si>
  <si>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</si>
  <si>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</si>
  <si>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</si>
  <si>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</si>
  <si>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</si>
  <si>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</si>
  <si>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</si>
  <si>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</si>
  <si>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</si>
  <si>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</si>
  <si>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</si>
  <si>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</si>
  <si>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</si>
  <si>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</si>
  <si>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</si>
  <si>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</si>
  <si>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</si>
  <si>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</si>
  <si>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</si>
  <si>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</si>
  <si>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</si>
  <si>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</si>
  <si>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</si>
  <si>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</si>
  <si>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</si>
  <si>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</si>
  <si>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</si>
  <si>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</si>
  <si>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</si>
  <si>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</si>
  <si>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</si>
  <si>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</si>
  <si>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</si>
  <si>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</si>
  <si>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</si>
  <si>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</si>
  <si>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</si>
  <si>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</si>
  <si>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</si>
  <si>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</si>
  <si>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</si>
  <si>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</si>
  <si>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</si>
  <si>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</si>
  <si>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</si>
  <si>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</si>
  <si>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</si>
  <si>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</si>
  <si>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</si>
  <si>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</si>
  <si>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</si>
  <si>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</si>
  <si>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</si>
  <si>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</si>
  <si>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</si>
  <si>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</si>
  <si>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</si>
  <si>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</si>
  <si>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</si>
  <si>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</si>
  <si>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</si>
  <si>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</si>
  <si>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</si>
  <si>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</si>
  <si>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</si>
  <si>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</si>
  <si>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</si>
  <si>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</si>
  <si>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</si>
  <si>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</si>
  <si>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</si>
  <si>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</si>
  <si>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</si>
  <si>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</si>
  <si>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</si>
  <si>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</si>
  <si>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</si>
  <si>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</si>
  <si>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</si>
  <si>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</si>
  <si>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</si>
  <si>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</si>
  <si>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</si>
  <si>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</si>
  <si>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</si>
  <si>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</si>
  <si>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</si>
  <si>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</si>
  <si>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</si>
  <si>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</si>
  <si>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</si>
  <si>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</si>
  <si>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</si>
  <si>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</si>
  <si>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</si>
  <si>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</si>
  <si>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</si>
  <si>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</si>
  <si>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</si>
  <si>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</si>
  <si>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</si>
  <si>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</si>
  <si>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</si>
  <si>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</si>
  <si>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</si>
  <si>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</si>
  <si>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</si>
  <si>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</si>
  <si>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</si>
  <si>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</si>
  <si>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</si>
  <si>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</si>
  <si>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</si>
  <si>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</si>
  <si>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</si>
  <si>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</si>
  <si>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</si>
  <si>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</si>
  <si>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</si>
  <si>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</si>
  <si>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</si>
  <si>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</si>
  <si>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</si>
  <si>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</si>
  <si>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</si>
  <si>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</si>
  <si>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</si>
  <si>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</si>
  <si>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</si>
  <si>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</si>
  <si>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</si>
  <si>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</si>
  <si>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</si>
  <si>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</si>
  <si>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</si>
  <si>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</si>
  <si>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</si>
  <si>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</si>
  <si>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</si>
  <si>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</si>
  <si>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</si>
  <si>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</si>
  <si>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</si>
  <si>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</si>
  <si>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</si>
  <si>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</si>
  <si>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</si>
  <si>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</si>
  <si>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</si>
  <si>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</si>
  <si>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</si>
  <si>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</si>
  <si>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</si>
  <si>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</si>
  <si>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</si>
  <si>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</si>
  <si>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</si>
  <si>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</si>
  <si>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</si>
  <si>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</si>
  <si>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</si>
  <si>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</si>
  <si>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</si>
  <si>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</si>
  <si>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</si>
  <si>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</si>
  <si>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</si>
  <si>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</si>
  <si>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</si>
  <si>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</si>
  <si>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</si>
  <si>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</si>
  <si>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</si>
  <si>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</si>
  <si>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</si>
  <si>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</si>
  <si>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</si>
  <si>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</si>
  <si>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</si>
  <si>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</si>
  <si>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</si>
  <si>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</si>
  <si>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</si>
  <si>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</si>
  <si>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</si>
  <si>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</si>
  <si>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</si>
  <si>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</si>
  <si>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</si>
  <si>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</si>
  <si>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</si>
  <si>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</si>
  <si>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</si>
  <si>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</si>
  <si>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</si>
  <si>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</si>
  <si>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</si>
  <si>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</si>
  <si>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</si>
  <si>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</si>
  <si>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</si>
  <si>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</si>
  <si>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</si>
  <si>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</si>
  <si>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</si>
  <si>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</si>
  <si>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</si>
  <si>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</si>
  <si>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</si>
  <si>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</si>
  <si>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</si>
  <si>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</si>
  <si>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</si>
  <si>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</si>
  <si>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</si>
  <si>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</si>
  <si>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</si>
  <si>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</si>
  <si>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</si>
  <si>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</si>
  <si>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</si>
  <si>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</si>
  <si>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</si>
  <si>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</si>
  <si>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</si>
  <si>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</si>
  <si>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</si>
  <si>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</si>
  <si>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</si>
  <si>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</si>
  <si>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</si>
  <si>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</si>
  <si>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</si>
  <si>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</si>
  <si>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</si>
  <si>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</si>
  <si>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</si>
  <si>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</si>
  <si>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</si>
  <si>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</si>
  <si>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</si>
  <si>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</si>
  <si>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</si>
  <si>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</si>
  <si>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</si>
  <si>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</si>
  <si>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</si>
  <si>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</si>
  <si>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</si>
  <si>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</si>
  <si>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</si>
  <si>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</si>
  <si>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</si>
  <si>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</si>
  <si>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</si>
  <si>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</si>
  <si>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</si>
  <si>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</si>
  <si>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</si>
  <si>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</si>
  <si>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</si>
  <si>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</si>
  <si>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</si>
  <si>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</si>
  <si>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</si>
  <si>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</si>
  <si>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</si>
  <si>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</si>
  <si>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</si>
  <si>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</si>
  <si>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</si>
  <si>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</si>
  <si>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</si>
  <si>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</si>
  <si>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</si>
  <si>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</si>
  <si>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</si>
  <si>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</si>
  <si>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</si>
  <si>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</si>
  <si>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</si>
  <si>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</si>
  <si>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</si>
  <si>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</si>
  <si>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</si>
  <si>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</si>
  <si>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</si>
  <si>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</si>
  <si>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</si>
  <si>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</si>
  <si>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</si>
  <si>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</si>
  <si>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</si>
  <si>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</si>
  <si>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</si>
  <si>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</si>
  <si>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</si>
  <si>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</si>
  <si>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</si>
  <si>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</si>
  <si>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</si>
  <si>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</si>
  <si>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</si>
  <si>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</si>
  <si>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</si>
  <si>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</si>
  <si>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</si>
  <si>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</si>
  <si>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</si>
  <si>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</si>
  <si>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</si>
  <si>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</si>
  <si>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</si>
  <si>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</si>
  <si>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</si>
  <si>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</si>
  <si>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</si>
  <si>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</si>
  <si>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</si>
  <si>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</si>
  <si>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</si>
  <si>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</si>
  <si>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</si>
  <si>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</si>
  <si>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</si>
  <si>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</si>
  <si>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</si>
  <si>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</si>
  <si>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</si>
  <si>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</si>
  <si>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</si>
  <si>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</si>
  <si>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</si>
  <si>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</si>
  <si>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</si>
  <si>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</si>
  <si>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</si>
  <si>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</si>
  <si>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</si>
  <si>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</si>
  <si>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</si>
  <si>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</si>
  <si>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</si>
  <si>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</si>
  <si>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</si>
  <si>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</si>
  <si>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</si>
  <si>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</si>
  <si>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</si>
  <si>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</si>
  <si>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</si>
  <si>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</si>
  <si>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</si>
  <si>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</si>
  <si>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</si>
  <si>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</si>
  <si>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</si>
  <si>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</si>
  <si>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</si>
  <si>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</si>
  <si>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</si>
  <si>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</si>
  <si>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</si>
  <si>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</si>
  <si>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</si>
  <si>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</si>
  <si>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</si>
  <si>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</si>
  <si>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</si>
  <si>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</si>
  <si>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</si>
  <si>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</si>
  <si>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</si>
  <si>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</si>
  <si>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</si>
  <si>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</si>
  <si>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</si>
  <si>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</si>
  <si>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</si>
  <si>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</si>
  <si>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</si>
  <si>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</si>
  <si>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</si>
  <si>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</si>
  <si>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</si>
  <si>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</si>
  <si>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</si>
  <si>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</si>
  <si>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</si>
  <si>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</si>
  <si>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</si>
  <si>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</si>
  <si>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</si>
  <si>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</si>
  <si>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</si>
  <si>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</si>
  <si>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</si>
  <si>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</si>
  <si>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</si>
  <si>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</si>
  <si>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</si>
  <si>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</si>
  <si>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</si>
  <si>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</si>
  <si>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</si>
  <si>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</si>
  <si>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</si>
  <si>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</si>
  <si>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</si>
  <si>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</si>
  <si>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</si>
  <si>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</si>
  <si>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</si>
  <si>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</si>
  <si>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</si>
  <si>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</si>
  <si>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</si>
  <si>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</si>
  <si>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</si>
  <si>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</si>
  <si>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</si>
  <si>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</si>
  <si>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</si>
  <si>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</si>
  <si>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</si>
  <si>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</si>
  <si>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</si>
  <si>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</si>
  <si>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</si>
  <si>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</si>
  <si>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</si>
  <si>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</si>
  <si>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</si>
  <si>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</si>
  <si>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</si>
  <si>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</si>
  <si>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</si>
  <si>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</si>
  <si>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</si>
  <si>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</si>
  <si>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</si>
  <si>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</si>
  <si>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</si>
  <si>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</si>
  <si>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</si>
  <si>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</si>
  <si>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</si>
  <si>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</si>
  <si>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</si>
  <si>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</si>
  <si>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</si>
  <si>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</si>
  <si>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</si>
  <si>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</si>
  <si>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</si>
  <si>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</si>
  <si>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</si>
  <si>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</si>
  <si>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</si>
  <si>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</si>
  <si>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</si>
  <si>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</si>
  <si>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</si>
  <si>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</si>
  <si>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</si>
  <si>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</si>
  <si>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</si>
  <si>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</si>
  <si>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</si>
  <si>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</si>
  <si>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</si>
  <si>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</si>
  <si>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</si>
  <si>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</si>
  <si>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</si>
  <si>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</si>
  <si>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</si>
  <si>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</si>
  <si>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</si>
  <si>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</si>
  <si>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</si>
  <si>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</si>
  <si>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</si>
  <si>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</si>
  <si>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</si>
  <si>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</si>
  <si>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</si>
  <si>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</si>
  <si>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</si>
  <si>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</si>
  <si>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</si>
  <si>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</si>
  <si>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</si>
  <si>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</si>
  <si>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</si>
  <si>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</si>
  <si>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</si>
  <si>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</si>
  <si>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</si>
  <si>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</si>
  <si>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</si>
  <si>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</si>
  <si>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</si>
  <si>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</si>
  <si>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</si>
  <si>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</si>
  <si>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</si>
  <si>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</si>
  <si>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</si>
  <si>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</si>
  <si>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</si>
  <si>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</si>
  <si>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</si>
  <si>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</si>
  <si>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</si>
  <si>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</si>
  <si>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</si>
  <si>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</si>
  <si>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</si>
  <si>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</si>
  <si>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</si>
  <si>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</si>
  <si>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</si>
  <si>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</si>
  <si>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</si>
  <si>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</si>
  <si>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</si>
  <si>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</si>
  <si>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</si>
  <si>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</si>
  <si>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</si>
  <si>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</si>
  <si>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</si>
  <si>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</si>
  <si>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</si>
  <si>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</si>
  <si>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</si>
  <si>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</si>
  <si>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</si>
  <si>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</si>
  <si>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</si>
  <si>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</si>
  <si>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</si>
  <si>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</si>
  <si>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</si>
  <si>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</si>
  <si>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</si>
  <si>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</si>
  <si>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</si>
  <si>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</si>
  <si>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</si>
  <si>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</si>
  <si>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</si>
  <si>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</si>
  <si>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</si>
  <si>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</si>
  <si>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</si>
  <si>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</si>
  <si>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</si>
  <si>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</si>
  <si>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</si>
  <si>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</si>
  <si>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</si>
  <si>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</si>
  <si>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</si>
  <si>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</si>
  <si>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</si>
  <si>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</si>
  <si>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</si>
  <si>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</si>
  <si>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</si>
  <si>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</si>
  <si>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</si>
  <si>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</si>
  <si>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</si>
  <si>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</si>
  <si>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</si>
  <si>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</si>
  <si>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</si>
  <si>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</si>
  <si>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</si>
  <si>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</si>
  <si>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</si>
  <si>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</si>
  <si>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</si>
  <si>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</si>
  <si>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</si>
  <si>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</si>
  <si>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</si>
  <si>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</si>
  <si>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</si>
  <si>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</si>
  <si>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</si>
  <si>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</si>
  <si>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</si>
  <si>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</si>
  <si>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</si>
  <si>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</si>
  <si>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</si>
  <si>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</si>
  <si>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</si>
  <si>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</si>
  <si>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</si>
  <si>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</si>
  <si>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</si>
  <si>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</si>
  <si>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</si>
  <si>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</si>
  <si>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</si>
  <si>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</si>
  <si>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</si>
  <si>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</si>
  <si>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</si>
  <si>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</si>
  <si>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</si>
  <si>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</si>
  <si>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</si>
  <si>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</si>
  <si>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</si>
  <si>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</si>
  <si>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</si>
  <si>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</si>
  <si>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</si>
  <si>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</si>
  <si>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</si>
  <si>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</si>
  <si>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</si>
  <si>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</si>
  <si>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</si>
  <si>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</si>
  <si>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</si>
  <si>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</si>
  <si>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</si>
  <si>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</si>
  <si>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</si>
  <si>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</si>
  <si>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</si>
  <si>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</si>
  <si>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</si>
  <si>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</si>
  <si>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</si>
  <si>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</si>
  <si>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</si>
  <si>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</si>
  <si>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</si>
  <si>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</si>
  <si>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</si>
  <si>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</si>
  <si>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</si>
  <si>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</si>
  <si>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</si>
  <si>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</si>
  <si>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</si>
  <si>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</si>
  <si>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</si>
  <si>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</si>
  <si>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</si>
  <si>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</si>
  <si>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</si>
  <si>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</si>
  <si>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</si>
  <si>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</si>
  <si>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</si>
  <si>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</si>
  <si>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</si>
  <si>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</si>
  <si>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</si>
  <si>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</si>
  <si>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</si>
  <si>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</si>
  <si>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</si>
  <si>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</si>
  <si>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</si>
  <si>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</si>
  <si>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</si>
  <si>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</si>
  <si>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</si>
  <si>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</si>
  <si>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</si>
  <si>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</si>
  <si>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</si>
  <si>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</si>
  <si>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</si>
  <si>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</si>
  <si>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</si>
  <si>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</si>
  <si>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</si>
  <si>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</si>
  <si>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</si>
  <si>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</si>
  <si>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</si>
  <si>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</si>
  <si>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</si>
  <si>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</si>
  <si>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</si>
  <si>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</si>
  <si>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</si>
  <si>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</si>
  <si>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</si>
  <si>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</si>
  <si>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</si>
  <si>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</si>
  <si>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</si>
  <si>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</si>
  <si>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</si>
  <si>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</si>
  <si>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</si>
  <si>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</si>
  <si>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</si>
  <si>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</si>
  <si>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</si>
  <si>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</si>
  <si>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</si>
  <si>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</si>
  <si>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</si>
  <si>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</si>
  <si>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</si>
  <si>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</si>
  <si>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</si>
  <si>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</si>
  <si>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</si>
  <si>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</si>
  <si>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</si>
  <si>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</si>
  <si>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</si>
  <si>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</si>
  <si>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</si>
  <si>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</si>
  <si>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</si>
  <si>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</si>
  <si>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</si>
  <si>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</si>
  <si>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</si>
  <si>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</si>
  <si>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</si>
  <si>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</si>
  <si>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</si>
  <si>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</si>
  <si>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</si>
  <si>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</si>
  <si>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</si>
  <si>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</si>
  <si>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</si>
  <si>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</si>
  <si>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</si>
  <si>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</si>
  <si>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</si>
  <si>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</si>
  <si>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</si>
  <si>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</si>
  <si>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</si>
  <si>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</si>
  <si>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</si>
  <si>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</si>
  <si>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</si>
  <si>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</si>
  <si>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</si>
  <si>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</si>
  <si>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</si>
  <si>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</si>
  <si>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</si>
  <si>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</si>
  <si>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</si>
  <si>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</si>
  <si>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</si>
  <si>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</si>
  <si>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</si>
  <si>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</si>
  <si>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</si>
  <si>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</si>
  <si>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</si>
  <si>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</si>
  <si>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</si>
  <si>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</si>
  <si>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</si>
  <si>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</si>
  <si>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</si>
  <si>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</si>
  <si>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</si>
  <si>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</si>
  <si>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</si>
  <si>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</si>
  <si>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</si>
  <si>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</si>
  <si>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</si>
  <si>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</si>
  <si>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</si>
  <si>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</si>
  <si>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</si>
  <si>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</si>
  <si>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</si>
  <si>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</si>
  <si>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</si>
  <si>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</si>
  <si>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</si>
  <si>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</si>
  <si>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</si>
  <si>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</si>
  <si>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</si>
  <si>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</si>
  <si>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</si>
  <si>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</si>
  <si>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</si>
  <si>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</si>
  <si>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</si>
  <si>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</si>
  <si>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</si>
  <si>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</si>
  <si>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</si>
  <si>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</si>
  <si>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</si>
  <si>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</si>
  <si>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</si>
  <si>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</si>
  <si>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</si>
  <si>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</si>
  <si>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</si>
  <si>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</si>
  <si>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</si>
  <si>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</si>
  <si>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</si>
  <si>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</si>
  <si>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</si>
  <si>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</si>
  <si>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</si>
  <si>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</si>
  <si>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</si>
  <si>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</si>
  <si>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</si>
  <si>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</si>
  <si>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</si>
  <si>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</si>
  <si>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</si>
  <si>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</si>
  <si>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</si>
  <si>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</si>
  <si>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</si>
  <si>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</si>
  <si>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</si>
  <si>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</si>
  <si>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</si>
  <si>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</si>
  <si>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</si>
  <si>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</si>
  <si>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</si>
  <si>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</si>
  <si>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</si>
  <si>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</si>
  <si>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</si>
  <si>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</si>
  <si>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</si>
  <si>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</si>
  <si>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</si>
  <si>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</si>
  <si>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</si>
  <si>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</si>
  <si>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</si>
  <si>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</si>
  <si>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</si>
  <si>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</si>
  <si>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</si>
  <si>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</si>
  <si>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</si>
  <si>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</si>
  <si>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</si>
  <si>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</si>
  <si>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</si>
  <si>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</si>
  <si>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</si>
  <si>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</si>
  <si>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</si>
  <si>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</si>
  <si>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</si>
  <si>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</si>
  <si>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</si>
  <si>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</si>
  <si>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</si>
  <si>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</si>
  <si>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</si>
  <si>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</si>
  <si>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</si>
  <si>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</si>
  <si>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</si>
  <si>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</si>
  <si>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</si>
  <si>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</si>
  <si>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</si>
  <si>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</si>
  <si>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</si>
  <si>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</si>
  <si>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</si>
  <si>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</si>
  <si>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</si>
  <si>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</si>
  <si>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</si>
  <si>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</si>
  <si>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</si>
  <si>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</si>
  <si>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</si>
  <si>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</si>
  <si>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</si>
  <si>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</si>
  <si>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</si>
  <si>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</si>
  <si>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</si>
  <si>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</si>
  <si>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</si>
  <si>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</si>
  <si>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</si>
  <si>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</si>
  <si>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</si>
  <si>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</si>
  <si>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</si>
  <si>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</si>
  <si>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</si>
  <si>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</si>
  <si>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</si>
  <si>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</si>
  <si>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</si>
  <si>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</si>
  <si>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</si>
  <si>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</si>
  <si>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</si>
  <si>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</si>
  <si>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</si>
  <si>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</si>
  <si>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</si>
  <si>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</si>
  <si>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</si>
  <si>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</si>
  <si>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</si>
  <si>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</si>
  <si>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</si>
  <si>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</si>
  <si>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</si>
  <si>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</si>
  <si>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</si>
  <si>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</si>
  <si>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</si>
  <si>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</si>
  <si>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</si>
  <si>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</si>
  <si>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</si>
  <si>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</si>
  <si>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</si>
  <si>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</si>
  <si>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</si>
  <si>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</si>
  <si>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</si>
  <si>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</si>
  <si>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</si>
  <si>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</si>
  <si>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</si>
  <si>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</si>
  <si>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</si>
  <si>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</si>
  <si>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</si>
  <si>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</si>
  <si>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</si>
  <si>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</si>
  <si>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</si>
  <si>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</si>
  <si>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</si>
  <si>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</si>
  <si>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</si>
  <si>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</si>
  <si>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</si>
  <si>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</si>
  <si>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</si>
  <si>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</si>
  <si>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</si>
  <si>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</si>
  <si>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</si>
  <si>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</si>
  <si>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</si>
  <si>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</si>
  <si>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</si>
  <si>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</si>
  <si>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</si>
  <si>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</si>
  <si>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</si>
  <si>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</si>
  <si>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</si>
  <si>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</si>
  <si>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</si>
  <si>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</si>
  <si>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</si>
  <si>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</si>
  <si>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</si>
  <si>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</si>
  <si>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</si>
  <si>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</si>
  <si>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</si>
  <si>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</si>
  <si>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</si>
  <si>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</si>
  <si>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</si>
  <si>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</si>
  <si>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</si>
  <si>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</si>
  <si>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</si>
  <si>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</si>
  <si>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</si>
  <si>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</si>
  <si>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</si>
  <si>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</si>
  <si>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</si>
  <si>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</si>
  <si>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</si>
  <si>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</si>
  <si>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</si>
  <si>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</si>
  <si>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</si>
  <si>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</si>
  <si>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</si>
  <si>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</si>
  <si>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</si>
  <si>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</si>
  <si>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</si>
  <si>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</si>
  <si>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</si>
  <si>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</si>
  <si>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</si>
  <si>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</si>
  <si>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</si>
  <si>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</si>
  <si>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</si>
  <si>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</si>
  <si>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</si>
  <si>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</si>
  <si>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</si>
  <si>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</si>
  <si>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</si>
  <si>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</si>
  <si>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</si>
  <si>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</si>
  <si>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</si>
  <si>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</si>
  <si>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</si>
  <si>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</si>
  <si>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</si>
  <si>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</si>
  <si>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</si>
  <si>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</si>
  <si>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</si>
  <si>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</si>
  <si>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</si>
  <si>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</si>
  <si>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</si>
  <si>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</si>
  <si>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</si>
  <si>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</si>
  <si>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</si>
  <si>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</si>
  <si>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</si>
  <si>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</si>
  <si>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</si>
  <si>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</si>
  <si>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</si>
  <si>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</si>
  <si>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</si>
  <si>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</si>
  <si>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</si>
  <si>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</si>
  <si>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</si>
  <si>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</si>
  <si>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</si>
  <si>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</si>
  <si>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</si>
  <si>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</si>
  <si>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</si>
  <si>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</si>
  <si>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</si>
  <si>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</si>
  <si>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</si>
  <si>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</si>
  <si>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</si>
  <si>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</si>
  <si>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</si>
  <si>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</si>
  <si>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</si>
  <si>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</si>
  <si>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</si>
  <si>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</si>
  <si>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</si>
  <si>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</si>
  <si>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</si>
  <si>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</si>
  <si>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</si>
  <si>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</si>
  <si>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</si>
  <si>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</si>
  <si>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</si>
  <si>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</si>
  <si>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</si>
  <si>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</si>
  <si>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</si>
  <si>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</si>
  <si>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</si>
  <si>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</si>
  <si>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</si>
  <si>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</si>
  <si>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</si>
  <si>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</si>
  <si>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</si>
  <si>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</si>
  <si>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</si>
  <si>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</si>
  <si>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</si>
  <si>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</si>
  <si>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</si>
  <si>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</si>
  <si>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</si>
  <si>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</si>
  <si>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</si>
  <si>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</si>
  <si>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</si>
  <si>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</si>
  <si>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</si>
  <si>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</si>
  <si>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</si>
  <si>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</si>
  <si>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</si>
  <si>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</si>
  <si>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</si>
  <si>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</si>
  <si>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</si>
  <si>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</si>
  <si>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</si>
  <si>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</si>
  <si>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</si>
  <si>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</si>
  <si>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</si>
  <si>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</si>
  <si>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</si>
  <si>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</si>
  <si>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</si>
  <si>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</si>
  <si>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</si>
  <si>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</si>
  <si>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</si>
  <si>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</si>
  <si>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</si>
  <si>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</si>
  <si>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</si>
  <si>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</si>
  <si>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</si>
  <si>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</si>
  <si>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</si>
  <si>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</si>
  <si>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</si>
  <si>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</si>
  <si>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</si>
  <si>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</si>
  <si>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</si>
  <si>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</si>
  <si>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</si>
  <si>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</si>
  <si>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</si>
  <si>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</si>
  <si>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</si>
  <si>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</si>
  <si>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</si>
  <si>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</si>
  <si>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</si>
  <si>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</si>
  <si>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</si>
  <si>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</si>
  <si>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</si>
  <si>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</si>
  <si>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</si>
  <si>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</si>
  <si>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</si>
  <si>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</si>
  <si>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</si>
  <si>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</si>
  <si>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</si>
  <si>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</si>
  <si>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</si>
  <si>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</si>
  <si>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</si>
  <si>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</si>
  <si>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</si>
  <si>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</si>
  <si>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</si>
  <si>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</si>
  <si>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</si>
  <si>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</si>
  <si>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</si>
  <si>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</si>
  <si>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</si>
  <si>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</si>
  <si>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</si>
  <si>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</si>
  <si>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</si>
  <si>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</si>
  <si>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</si>
  <si>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</si>
  <si>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</si>
  <si>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</si>
  <si>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</si>
  <si>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</si>
  <si>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</si>
  <si>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</si>
  <si>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</si>
  <si>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</si>
  <si>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</si>
  <si>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</si>
  <si>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</si>
  <si>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</si>
  <si>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</si>
  <si>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</si>
  <si>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</si>
  <si>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</si>
  <si>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</si>
  <si>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</si>
  <si>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</si>
  <si>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</si>
  <si>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</si>
  <si>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</si>
  <si>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</si>
  <si>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</si>
  <si>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</si>
  <si>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</si>
  <si>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</si>
  <si>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</si>
  <si>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</si>
  <si>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</si>
  <si>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</si>
  <si>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</si>
  <si>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</si>
  <si>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</si>
  <si>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</si>
  <si>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</si>
  <si>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</si>
  <si>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</si>
  <si>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</si>
  <si>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</si>
  <si>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</si>
  <si>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</si>
  <si>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</si>
  <si>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</si>
  <si>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</si>
  <si>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</si>
  <si>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</si>
  <si>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</si>
  <si>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</si>
  <si>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</si>
  <si>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</si>
  <si>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</si>
  <si>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</si>
  <si>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</si>
  <si>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</si>
  <si>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</si>
  <si>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</si>
  <si>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</si>
  <si>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</si>
  <si>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</si>
  <si>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</si>
  <si>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</si>
  <si>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</si>
  <si>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</si>
  <si>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</si>
  <si>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</si>
  <si>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</si>
  <si>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</si>
  <si>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</si>
  <si>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</si>
  <si>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</si>
  <si>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</si>
  <si>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</si>
  <si>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</si>
  <si>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</si>
  <si>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</si>
  <si>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</si>
  <si>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</si>
  <si>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</si>
  <si>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</si>
  <si>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</si>
  <si>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</si>
  <si>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</si>
  <si>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</si>
  <si>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</si>
  <si>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</si>
  <si>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</si>
  <si>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</si>
  <si>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</si>
  <si>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</si>
  <si>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</si>
  <si>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</si>
  <si>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</si>
  <si>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</si>
  <si>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</si>
  <si>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</si>
  <si>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</si>
  <si>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</si>
  <si>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</si>
  <si>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</si>
  <si>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</si>
  <si>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</si>
  <si>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</si>
  <si>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</si>
  <si>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</si>
  <si>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</si>
  <si>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</si>
  <si>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</si>
  <si>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</si>
  <si>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</si>
  <si>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</si>
  <si>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</si>
  <si>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</si>
  <si>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</si>
  <si>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</si>
  <si>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</si>
  <si>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</si>
  <si>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</si>
  <si>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</si>
  <si>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</si>
  <si>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</si>
  <si>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</si>
  <si>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</si>
  <si>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</si>
  <si>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</si>
  <si>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</si>
  <si>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</si>
  <si>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</si>
  <si>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</si>
  <si>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</si>
  <si>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</si>
  <si>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</si>
  <si>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</si>
  <si>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</si>
  <si>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</si>
  <si>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</si>
  <si>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</si>
  <si>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</si>
  <si>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</si>
  <si>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</si>
  <si>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</si>
  <si>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</si>
  <si>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</si>
  <si>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</si>
  <si>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</si>
  <si>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</si>
  <si>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</si>
  <si>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</si>
  <si>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</si>
  <si>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</si>
  <si>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</si>
  <si>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</si>
  <si>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</si>
  <si>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</si>
  <si>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</si>
  <si>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</si>
  <si>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</si>
  <si>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</si>
  <si>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</si>
  <si>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</si>
  <si>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</si>
  <si>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</si>
  <si>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</si>
  <si>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</si>
  <si>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</si>
  <si>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</si>
  <si>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</si>
  <si>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</si>
  <si>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</si>
  <si>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</si>
  <si>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</si>
  <si>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</si>
  <si>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</si>
  <si>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</si>
  <si>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</si>
  <si>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</si>
  <si>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</si>
  <si>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</si>
  <si>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</si>
  <si>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</si>
  <si>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</si>
  <si>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</si>
  <si>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</si>
  <si>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</si>
  <si>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</si>
  <si>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</si>
  <si>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</si>
  <si>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</si>
  <si>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</si>
  <si>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</si>
  <si>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</si>
  <si>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</si>
  <si>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</si>
  <si>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</si>
  <si>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</si>
  <si>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</si>
  <si>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</si>
  <si>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</si>
  <si>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</si>
  <si>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</si>
  <si>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</si>
  <si>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</si>
  <si>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</si>
  <si>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</si>
  <si>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</si>
  <si>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</si>
  <si>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</si>
  <si>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</si>
  <si>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</si>
  <si>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</si>
  <si>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</si>
  <si>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</si>
  <si>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</si>
  <si>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</si>
  <si>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</si>
  <si>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</si>
  <si>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</si>
  <si>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</si>
  <si>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</si>
  <si>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</si>
  <si>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</si>
  <si>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</si>
  <si>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</si>
  <si>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</si>
  <si>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</si>
  <si>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</si>
  <si>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</si>
  <si>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</si>
  <si>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</si>
  <si>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</si>
  <si>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</si>
  <si>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</si>
  <si>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</si>
  <si>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</si>
  <si>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</si>
  <si>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</si>
  <si>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</si>
  <si>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</si>
  <si>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</si>
  <si>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</si>
  <si>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</si>
  <si>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</si>
  <si>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</si>
  <si>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</si>
  <si>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</si>
  <si>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</si>
  <si>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</si>
  <si>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</si>
  <si>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</si>
  <si>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</si>
  <si>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</si>
  <si>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</si>
  <si>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</si>
  <si>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</si>
  <si>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</si>
  <si>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</si>
  <si>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</si>
  <si>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</si>
  <si>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</si>
  <si>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</si>
  <si>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</si>
  <si>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</si>
  <si>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</si>
  <si>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</si>
  <si>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</si>
  <si>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</si>
  <si>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</si>
  <si>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</si>
  <si>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</si>
  <si>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</si>
  <si>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</si>
  <si>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</si>
  <si>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</si>
  <si>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</si>
  <si>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</si>
  <si>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</si>
  <si>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</si>
  <si>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</si>
  <si>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</si>
  <si>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</si>
  <si>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</si>
  <si>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</si>
  <si>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</si>
  <si>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</si>
  <si>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</si>
  <si>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</si>
  <si>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</si>
  <si>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</si>
  <si>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</si>
  <si>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</si>
  <si>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</si>
  <si>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</si>
  <si>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</si>
  <si>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</si>
  <si>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</si>
  <si>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</si>
  <si>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</si>
  <si>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</si>
  <si>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</si>
  <si>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</si>
  <si>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</si>
  <si>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</si>
  <si>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</si>
  <si>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</si>
  <si>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</si>
  <si>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</si>
  <si>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</si>
  <si>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</si>
  <si>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</si>
  <si>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</si>
  <si>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</si>
  <si>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</si>
  <si>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</si>
  <si>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</si>
  <si>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</si>
  <si>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</si>
  <si>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</si>
  <si>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</si>
  <si>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</si>
  <si>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</si>
  <si>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</si>
  <si>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</si>
  <si>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</si>
  <si>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</si>
  <si>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</si>
  <si>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</si>
  <si>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</si>
  <si>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</si>
  <si>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</si>
  <si>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</si>
  <si>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</si>
  <si>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</si>
  <si>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</si>
  <si>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</si>
  <si>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</si>
  <si>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</si>
  <si>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</si>
  <si>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</si>
  <si>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</si>
  <si>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</si>
  <si>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</si>
  <si>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</si>
  <si>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</si>
  <si>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</si>
  <si>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</si>
  <si>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</si>
  <si>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</si>
  <si>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</si>
  <si>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</si>
  <si>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</si>
  <si>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</si>
  <si>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</si>
  <si>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</si>
  <si>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</si>
  <si>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</si>
  <si>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</si>
  <si>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</si>
  <si>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</si>
  <si>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</si>
  <si>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</si>
  <si>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</si>
  <si>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</si>
  <si>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</si>
  <si>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</si>
  <si>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</si>
  <si>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</si>
  <si>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</si>
  <si>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</si>
  <si>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</si>
  <si>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</si>
  <si>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</si>
  <si>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</si>
  <si>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</si>
  <si>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</si>
  <si>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</si>
  <si>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</si>
  <si>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</si>
  <si>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</si>
  <si>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</si>
  <si>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</si>
  <si>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</si>
  <si>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</si>
  <si>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</si>
  <si>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</si>
  <si>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</si>
  <si>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</si>
  <si>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</si>
  <si>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</si>
  <si>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</si>
  <si>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</si>
  <si>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</si>
  <si>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</si>
  <si>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</si>
  <si>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</si>
  <si>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</si>
  <si>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</si>
  <si>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</si>
  <si>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</si>
  <si>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</si>
  <si>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</si>
  <si>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</si>
  <si>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</si>
  <si>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</si>
  <si>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</si>
  <si>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</si>
  <si>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</si>
  <si>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</si>
  <si>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</si>
  <si>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</si>
  <si>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</si>
  <si>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</si>
  <si>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</si>
  <si>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</si>
  <si>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</si>
  <si>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</si>
  <si>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</si>
  <si>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</si>
  <si>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</si>
  <si>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</si>
  <si>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</si>
  <si>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</si>
  <si>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</si>
  <si>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</si>
  <si>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</si>
  <si>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</si>
  <si>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</si>
  <si>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</si>
  <si>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</si>
  <si>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</si>
  <si>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</si>
  <si>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</si>
  <si>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</si>
  <si>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</si>
  <si>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</si>
  <si>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</si>
  <si>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</si>
  <si>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</si>
  <si>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</si>
  <si>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</si>
  <si>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</si>
  <si>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</si>
  <si>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</si>
  <si>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</si>
  <si>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</si>
  <si>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</si>
  <si>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</si>
  <si>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</si>
  <si>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</si>
  <si>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</si>
  <si>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</si>
  <si>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</si>
  <si>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</si>
  <si>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</si>
  <si>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</si>
  <si>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</si>
  <si>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</si>
  <si>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</si>
  <si>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</si>
  <si>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</si>
  <si>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</si>
  <si>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</si>
  <si>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</si>
  <si>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</si>
  <si>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</si>
  <si>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</si>
  <si>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</si>
  <si>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</si>
  <si>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</si>
  <si>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</si>
  <si>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</si>
  <si>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</si>
  <si>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</si>
  <si>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</si>
  <si>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</si>
  <si>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</si>
  <si>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</si>
  <si>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</si>
  <si>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</si>
  <si>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</si>
  <si>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</si>
  <si>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</si>
  <si>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</si>
  <si>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</si>
  <si>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</si>
  <si>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</si>
  <si>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</si>
  <si>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</si>
  <si>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</si>
  <si>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</si>
  <si>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</si>
  <si>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</si>
  <si>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</si>
  <si>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</si>
  <si>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</si>
  <si>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</si>
  <si>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</si>
  <si>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</si>
  <si>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</si>
  <si>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</si>
  <si>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</si>
  <si>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</si>
  <si>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</si>
  <si>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</si>
  <si>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</si>
  <si>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</si>
  <si>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</si>
  <si>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</si>
  <si>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</si>
  <si>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</si>
  <si>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</si>
  <si>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</si>
  <si>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</si>
  <si>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</si>
  <si>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</si>
  <si>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</si>
  <si>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</si>
  <si>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</si>
  <si>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</si>
  <si>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</si>
  <si>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</si>
  <si>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</si>
  <si>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</si>
  <si>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</si>
  <si>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</si>
  <si>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</si>
  <si>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</si>
  <si>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</si>
  <si>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</si>
  <si>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</si>
  <si>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</si>
  <si>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</si>
  <si>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</si>
  <si>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</si>
  <si>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</si>
  <si>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</si>
  <si>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</si>
  <si>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</si>
  <si>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</si>
  <si>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</si>
  <si>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</si>
  <si>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</si>
  <si>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</si>
  <si>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</si>
  <si>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</si>
  <si>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</si>
  <si>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</si>
  <si>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</si>
  <si>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</si>
  <si>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</si>
  <si>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</si>
  <si>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</si>
  <si>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</si>
  <si>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</si>
  <si>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</si>
  <si>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</si>
  <si>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</si>
  <si>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</si>
  <si>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</si>
  <si>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</si>
  <si>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</si>
  <si>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</si>
  <si>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</si>
  <si>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</si>
  <si>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</si>
  <si>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</si>
  <si>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</si>
  <si>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</si>
  <si>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</si>
  <si>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</si>
  <si>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</si>
  <si>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</si>
  <si>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</si>
  <si>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</si>
  <si>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</si>
  <si>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</si>
  <si>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</si>
  <si>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</si>
  <si>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</si>
  <si>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</si>
  <si>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</si>
  <si>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</si>
  <si>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</si>
  <si>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</si>
  <si>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</si>
  <si>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</si>
  <si>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</si>
  <si>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</si>
  <si>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</si>
  <si>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</si>
  <si>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</si>
  <si>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</si>
  <si>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</si>
  <si>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</si>
  <si>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</si>
  <si>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</si>
  <si>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</si>
  <si>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</si>
  <si>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</si>
  <si>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</si>
  <si>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</si>
  <si>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</si>
  <si>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</si>
  <si>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</si>
  <si>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</si>
  <si>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</si>
  <si>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</si>
  <si>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</si>
  <si>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</si>
  <si>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</si>
  <si>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</si>
  <si>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</si>
  <si>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</si>
  <si>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</si>
  <si>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</si>
  <si>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</si>
  <si>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</si>
  <si>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</si>
  <si>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</si>
  <si>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</si>
  <si>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</si>
  <si>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</si>
  <si>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</si>
  <si>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</si>
  <si>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</si>
  <si>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</si>
  <si>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</si>
  <si>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</si>
  <si>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</si>
  <si>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</si>
  <si>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</si>
  <si>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</si>
  <si>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</si>
  <si>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</si>
  <si>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</si>
  <si>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</si>
  <si>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</si>
  <si>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</si>
  <si>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</si>
  <si>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</si>
  <si>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</si>
  <si>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</si>
  <si>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</si>
  <si>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</si>
  <si>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</si>
  <si>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</si>
  <si>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</si>
  <si>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</si>
  <si>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</si>
  <si>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</si>
  <si>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</si>
  <si>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</si>
  <si>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</si>
  <si>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</si>
  <si>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</si>
  <si>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</si>
  <si>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</si>
  <si>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</si>
  <si>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</si>
  <si>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</si>
  <si>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</si>
  <si>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</si>
  <si>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</si>
  <si>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</si>
  <si>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</si>
  <si>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</si>
  <si>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</si>
  <si>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</si>
  <si>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</si>
  <si>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</si>
  <si>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</si>
  <si>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</si>
  <si>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</si>
  <si>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</si>
  <si>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</si>
  <si>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</si>
  <si>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</si>
  <si>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</si>
  <si>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</si>
  <si>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</si>
  <si>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</si>
  <si>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</si>
  <si>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</si>
  <si>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</si>
  <si>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</si>
  <si>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</si>
  <si>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</si>
  <si>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</si>
  <si>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</si>
  <si>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</si>
  <si>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</si>
  <si>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</si>
  <si>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</si>
  <si>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</si>
  <si>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</si>
  <si>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</si>
  <si>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</si>
  <si>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</si>
  <si>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</si>
  <si>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</si>
  <si>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</si>
  <si>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</si>
  <si>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</si>
  <si>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</si>
  <si>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</si>
  <si>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</si>
  <si>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</si>
  <si>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</si>
  <si>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</si>
  <si>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</si>
  <si>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</si>
  <si>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</si>
  <si>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</si>
  <si>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</si>
  <si>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</si>
  <si>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</si>
  <si>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</si>
  <si>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</si>
  <si>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</si>
  <si>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</si>
  <si>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</si>
  <si>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</si>
  <si>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</si>
  <si>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</si>
  <si>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</si>
  <si>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</si>
  <si>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</si>
  <si>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</si>
  <si>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</si>
  <si>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</si>
  <si>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</si>
  <si>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</si>
  <si>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</si>
  <si>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</si>
  <si>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</si>
  <si>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</si>
  <si>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</si>
  <si>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</si>
  <si>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</si>
  <si>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</si>
  <si>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</si>
  <si>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</si>
  <si>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</si>
  <si>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</si>
  <si>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</si>
  <si>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</si>
  <si>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</si>
  <si>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</si>
  <si>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</si>
  <si>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</si>
  <si>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</si>
  <si>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</si>
  <si>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</si>
  <si>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</si>
  <si>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</si>
  <si>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</si>
  <si>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</si>
  <si>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</si>
  <si>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</si>
  <si>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</si>
  <si>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</si>
  <si>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</si>
  <si>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</si>
  <si>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</si>
  <si>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</si>
  <si>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</si>
  <si>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</si>
  <si>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</si>
  <si>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</si>
  <si>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</si>
  <si>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</si>
  <si>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</si>
  <si>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</si>
  <si>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</si>
  <si>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</si>
  <si>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</si>
  <si>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</si>
  <si>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</si>
  <si>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</si>
  <si>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</si>
  <si>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</si>
  <si>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</si>
  <si>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</si>
  <si>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</si>
  <si>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</si>
  <si>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</si>
  <si>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</si>
  <si>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</si>
  <si>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</si>
  <si>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</si>
  <si>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</si>
  <si>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</si>
  <si>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</si>
  <si>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</si>
  <si>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</si>
  <si>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</si>
  <si>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</si>
  <si>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</si>
  <si>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</si>
  <si>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</si>
  <si>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</si>
  <si>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</si>
  <si>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</si>
  <si>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</si>
  <si>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</si>
  <si>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</si>
  <si>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</si>
  <si>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</si>
  <si>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</si>
  <si>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</si>
  <si>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</si>
  <si>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</si>
  <si>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</si>
  <si>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</si>
  <si>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</si>
  <si>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</si>
  <si>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</si>
  <si>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</si>
  <si>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</si>
  <si>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</si>
  <si>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</si>
  <si>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</si>
  <si>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</si>
  <si>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</si>
  <si>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</si>
  <si>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</si>
  <si>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</si>
  <si>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</si>
  <si>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</si>
  <si>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</si>
  <si>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</si>
  <si>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</si>
  <si>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</si>
  <si>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</si>
  <si>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</si>
  <si>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</si>
  <si>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</si>
  <si>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</si>
  <si>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</si>
  <si>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</si>
  <si>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</si>
  <si>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</si>
  <si>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</si>
  <si>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</si>
  <si>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</si>
  <si>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</si>
  <si>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</si>
  <si>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</si>
  <si>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</si>
  <si>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</si>
  <si>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</si>
  <si>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</si>
  <si>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</si>
  <si>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</si>
  <si>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</si>
  <si>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</si>
  <si>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</si>
  <si>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</si>
  <si>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</si>
  <si>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</si>
  <si>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</si>
  <si>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</si>
  <si>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</si>
  <si>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</si>
  <si>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</si>
  <si>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</si>
  <si>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</si>
  <si>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</si>
  <si>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</si>
  <si>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</si>
  <si>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</si>
  <si>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</si>
  <si>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</si>
  <si>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</si>
  <si>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</si>
  <si>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</si>
  <si>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</si>
  <si>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</si>
  <si>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</si>
  <si>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</si>
  <si>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</si>
  <si>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</si>
  <si>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</si>
  <si>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</si>
  <si>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</si>
  <si>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</si>
  <si>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</si>
  <si>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</si>
  <si>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</si>
  <si>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</si>
  <si>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</si>
  <si>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</si>
  <si>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</si>
  <si>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</si>
  <si>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</si>
  <si>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</si>
  <si>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</si>
  <si>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</si>
  <si>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</si>
  <si>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</si>
  <si>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</si>
  <si>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</si>
  <si>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</si>
  <si>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</si>
  <si>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</si>
  <si>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</si>
  <si>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</si>
  <si>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</si>
  <si>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</si>
  <si>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</si>
  <si>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</si>
  <si>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</si>
  <si>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</si>
  <si>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</si>
  <si>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</si>
  <si>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</si>
  <si>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</si>
  <si>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</si>
  <si>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</si>
  <si>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</si>
  <si>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</si>
  <si>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</si>
  <si>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</si>
  <si>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</si>
  <si>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</si>
  <si>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</si>
  <si>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</si>
  <si>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</si>
  <si>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</si>
  <si>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</si>
  <si>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</si>
  <si>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</si>
  <si>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</si>
  <si>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</si>
  <si>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</si>
  <si>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</si>
  <si>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</si>
  <si>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</si>
  <si>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</si>
  <si>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</si>
  <si>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</si>
  <si>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</si>
  <si>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</si>
  <si>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</si>
  <si>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</si>
  <si>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</si>
  <si>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</si>
  <si>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</si>
  <si>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</si>
  <si>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</si>
  <si>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</si>
  <si>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</si>
  <si>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</si>
  <si>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</si>
  <si>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</si>
  <si>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</si>
  <si>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</si>
  <si>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</si>
  <si>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</si>
  <si>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</si>
  <si>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</si>
  <si>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</si>
  <si>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</si>
  <si>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</si>
  <si>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</si>
  <si>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</si>
  <si>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</si>
  <si>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</si>
  <si>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</si>
  <si>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</si>
  <si>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</si>
  <si>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</si>
  <si>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</si>
  <si>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</si>
  <si>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</si>
  <si>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</si>
  <si>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</si>
  <si>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</si>
  <si>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</si>
  <si>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</si>
  <si>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</si>
  <si>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</si>
  <si>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</si>
  <si>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</si>
  <si>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</si>
  <si>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</si>
  <si>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</si>
  <si>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</si>
  <si>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</si>
  <si>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</si>
  <si>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</si>
  <si>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</si>
  <si>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</si>
  <si>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</si>
  <si>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</si>
  <si>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</si>
  <si>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</si>
  <si>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</si>
  <si>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</si>
  <si>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</si>
  <si>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</si>
  <si>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</si>
  <si>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</si>
  <si>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</si>
  <si>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</si>
  <si>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</si>
  <si>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</si>
  <si>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</si>
  <si>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</si>
  <si>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</si>
  <si>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</si>
  <si>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</si>
  <si>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</si>
  <si>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</si>
  <si>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</si>
  <si>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</si>
  <si>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</si>
  <si>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</si>
  <si>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</si>
  <si>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</si>
  <si>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</si>
  <si>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</si>
  <si>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</si>
  <si>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</si>
  <si>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</si>
  <si>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</si>
  <si>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</si>
  <si>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</si>
  <si>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</si>
  <si>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</si>
  <si>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</si>
  <si>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</si>
  <si>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</si>
  <si>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</si>
  <si>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</si>
  <si>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</si>
  <si>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</si>
  <si>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</si>
  <si>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</si>
  <si>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</si>
  <si>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</si>
  <si>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</si>
  <si>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</si>
  <si>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</si>
  <si>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</si>
  <si>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</si>
  <si>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</si>
  <si>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</si>
  <si>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</si>
  <si>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</si>
  <si>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</si>
  <si>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</si>
  <si>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</si>
  <si>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</si>
  <si>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</si>
  <si>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</si>
  <si>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</si>
  <si>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</si>
  <si>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</si>
  <si>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</si>
  <si>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</si>
  <si>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</si>
  <si>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</si>
  <si>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</si>
  <si>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</si>
  <si>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</si>
  <si>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</si>
  <si>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</si>
  <si>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</si>
  <si>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</si>
  <si>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</si>
  <si>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</si>
  <si>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</si>
  <si>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</si>
  <si>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</si>
  <si>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</si>
  <si>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</si>
  <si>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</si>
  <si>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</si>
  <si>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</si>
  <si>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</si>
  <si>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</si>
  <si>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</si>
  <si>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</si>
  <si>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</si>
  <si>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</si>
  <si>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</si>
  <si>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</si>
  <si>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</si>
  <si>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</si>
  <si>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</si>
  <si>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</si>
  <si>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</si>
  <si>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</si>
  <si>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</si>
  <si>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</si>
  <si>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</si>
  <si>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</si>
  <si>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</si>
  <si>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</si>
  <si>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</si>
  <si>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</si>
  <si>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</si>
  <si>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</si>
  <si>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</si>
  <si>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</si>
  <si>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</si>
  <si>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</si>
  <si>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</si>
  <si>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</si>
  <si>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</si>
  <si>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</si>
  <si>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</si>
  <si>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</si>
  <si>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</si>
  <si>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</si>
  <si>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</si>
  <si>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</si>
  <si>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</si>
  <si>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</si>
  <si>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</si>
  <si>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</si>
  <si>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</si>
  <si>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</si>
  <si>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</si>
  <si>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</si>
  <si>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</si>
  <si>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</si>
  <si>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</si>
  <si>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</si>
  <si>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</si>
  <si>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</si>
  <si>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</si>
  <si>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</si>
  <si>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</si>
  <si>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</si>
  <si>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</si>
  <si>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</si>
  <si>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</si>
  <si>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</si>
  <si>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</si>
  <si>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</si>
  <si>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</si>
  <si>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</si>
  <si>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</si>
  <si>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</si>
  <si>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</si>
  <si>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</si>
  <si>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</si>
  <si>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</si>
  <si>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</si>
  <si>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</si>
  <si>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</si>
  <si>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</si>
  <si>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</si>
  <si>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</si>
  <si>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</si>
  <si>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</si>
  <si>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</si>
  <si>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</si>
  <si>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</si>
  <si>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</si>
  <si>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</si>
  <si>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</si>
  <si>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</si>
  <si>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</si>
  <si>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</si>
  <si>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</si>
  <si>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</si>
  <si>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</si>
  <si>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</si>
  <si>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</si>
  <si>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</si>
  <si>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</si>
  <si>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</si>
  <si>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</si>
  <si>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</si>
  <si>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</si>
  <si>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</si>
  <si>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</si>
  <si>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</si>
  <si>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</si>
  <si>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</si>
  <si>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</si>
  <si>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</si>
  <si>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</si>
  <si>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</si>
  <si>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</si>
  <si>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</si>
  <si>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</si>
  <si>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</si>
  <si>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</si>
  <si>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</si>
  <si>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</si>
  <si>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</si>
  <si>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</si>
  <si>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</si>
  <si>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</si>
  <si>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</si>
  <si>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</si>
  <si>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</si>
  <si>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</si>
  <si>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</si>
  <si>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</si>
  <si>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</si>
  <si>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</si>
  <si>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</si>
  <si>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</si>
  <si>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</si>
  <si>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</si>
  <si>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</si>
  <si>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</si>
  <si>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</si>
  <si>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</si>
  <si>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</si>
  <si>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</si>
  <si>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</si>
  <si>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</si>
  <si>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</si>
  <si>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</si>
  <si>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</si>
  <si>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</si>
  <si>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</si>
  <si>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</si>
  <si>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</si>
  <si>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</si>
  <si>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</si>
  <si>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</si>
  <si>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</si>
  <si>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</si>
  <si>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</si>
  <si>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</si>
  <si>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</si>
  <si>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</si>
  <si>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</si>
  <si>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</si>
  <si>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</si>
  <si>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</si>
  <si>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</si>
  <si>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</si>
  <si>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</si>
  <si>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</si>
  <si>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</si>
  <si>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</si>
  <si>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</si>
  <si>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</si>
  <si>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</si>
  <si>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</si>
  <si>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</si>
  <si>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</si>
  <si>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</si>
  <si>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</si>
  <si>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</si>
  <si>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</si>
  <si>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</si>
  <si>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</si>
  <si>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</si>
  <si>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</si>
  <si>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</si>
  <si>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</si>
  <si>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</si>
  <si>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</si>
  <si>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</si>
  <si>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</si>
  <si>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</si>
  <si>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</si>
  <si>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</si>
  <si>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</si>
  <si>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</si>
  <si>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</si>
  <si>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</si>
  <si>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</si>
  <si>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</si>
  <si>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</si>
  <si>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</si>
  <si>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</si>
  <si>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</si>
  <si>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</si>
  <si>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</si>
  <si>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</si>
  <si>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</si>
  <si>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</si>
  <si>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</si>
  <si>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</si>
  <si>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</si>
  <si>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</si>
  <si>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</si>
  <si>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</si>
  <si>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</si>
  <si>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</si>
  <si>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</si>
  <si>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</si>
  <si>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</si>
  <si>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</si>
  <si>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</si>
  <si>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</si>
  <si>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</si>
  <si>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</si>
  <si>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</si>
  <si>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</si>
  <si>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</si>
  <si>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</si>
  <si>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</si>
  <si>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</si>
  <si>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</si>
  <si>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</si>
  <si>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</si>
  <si>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</si>
  <si>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</si>
  <si>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</si>
  <si>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</si>
  <si>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</si>
  <si>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</si>
  <si>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</si>
  <si>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</si>
  <si>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</si>
  <si>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</si>
  <si>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</si>
  <si>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</si>
  <si>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</si>
  <si>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</si>
  <si>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</si>
  <si>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</si>
  <si>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</si>
  <si>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</si>
  <si>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</si>
  <si>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</si>
  <si>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</si>
  <si>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</si>
  <si>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</si>
  <si>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</si>
  <si>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</si>
  <si>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</si>
  <si>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</si>
  <si>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</si>
  <si>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</si>
  <si>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</si>
  <si>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</si>
  <si>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</si>
  <si>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</si>
  <si>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</si>
  <si>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</si>
  <si>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</si>
  <si>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</si>
  <si>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</si>
  <si>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</si>
  <si>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</si>
  <si>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</si>
  <si>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</si>
  <si>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</si>
  <si>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</si>
  <si>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</si>
  <si>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</si>
  <si>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</si>
  <si>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</si>
  <si>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</si>
  <si>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</si>
  <si>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</si>
  <si>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</si>
  <si>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</si>
  <si>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</si>
  <si>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</si>
  <si>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</si>
  <si>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</si>
  <si>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</si>
  <si>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</si>
  <si>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</si>
  <si>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</si>
  <si>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</si>
  <si>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</si>
  <si>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</si>
  <si>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</si>
  <si>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</si>
  <si>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</si>
  <si>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</si>
  <si>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</si>
  <si>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</si>
  <si>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</si>
  <si>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</si>
  <si>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</si>
  <si>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</si>
  <si>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</si>
  <si>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</si>
  <si>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</si>
  <si>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</si>
  <si>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</si>
  <si>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</si>
  <si>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</si>
  <si>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</si>
  <si>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</si>
  <si>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</si>
  <si>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</si>
  <si>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</si>
  <si>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</si>
  <si>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</si>
  <si>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</si>
  <si>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</si>
  <si>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</si>
  <si>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</si>
  <si>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</si>
  <si>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</si>
  <si>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</si>
  <si>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</si>
  <si>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</si>
  <si>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</si>
  <si>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</si>
  <si>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</si>
  <si>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</si>
  <si>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</si>
  <si>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</si>
  <si>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</si>
  <si>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</si>
  <si>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</si>
  <si>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</si>
  <si>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</si>
  <si>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</si>
  <si>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</si>
  <si>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</si>
  <si>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</si>
  <si>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</si>
  <si>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</si>
  <si>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</si>
  <si>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</si>
  <si>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</si>
  <si>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</si>
  <si>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</si>
  <si>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</si>
  <si>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</si>
  <si>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</si>
  <si>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</si>
  <si>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</si>
  <si>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</si>
  <si>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</si>
  <si>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</si>
  <si>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</si>
  <si>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</si>
  <si>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</si>
  <si>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</si>
  <si>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</si>
  <si>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</si>
  <si>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</si>
  <si>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</si>
  <si>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</si>
  <si>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</si>
  <si>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</si>
  <si>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</si>
  <si>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</si>
  <si>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</si>
  <si>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</si>
  <si>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</si>
  <si>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</si>
  <si>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</si>
  <si>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</si>
  <si>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</si>
  <si>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</si>
  <si>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</si>
  <si>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</si>
  <si>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</si>
  <si>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</si>
  <si>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</si>
  <si>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</si>
  <si>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</si>
  <si>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</si>
  <si>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</si>
  <si>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</si>
  <si>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</si>
  <si>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</si>
  <si>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</si>
  <si>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</si>
  <si>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</si>
  <si>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</si>
  <si>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</si>
  <si>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</si>
  <si>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</si>
  <si>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</si>
  <si>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</si>
  <si>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</si>
  <si>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</si>
  <si>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</si>
  <si>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</si>
  <si>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</si>
  <si>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</si>
  <si>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</si>
  <si>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</si>
  <si>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</si>
  <si>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</si>
  <si>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</si>
  <si>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</si>
  <si>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</si>
  <si>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</si>
  <si>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</si>
  <si>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</si>
  <si>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</si>
  <si>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</si>
  <si>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</si>
  <si>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</si>
  <si>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</si>
  <si>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</si>
  <si>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</si>
  <si>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</si>
  <si>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</si>
  <si>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</si>
  <si>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</si>
  <si>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</si>
  <si>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</si>
  <si>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</si>
  <si>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</si>
  <si>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</si>
  <si>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</si>
  <si>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</si>
  <si>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</si>
  <si>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</si>
  <si>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</si>
  <si>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</si>
  <si>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</si>
  <si>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</si>
  <si>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</si>
  <si>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</si>
  <si>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</si>
  <si>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</si>
  <si>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</si>
  <si>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</si>
  <si>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</si>
  <si>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</si>
  <si>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</si>
  <si>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</si>
  <si>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</si>
  <si>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</si>
  <si>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</si>
  <si>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</si>
  <si>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</si>
  <si>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</si>
  <si>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</si>
  <si>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</si>
  <si>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</si>
  <si>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</si>
  <si>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</si>
  <si>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</si>
  <si>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</si>
  <si>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</si>
  <si>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</si>
  <si>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</si>
  <si>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</si>
  <si>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</si>
  <si>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</si>
  <si>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</si>
  <si>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</si>
  <si>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</si>
  <si>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</si>
  <si>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</si>
  <si>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</si>
  <si>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</si>
  <si>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</si>
  <si>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</si>
  <si>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</si>
  <si>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</si>
  <si>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</si>
  <si>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</si>
  <si>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</si>
  <si>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</si>
  <si>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</si>
  <si>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</si>
  <si>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</si>
  <si>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</si>
  <si>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</si>
  <si>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</si>
  <si>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</si>
  <si>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</si>
  <si>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</si>
  <si>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</si>
  <si>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</si>
  <si>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</si>
  <si>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</si>
  <si>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</si>
  <si>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</si>
  <si>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</si>
  <si>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</si>
  <si>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</si>
  <si>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</si>
  <si>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</si>
  <si>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</si>
  <si>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</si>
  <si>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</si>
  <si>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</si>
  <si>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</si>
  <si>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</si>
  <si>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</si>
  <si>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</si>
  <si>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</si>
  <si>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</si>
  <si>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</si>
  <si>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</si>
  <si>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</si>
  <si>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</si>
  <si>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</si>
  <si>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</si>
  <si>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</si>
  <si>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</si>
  <si>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</si>
  <si>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</si>
  <si>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</si>
  <si>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</si>
  <si>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</si>
  <si>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</si>
  <si>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</si>
  <si>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</si>
  <si>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</si>
  <si>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</si>
  <si>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</si>
  <si>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</si>
  <si>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</si>
  <si>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</si>
  <si>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</si>
  <si>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</si>
  <si>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</si>
  <si>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</si>
  <si>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</si>
  <si>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</si>
  <si>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</si>
  <si>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</si>
  <si>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</si>
  <si>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</si>
  <si>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</si>
  <si>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</si>
  <si>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</si>
  <si>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</si>
  <si>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</si>
  <si>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</si>
  <si>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</si>
  <si>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</si>
  <si>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</si>
  <si>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</si>
  <si>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</si>
  <si>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</si>
  <si>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</si>
  <si>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</si>
  <si>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</si>
  <si>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</si>
  <si>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</si>
  <si>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</si>
  <si>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</si>
  <si>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</si>
  <si>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</si>
  <si>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</si>
  <si>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</si>
  <si>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</si>
  <si>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</si>
  <si>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</si>
  <si>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</si>
  <si>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</si>
  <si>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</si>
  <si>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</si>
  <si>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</si>
  <si>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</si>
  <si>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</si>
  <si>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</si>
  <si>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</si>
  <si>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</si>
  <si>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</si>
  <si>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</si>
  <si>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</si>
  <si>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</si>
  <si>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</si>
  <si>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</si>
  <si>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</si>
  <si>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</si>
  <si>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</si>
  <si>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</si>
  <si>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</si>
  <si>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</si>
  <si>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</si>
  <si>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</si>
  <si>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</si>
  <si>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</si>
  <si>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</si>
  <si>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</si>
  <si>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</si>
  <si>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</si>
  <si>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</si>
  <si>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</si>
  <si>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</si>
  <si>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</si>
  <si>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</si>
  <si>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</si>
  <si>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</si>
  <si>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</si>
  <si>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</si>
  <si>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</si>
  <si>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</si>
  <si>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</si>
  <si>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</si>
  <si>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</si>
  <si>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</si>
  <si>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</si>
  <si>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</si>
  <si>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</si>
  <si>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</si>
  <si>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</si>
  <si>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</si>
  <si>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</si>
  <si>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</si>
  <si>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</si>
  <si>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</si>
  <si>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</si>
  <si>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</si>
  <si>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</si>
  <si>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</si>
  <si>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</si>
  <si>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</si>
  <si>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</si>
  <si>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</si>
  <si>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</si>
  <si>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</si>
  <si>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</si>
  <si>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</si>
  <si>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</si>
  <si>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</si>
  <si>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</si>
  <si>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</si>
  <si>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</si>
  <si>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</si>
  <si>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</si>
  <si>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</si>
  <si>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</si>
  <si>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</si>
  <si>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</si>
  <si>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</si>
  <si>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</si>
  <si>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</si>
  <si>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</si>
  <si>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</si>
  <si>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</si>
  <si>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</si>
  <si>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</si>
  <si>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</si>
  <si>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</si>
  <si>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</si>
  <si>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</si>
  <si>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</si>
  <si>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</si>
  <si>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</si>
  <si>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</si>
  <si>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</si>
  <si>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</si>
  <si>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</si>
  <si>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</si>
  <si>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</si>
  <si>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</si>
  <si>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</si>
  <si>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</si>
  <si>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</si>
  <si>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</si>
  <si>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</si>
  <si>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</si>
  <si>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</si>
  <si>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</si>
  <si>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</si>
  <si>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</si>
  <si>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</si>
  <si>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</si>
  <si>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</si>
  <si>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</si>
  <si>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</si>
  <si>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</si>
  <si>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</si>
  <si>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</si>
  <si>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</si>
  <si>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</si>
  <si>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</si>
  <si>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</si>
  <si>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</si>
  <si>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</si>
  <si>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</si>
  <si>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</si>
  <si>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</si>
  <si>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</si>
  <si>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</si>
  <si>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</si>
  <si>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</si>
  <si>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</si>
  <si>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</si>
  <si>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</si>
  <si>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</si>
  <si>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</si>
  <si>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</si>
  <si>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</si>
  <si>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</si>
  <si>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</si>
  <si>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</si>
  <si>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</si>
  <si>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</si>
  <si>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</si>
  <si>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</si>
  <si>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</si>
  <si>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</si>
  <si>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</si>
  <si>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</si>
  <si>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</si>
  <si>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</si>
  <si>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</si>
  <si>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</si>
  <si>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</si>
  <si>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</si>
  <si>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</si>
  <si>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</si>
  <si>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</si>
  <si>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</si>
  <si>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</si>
  <si>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</si>
  <si>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</si>
  <si>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</si>
  <si>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</si>
  <si>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</si>
  <si>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</si>
  <si>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</si>
  <si>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</si>
  <si>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</si>
  <si>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</si>
  <si>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</si>
  <si>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</si>
  <si>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</si>
  <si>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</si>
  <si>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</si>
  <si>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</si>
  <si>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</si>
  <si>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</si>
  <si>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</si>
  <si>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</si>
  <si>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</si>
  <si>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</si>
  <si>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</si>
  <si>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</si>
  <si>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</si>
  <si>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</si>
  <si>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</si>
  <si>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</si>
  <si>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</si>
  <si>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</si>
  <si>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</si>
  <si>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</si>
  <si>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</si>
  <si>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</si>
  <si>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</si>
  <si>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</si>
  <si>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</si>
  <si>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</si>
  <si>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</si>
  <si>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</si>
  <si>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</si>
  <si>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</si>
  <si>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</si>
  <si>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</si>
  <si>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</si>
  <si>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</si>
  <si>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</si>
  <si>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</si>
  <si>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</si>
  <si>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</si>
  <si>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</si>
  <si>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</si>
  <si>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</si>
  <si>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</si>
  <si>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</si>
  <si>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</si>
  <si>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</si>
  <si>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</si>
  <si>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</si>
  <si>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</si>
  <si>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</si>
  <si>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</si>
  <si>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</si>
  <si>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</si>
  <si>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</si>
  <si>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</si>
  <si>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</si>
  <si>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</si>
  <si>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</si>
  <si>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</si>
  <si>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</si>
  <si>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</si>
  <si>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</si>
  <si>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</si>
  <si>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</si>
  <si>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</si>
  <si>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</si>
  <si>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</si>
  <si>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</si>
  <si>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</si>
  <si>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</si>
  <si>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</si>
  <si>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</si>
  <si>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</si>
  <si>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</si>
  <si>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</si>
  <si>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</si>
  <si>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</si>
  <si>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</si>
  <si>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</si>
  <si>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</si>
  <si>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</si>
  <si>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</si>
  <si>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</si>
  <si>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</si>
  <si>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</si>
  <si>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</si>
  <si>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</si>
  <si>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</si>
  <si>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</si>
  <si>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</si>
  <si>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</si>
  <si>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</si>
  <si>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</si>
  <si>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</si>
  <si>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</si>
  <si>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</si>
  <si>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</si>
  <si>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</si>
  <si>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</si>
  <si>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</si>
  <si>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</si>
  <si>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</si>
  <si>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</si>
  <si>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</si>
  <si>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</si>
  <si>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</si>
  <si>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</si>
  <si>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</si>
  <si>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</si>
  <si>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</si>
  <si>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</si>
  <si>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</si>
  <si>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</si>
  <si>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</si>
  <si>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</si>
  <si>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</si>
  <si>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</si>
  <si>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</si>
  <si>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</si>
  <si>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</si>
  <si>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</si>
  <si>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</si>
  <si>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</si>
  <si>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</si>
  <si>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</si>
  <si>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</si>
  <si>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</si>
  <si>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</si>
  <si>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</si>
  <si>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</si>
  <si>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</si>
  <si>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</si>
  <si>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</si>
  <si>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</si>
  <si>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</si>
  <si>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</si>
  <si>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</si>
  <si>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</si>
  <si>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</si>
  <si>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</si>
  <si>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</si>
  <si>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</si>
  <si>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</si>
  <si>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</si>
  <si>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</si>
  <si>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</si>
  <si>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</si>
  <si>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</si>
  <si>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</si>
  <si>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</si>
  <si>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</si>
  <si>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</si>
  <si>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</si>
  <si>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</si>
  <si>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</si>
  <si>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</si>
  <si>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</si>
  <si>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</si>
  <si>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</si>
  <si>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</si>
  <si>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</si>
  <si>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</si>
  <si>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</si>
  <si>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</si>
  <si>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</si>
  <si>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</si>
  <si>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</si>
  <si>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</si>
  <si>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</si>
  <si>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</si>
  <si>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</si>
  <si>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</si>
  <si>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</si>
  <si>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</si>
  <si>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</si>
  <si>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</si>
  <si>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</si>
  <si>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</si>
  <si>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</si>
  <si>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</si>
  <si>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</si>
  <si>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</si>
  <si>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</si>
  <si>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</si>
  <si>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</si>
  <si>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</si>
  <si>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</si>
  <si>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</si>
  <si>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</si>
  <si>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</si>
  <si>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</si>
  <si>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</si>
  <si>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</si>
  <si>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</si>
  <si>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</si>
  <si>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</si>
  <si>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</si>
  <si>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</si>
  <si>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</si>
  <si>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</si>
  <si>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</si>
  <si>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</si>
  <si>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</si>
  <si>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</si>
  <si>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</si>
  <si>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</si>
  <si>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</si>
  <si>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</si>
  <si>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</si>
  <si>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</si>
  <si>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</si>
  <si>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</si>
  <si>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</si>
  <si>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</si>
  <si>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</si>
  <si>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</si>
  <si>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</si>
  <si>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</si>
  <si>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</si>
  <si>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</si>
  <si>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</si>
  <si>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</si>
  <si>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</si>
  <si>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</si>
  <si>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</si>
  <si>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</si>
  <si>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</si>
  <si>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</si>
  <si>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</si>
  <si>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</si>
  <si>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</si>
  <si>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</si>
  <si>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</si>
  <si>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</si>
  <si>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</si>
  <si>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</si>
  <si>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</si>
  <si>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</si>
  <si>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</si>
  <si>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</si>
  <si>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</si>
  <si>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</si>
  <si>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</si>
  <si>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</si>
  <si>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</si>
  <si>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</si>
  <si>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</si>
  <si>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</si>
  <si>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</si>
  <si>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</si>
  <si>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</si>
  <si>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</si>
  <si>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</si>
  <si>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</si>
  <si>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</si>
  <si>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</si>
  <si>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</si>
  <si>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</si>
  <si>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</si>
  <si>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</si>
  <si>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</si>
  <si>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</si>
  <si>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</si>
  <si>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</si>
  <si>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</si>
  <si>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</si>
  <si>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</si>
  <si>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</si>
  <si>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</si>
  <si>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</si>
  <si>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</si>
  <si>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</si>
  <si>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</si>
  <si>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</si>
  <si>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</si>
  <si>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</si>
  <si>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</si>
  <si>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</si>
  <si>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</si>
  <si>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</si>
  <si>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</si>
  <si>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</si>
  <si>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</si>
  <si>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</si>
  <si>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</si>
  <si>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</si>
  <si>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</si>
  <si>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</si>
  <si>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</si>
  <si>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</si>
  <si>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</si>
  <si>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</si>
  <si>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</si>
  <si>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</si>
  <si>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</si>
  <si>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</si>
  <si>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</si>
  <si>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</si>
  <si>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</si>
  <si>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</si>
  <si>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</si>
  <si>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</si>
  <si>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</si>
  <si>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</si>
  <si>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</si>
  <si>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</si>
  <si>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</si>
  <si>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</si>
  <si>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</si>
  <si>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</si>
  <si>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</si>
  <si>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</si>
  <si>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</si>
  <si>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</si>
  <si>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</si>
  <si>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</si>
  <si>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</si>
  <si>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</si>
  <si>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</si>
  <si>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</si>
  <si>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</si>
  <si>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</si>
  <si>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</si>
  <si>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</si>
  <si>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</si>
  <si>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</si>
  <si>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</si>
  <si>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</si>
  <si>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</si>
  <si>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</si>
  <si>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</si>
  <si>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</si>
  <si>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</si>
  <si>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</si>
  <si>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</si>
  <si>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</si>
  <si>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</si>
  <si>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</si>
  <si>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</si>
  <si>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</si>
  <si>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</si>
  <si>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</si>
  <si>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</si>
  <si>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</si>
  <si>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</si>
  <si>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</si>
  <si>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</si>
  <si>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</si>
  <si>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</si>
  <si>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</si>
  <si>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</si>
  <si>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</si>
  <si>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</si>
  <si>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</si>
  <si>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</si>
  <si>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</si>
  <si>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</si>
  <si>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</si>
  <si>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</si>
  <si>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</si>
  <si>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</si>
  <si>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</si>
  <si>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</si>
  <si>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</si>
  <si>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</si>
  <si>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</si>
  <si>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</si>
  <si>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</si>
  <si>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</si>
  <si>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</si>
  <si>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</si>
  <si>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</si>
  <si>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</si>
  <si>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</si>
  <si>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</si>
  <si>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</si>
  <si>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</si>
  <si>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</si>
  <si>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</si>
  <si>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</si>
  <si>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</si>
  <si>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</si>
  <si>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</si>
  <si>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</si>
  <si>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</si>
  <si>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</si>
  <si>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</si>
  <si>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</si>
  <si>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</si>
  <si>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</si>
  <si>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</si>
  <si>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</si>
  <si>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</si>
  <si>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</si>
  <si>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</si>
  <si>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</si>
  <si>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</si>
  <si>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</si>
  <si>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</si>
  <si>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</si>
  <si>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</si>
  <si>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</si>
  <si>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</si>
  <si>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</si>
  <si>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</si>
  <si>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</si>
  <si>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</si>
  <si>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</si>
  <si>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</si>
  <si>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</si>
  <si>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</si>
  <si>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</si>
  <si>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</si>
  <si>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</si>
  <si>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</si>
  <si>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</si>
  <si>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</si>
  <si>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</si>
  <si>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</si>
  <si>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</si>
  <si>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</si>
  <si>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</si>
  <si>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</si>
  <si>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</si>
  <si>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</si>
  <si>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</si>
  <si>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</si>
  <si>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</si>
  <si>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</si>
  <si>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</si>
  <si>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</si>
  <si>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</si>
  <si>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</si>
  <si>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</si>
  <si>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</si>
  <si>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</si>
  <si>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</si>
  <si>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</si>
  <si>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</si>
  <si>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</si>
  <si>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</si>
  <si>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</si>
  <si>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</si>
  <si>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</si>
  <si>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</si>
  <si>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</si>
  <si>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</si>
  <si>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</si>
  <si>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</si>
  <si>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</si>
  <si>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</si>
  <si>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</si>
  <si>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</si>
  <si>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</si>
  <si>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</si>
  <si>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</si>
  <si>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</si>
  <si>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</si>
  <si>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</si>
  <si>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</si>
  <si>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</si>
  <si>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</si>
  <si>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</si>
  <si>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</si>
  <si>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</si>
  <si>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</si>
  <si>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</si>
  <si>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</si>
  <si>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</si>
  <si>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</si>
  <si>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</si>
  <si>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</si>
  <si>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</si>
  <si>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</si>
  <si>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</si>
  <si>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</si>
  <si>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</si>
  <si>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</si>
  <si>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</si>
  <si>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</si>
  <si>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</si>
  <si>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</si>
  <si>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</si>
  <si>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</si>
  <si>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</si>
  <si>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</si>
  <si>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</si>
  <si>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</si>
  <si>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</si>
  <si>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</si>
  <si>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</si>
  <si>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</si>
  <si>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</si>
  <si>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</si>
  <si>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</si>
  <si>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</si>
  <si>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</si>
  <si>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</si>
  <si>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</si>
  <si>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</si>
  <si>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</si>
  <si>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</si>
  <si>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</si>
  <si>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</si>
  <si>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</si>
  <si>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</si>
  <si>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</si>
  <si>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</si>
  <si>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</si>
  <si>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</si>
  <si>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</si>
  <si>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</si>
  <si>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</si>
  <si>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</si>
  <si>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</si>
  <si>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</si>
  <si>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</si>
  <si>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</si>
  <si>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</si>
  <si>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</si>
  <si>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</si>
  <si>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</si>
  <si>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</si>
  <si>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</si>
  <si>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</si>
  <si>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</si>
  <si>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</si>
  <si>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</si>
  <si>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</si>
  <si>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</si>
  <si>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</si>
  <si>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</si>
  <si>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</si>
  <si>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</si>
  <si>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</si>
  <si>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</si>
  <si>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</si>
  <si>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</si>
  <si>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</si>
  <si>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</si>
  <si>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</si>
  <si>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</si>
  <si>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</si>
  <si>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</si>
  <si>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</si>
  <si>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</si>
  <si>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</si>
  <si>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</si>
  <si>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</si>
  <si>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</si>
  <si>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</si>
  <si>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</si>
  <si>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</si>
  <si>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</si>
  <si>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</si>
  <si>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</si>
  <si>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</si>
  <si>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</si>
  <si>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</si>
  <si>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</si>
  <si>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</si>
  <si>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</si>
  <si>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</si>
  <si>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</si>
  <si>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</si>
  <si>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</si>
  <si>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</si>
  <si>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</si>
  <si>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</si>
  <si>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</si>
  <si>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</si>
  <si>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</si>
  <si>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</si>
  <si>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</si>
  <si>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</si>
  <si>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</si>
  <si>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</si>
  <si>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</si>
  <si>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</si>
  <si>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</si>
  <si>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</si>
  <si>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</si>
  <si>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</si>
  <si>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</si>
  <si>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</si>
  <si>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</si>
  <si>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</si>
  <si>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</si>
  <si>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</si>
  <si>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</si>
  <si>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</si>
  <si>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</si>
  <si>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</si>
  <si>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</si>
  <si>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</si>
  <si>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</si>
  <si>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</si>
  <si>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</si>
  <si>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</si>
  <si>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</si>
  <si>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</si>
  <si>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</si>
  <si>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</si>
  <si>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</si>
  <si>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</si>
  <si>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</si>
  <si>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</si>
  <si>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</si>
  <si>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</si>
  <si>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</si>
  <si>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</si>
  <si>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</si>
  <si>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</si>
  <si>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</si>
  <si>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</si>
  <si>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</si>
  <si>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</si>
  <si>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</si>
  <si>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</si>
  <si>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</si>
  <si>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</si>
  <si>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</si>
  <si>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</si>
  <si>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</si>
  <si>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</si>
  <si>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</si>
  <si>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</si>
  <si>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</si>
  <si>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</si>
  <si>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</si>
  <si>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</si>
  <si>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</si>
  <si>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</si>
  <si>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</si>
  <si>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</si>
  <si>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</si>
  <si>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</si>
  <si>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</si>
  <si>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</si>
  <si>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</si>
  <si>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</si>
  <si>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</si>
  <si>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</si>
  <si>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</si>
  <si>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</si>
  <si>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</si>
  <si>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</si>
  <si>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</si>
  <si>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</si>
  <si>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</si>
  <si>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</si>
  <si>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</si>
  <si>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</si>
  <si>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</si>
  <si>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</si>
  <si>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</si>
  <si>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</si>
  <si>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</si>
  <si>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</si>
  <si>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</si>
  <si>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</si>
  <si>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</si>
  <si>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</si>
  <si>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</si>
  <si>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</si>
  <si>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</si>
  <si>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</si>
  <si>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</si>
  <si>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</si>
  <si>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</si>
  <si>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</si>
  <si>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</si>
  <si>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</si>
  <si>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</si>
  <si>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</si>
  <si>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</si>
  <si>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</si>
  <si>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</si>
  <si>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</si>
  <si>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</si>
  <si>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</si>
  <si>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</si>
  <si>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</si>
  <si>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</si>
  <si>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</si>
  <si>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</si>
  <si>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</si>
  <si>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</si>
  <si>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</si>
  <si>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</si>
  <si>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</si>
  <si>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</si>
  <si>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</si>
  <si>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</si>
  <si>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</si>
  <si>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</si>
  <si>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</si>
  <si>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</si>
  <si>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</si>
  <si>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</si>
  <si>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</si>
  <si>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</si>
  <si>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</si>
  <si>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</si>
  <si>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</si>
  <si>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</si>
  <si>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</si>
  <si>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</si>
  <si>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</si>
  <si>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</si>
  <si>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</si>
  <si>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</si>
  <si>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</si>
  <si>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</si>
  <si>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</si>
  <si>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</si>
  <si>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</si>
  <si>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</si>
  <si>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</si>
  <si>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</si>
  <si>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</si>
  <si>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</si>
  <si>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</si>
  <si>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</si>
  <si>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</si>
  <si>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</si>
  <si>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</si>
  <si>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</si>
  <si>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</si>
  <si>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</si>
  <si>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</si>
  <si>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</si>
  <si>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</si>
  <si>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</si>
  <si>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</si>
  <si>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</si>
  <si>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</si>
  <si>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</si>
  <si>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</si>
  <si>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</si>
  <si>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</si>
  <si>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</si>
  <si>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</si>
  <si>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</si>
  <si>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</si>
  <si>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</si>
  <si>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</si>
  <si>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</si>
  <si>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</si>
  <si>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</si>
  <si>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</si>
  <si>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</si>
  <si>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</si>
  <si>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</si>
  <si>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</si>
  <si>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</si>
  <si>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</si>
  <si>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</si>
  <si>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</si>
  <si>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</si>
  <si>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</si>
  <si>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</si>
  <si>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</si>
  <si>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</si>
  <si>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</si>
  <si>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</si>
  <si>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</si>
  <si>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</si>
  <si>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</si>
  <si>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</si>
  <si>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</si>
  <si>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</si>
  <si>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</si>
  <si>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</si>
  <si>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</si>
  <si>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</si>
  <si>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</si>
  <si>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</si>
  <si>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</si>
  <si>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</si>
  <si>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</si>
  <si>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</si>
  <si>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</si>
  <si>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</si>
  <si>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</si>
  <si>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</si>
  <si>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</si>
  <si>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</si>
  <si>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</si>
  <si>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</si>
  <si>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</si>
  <si>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</si>
  <si>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</si>
  <si>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</si>
  <si>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</si>
  <si>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</si>
  <si>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</si>
  <si>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</si>
  <si>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</si>
  <si>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</si>
  <si>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</si>
  <si>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</si>
  <si>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</si>
  <si>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</si>
  <si>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</si>
  <si>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</si>
  <si>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</si>
  <si>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</si>
  <si>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</si>
  <si>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</si>
  <si>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</si>
  <si>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</si>
  <si>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</si>
  <si>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</si>
  <si>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</si>
  <si>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</si>
  <si>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</si>
  <si>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</si>
  <si>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</si>
  <si>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</si>
  <si>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</si>
  <si>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</si>
  <si>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</si>
  <si>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</si>
  <si>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</si>
  <si>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</si>
  <si>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</si>
  <si>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</si>
  <si>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</si>
  <si>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</si>
  <si>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</si>
  <si>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</si>
  <si>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</si>
  <si>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</si>
  <si>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</si>
  <si>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</si>
  <si>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</si>
  <si>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</si>
  <si>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</si>
  <si>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</si>
  <si>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</si>
  <si>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</si>
  <si>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</si>
  <si>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</si>
  <si>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</si>
  <si>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</si>
  <si>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</si>
  <si>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</si>
  <si>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</si>
  <si>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</si>
  <si>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</si>
  <si>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</si>
  <si>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</si>
  <si>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</si>
  <si>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</si>
  <si>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</si>
  <si>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</si>
  <si>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</si>
  <si>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</si>
  <si>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</si>
  <si>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</si>
  <si>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</si>
  <si>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</si>
  <si>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</si>
  <si>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</si>
  <si>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</si>
  <si>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</si>
  <si>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</si>
  <si>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</si>
  <si>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</si>
  <si>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</si>
  <si>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</si>
  <si>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</si>
  <si>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</si>
  <si>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</si>
  <si>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</si>
  <si>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</si>
  <si>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</si>
  <si>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</si>
  <si>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</si>
  <si>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</si>
  <si>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</si>
  <si>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</si>
  <si>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</si>
  <si>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</si>
  <si>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</si>
  <si>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</si>
  <si>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</si>
  <si>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</si>
  <si>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</si>
  <si>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</si>
  <si>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</si>
  <si>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</si>
  <si>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</si>
  <si>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</si>
  <si>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</si>
  <si>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</si>
  <si>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</si>
  <si>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</si>
  <si>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</si>
  <si>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</si>
  <si>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</si>
  <si>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</si>
  <si>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</si>
  <si>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</si>
  <si>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</si>
  <si>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</si>
  <si>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</si>
  <si>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</si>
  <si>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</si>
  <si>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</si>
  <si>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</si>
  <si>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</si>
  <si>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</si>
  <si>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</si>
  <si>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</si>
  <si>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</si>
  <si>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</si>
  <si>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</si>
  <si>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</si>
  <si>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</si>
  <si>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</si>
  <si>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</si>
  <si>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</si>
  <si>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</si>
  <si>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</si>
  <si>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</si>
  <si>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</si>
  <si>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</si>
  <si>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</si>
  <si>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</si>
  <si>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</si>
  <si>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</si>
  <si>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</si>
  <si>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</si>
  <si>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</si>
  <si>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</si>
  <si>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</si>
  <si>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</si>
  <si>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</si>
  <si>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</si>
  <si>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</si>
  <si>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</si>
  <si>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</si>
  <si>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</si>
  <si>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</si>
  <si>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</si>
  <si>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</si>
  <si>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</si>
  <si>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</si>
  <si>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</si>
  <si>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</si>
  <si>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</si>
  <si>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</si>
  <si>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</si>
  <si>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</si>
  <si>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</si>
  <si>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</si>
  <si>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</si>
  <si>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</si>
  <si>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</si>
  <si>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</si>
  <si>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</si>
  <si>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</si>
  <si>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</si>
  <si>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</si>
  <si>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</si>
  <si>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</si>
  <si>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</si>
  <si>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</si>
  <si>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</si>
  <si>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</si>
  <si>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</si>
  <si>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</si>
  <si>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</si>
  <si>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</si>
  <si>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</si>
  <si>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</si>
  <si>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</si>
  <si>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</si>
  <si>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</si>
  <si>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</si>
  <si>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</si>
  <si>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</si>
  <si>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</si>
  <si>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</si>
  <si>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</si>
  <si>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</si>
  <si>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</si>
  <si>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</si>
  <si>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</si>
  <si>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</si>
  <si>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</si>
  <si>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</si>
  <si>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</si>
  <si>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</si>
  <si>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</si>
  <si>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</si>
  <si>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</si>
  <si>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</si>
  <si>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</si>
  <si>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</si>
  <si>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</si>
  <si>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</si>
  <si>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</si>
  <si>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</si>
  <si>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</si>
  <si>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</si>
  <si>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</si>
  <si>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</si>
  <si>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</si>
  <si>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</si>
  <si>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</si>
  <si>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</si>
  <si>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</si>
  <si>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</si>
  <si>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</si>
  <si>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</si>
  <si>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</si>
  <si>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</si>
  <si>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</si>
  <si>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</si>
  <si>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</si>
  <si>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</si>
  <si>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</si>
  <si>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</si>
  <si>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</si>
  <si>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</si>
  <si>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</si>
  <si>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</si>
  <si>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</si>
  <si>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</si>
  <si>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</si>
  <si>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</si>
  <si>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</si>
  <si>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</si>
  <si>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</si>
  <si>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</si>
  <si>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</si>
  <si>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</si>
  <si>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</si>
  <si>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</si>
  <si>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</si>
  <si>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</si>
  <si>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</si>
  <si>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</si>
  <si>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</si>
  <si>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</si>
  <si>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</si>
  <si>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</si>
  <si>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</si>
  <si>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</si>
  <si>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</si>
  <si>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</si>
  <si>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</si>
  <si>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</si>
  <si>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</si>
  <si>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</si>
  <si>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</si>
  <si>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</si>
  <si>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</si>
  <si>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</si>
  <si>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</si>
  <si>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</si>
  <si>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</si>
  <si>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</si>
  <si>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</si>
  <si>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</si>
  <si>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</si>
  <si>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</si>
  <si>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</si>
  <si>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</si>
  <si>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</si>
  <si>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</si>
  <si>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</si>
  <si>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</si>
  <si>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</si>
  <si>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</si>
  <si>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</si>
  <si>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</si>
  <si>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</si>
  <si>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</si>
  <si>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</si>
  <si>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</si>
  <si>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</si>
  <si>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</si>
  <si>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</si>
  <si>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</si>
  <si>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</si>
  <si>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</si>
  <si>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</si>
  <si>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</si>
  <si>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</si>
  <si>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</si>
  <si>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</si>
  <si>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</si>
  <si>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</si>
  <si>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</si>
  <si>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</si>
  <si>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</si>
  <si>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</si>
  <si>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</si>
  <si>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</si>
  <si>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</si>
  <si>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</si>
  <si>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</si>
  <si>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</si>
  <si>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</si>
  <si>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</si>
  <si>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</si>
  <si>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</si>
  <si>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</si>
  <si>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</si>
  <si>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</si>
  <si>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</si>
  <si>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</si>
  <si>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</si>
  <si>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</si>
  <si>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</si>
  <si>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</si>
  <si>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</si>
  <si>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</si>
  <si>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</si>
  <si>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</si>
  <si>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</si>
  <si>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</si>
  <si>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</si>
  <si>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</si>
  <si>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</si>
  <si>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</si>
  <si>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</si>
  <si>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</si>
  <si>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</si>
  <si>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</si>
  <si>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</si>
  <si>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</si>
  <si>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</si>
  <si>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</si>
  <si>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</si>
  <si>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</si>
  <si>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</si>
  <si>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</si>
  <si>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</si>
  <si>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</si>
  <si>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</si>
  <si>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</si>
  <si>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</si>
  <si>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</si>
  <si>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</si>
  <si>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</si>
  <si>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</si>
  <si>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</si>
  <si>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</si>
  <si>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</si>
  <si>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</si>
  <si>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</si>
  <si>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</si>
  <si>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</si>
  <si>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</si>
  <si>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</si>
  <si>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</si>
  <si>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</si>
  <si>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</si>
  <si>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</si>
  <si>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</si>
  <si>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</si>
  <si>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</si>
  <si>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</si>
  <si>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</si>
  <si>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</si>
  <si>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</si>
  <si>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</si>
  <si>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</si>
  <si>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</si>
  <si>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</si>
  <si>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</si>
  <si>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</si>
  <si>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</si>
  <si>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</si>
  <si>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</si>
  <si>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</si>
  <si>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</si>
  <si>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</si>
  <si>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</si>
  <si>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</si>
  <si>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</si>
  <si>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</si>
  <si>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</si>
  <si>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</si>
  <si>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</si>
  <si>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</si>
  <si>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</si>
  <si>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</si>
  <si>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</si>
  <si>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</si>
  <si>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</si>
  <si>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</si>
  <si>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</si>
  <si>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</si>
  <si>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</si>
  <si>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</si>
  <si>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</si>
  <si>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</si>
  <si>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</si>
  <si>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</si>
  <si>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</si>
  <si>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</si>
  <si>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</si>
  <si>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</si>
  <si>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</si>
  <si>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</si>
  <si>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</si>
  <si>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</si>
  <si>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</si>
  <si>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</si>
  <si>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</si>
  <si>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</si>
  <si>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</si>
  <si>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</si>
  <si>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</si>
  <si>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</si>
  <si>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</si>
  <si>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</si>
  <si>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</si>
  <si>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</si>
  <si>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</si>
  <si>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</si>
  <si>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</si>
  <si>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</si>
  <si>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</si>
  <si>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</si>
  <si>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</si>
  <si>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</si>
  <si>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</si>
  <si>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</si>
  <si>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</si>
  <si>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</si>
  <si>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</si>
  <si>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</si>
  <si>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</si>
  <si>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</si>
  <si>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</si>
  <si>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</si>
  <si>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</si>
  <si>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</si>
  <si>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</si>
  <si>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</si>
  <si>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</si>
  <si>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</si>
  <si>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</si>
  <si>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</si>
  <si>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</si>
  <si>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</si>
  <si>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</si>
  <si>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</si>
  <si>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</si>
  <si>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</si>
  <si>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</si>
  <si>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</si>
  <si>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</si>
  <si>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</si>
  <si>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</si>
  <si>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</si>
  <si>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</si>
  <si>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</si>
  <si>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</si>
  <si>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</si>
  <si>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</si>
  <si>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</si>
  <si>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</si>
  <si>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</si>
  <si>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</si>
  <si>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</si>
  <si>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</si>
  <si>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</si>
  <si>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</si>
  <si>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</si>
  <si>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</si>
  <si>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</si>
  <si>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</si>
  <si>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</si>
  <si>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</si>
  <si>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</si>
  <si>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</si>
  <si>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</si>
  <si>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</si>
  <si>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</si>
  <si>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</si>
  <si>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</si>
  <si>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</si>
  <si>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</si>
  <si>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</si>
  <si>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</si>
  <si>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</si>
  <si>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</si>
  <si>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</si>
  <si>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</si>
  <si>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</si>
  <si>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</si>
  <si>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</si>
  <si>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</si>
  <si>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</si>
  <si>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</si>
  <si>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</si>
  <si>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</si>
  <si>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</si>
  <si>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</si>
  <si>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</si>
  <si>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</si>
  <si>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</si>
  <si>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</si>
  <si>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</si>
  <si>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</si>
  <si>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</si>
  <si>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</si>
  <si>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</si>
  <si>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</si>
  <si>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</si>
  <si>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</si>
  <si>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</si>
  <si>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</si>
  <si>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</si>
  <si>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</si>
  <si>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</si>
  <si>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</si>
  <si>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</si>
  <si>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</si>
  <si>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</si>
  <si>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</si>
  <si>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</si>
  <si>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</si>
  <si>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</si>
  <si>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</si>
  <si>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</si>
  <si>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</si>
  <si>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</si>
  <si>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</si>
  <si>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</si>
  <si>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</si>
  <si>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</si>
  <si>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</si>
  <si>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</si>
  <si>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</si>
  <si>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</si>
  <si>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</si>
  <si>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</si>
  <si>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</si>
  <si>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</si>
  <si>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</si>
  <si>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</si>
  <si>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</si>
  <si>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</si>
  <si>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</si>
  <si>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</si>
  <si>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</si>
  <si>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</si>
  <si>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</si>
  <si>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</si>
  <si>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</si>
  <si>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</si>
  <si>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</si>
  <si>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</si>
  <si>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</si>
  <si>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</si>
  <si>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</si>
  <si>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</si>
  <si>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</si>
  <si>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</si>
  <si>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</si>
  <si>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</si>
  <si>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</si>
  <si>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</si>
  <si>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</si>
  <si>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</si>
  <si>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</si>
  <si>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</si>
  <si>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</si>
  <si>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</si>
  <si>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</si>
  <si>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</si>
  <si>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</si>
  <si>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</si>
  <si>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</si>
  <si>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</si>
  <si>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</si>
  <si>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</si>
  <si>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</si>
  <si>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</si>
  <si>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</si>
  <si>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</si>
  <si>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</si>
  <si>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</si>
  <si>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</si>
  <si>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</si>
  <si>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</si>
  <si>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</si>
  <si>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</si>
  <si>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</si>
  <si>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</si>
  <si>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</si>
  <si>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</si>
  <si>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</si>
  <si>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</si>
  <si>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</si>
  <si>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</si>
  <si>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</si>
  <si>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</si>
  <si>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</si>
  <si>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</si>
  <si>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</si>
  <si>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</si>
  <si>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</si>
  <si>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</si>
  <si>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</si>
  <si>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</si>
  <si>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</si>
  <si>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</si>
  <si>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</si>
  <si>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</si>
  <si>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</si>
  <si>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</si>
  <si>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</si>
  <si>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</si>
  <si>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</si>
  <si>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</si>
  <si>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</si>
  <si>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</si>
  <si>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</si>
  <si>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</si>
  <si>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</si>
  <si>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</si>
  <si>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</si>
  <si>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</si>
  <si>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</si>
  <si>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</si>
  <si>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</si>
  <si>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</si>
  <si>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</si>
  <si>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</si>
  <si>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</si>
  <si>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</si>
  <si>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</si>
  <si>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</si>
  <si>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</si>
  <si>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</si>
  <si>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</si>
  <si>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</si>
  <si>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</si>
  <si>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</si>
  <si>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</si>
  <si>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</si>
  <si>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</si>
  <si>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</si>
  <si>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</si>
  <si>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</si>
  <si>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</si>
  <si>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</si>
  <si>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</si>
  <si>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</si>
  <si>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</si>
  <si>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</si>
  <si>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</si>
  <si>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</si>
  <si>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</si>
  <si>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</si>
  <si>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</si>
  <si>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</si>
  <si>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</si>
  <si>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</si>
  <si>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</si>
  <si>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</si>
  <si>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</si>
  <si>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</si>
  <si>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</si>
  <si>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</si>
  <si>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</si>
  <si>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</si>
  <si>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</si>
  <si>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</si>
  <si>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</si>
  <si>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</si>
  <si>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</si>
  <si>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</si>
  <si>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</si>
  <si>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</si>
  <si>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</si>
  <si>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</si>
  <si>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</si>
  <si>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</si>
  <si>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</si>
  <si>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</si>
  <si>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</si>
  <si>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</si>
  <si>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</si>
  <si>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</si>
  <si>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</si>
  <si>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</si>
  <si>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</si>
  <si>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</si>
  <si>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</si>
  <si>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</si>
  <si>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</si>
  <si>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</si>
  <si>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</si>
  <si>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</si>
  <si>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</si>
  <si>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</si>
  <si>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</si>
  <si>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</si>
  <si>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</si>
  <si>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</si>
  <si>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</si>
  <si>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</si>
  <si>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</si>
  <si>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</si>
  <si>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</si>
  <si>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</si>
  <si>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</si>
  <si>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</si>
  <si>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</si>
  <si>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</si>
  <si>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</si>
  <si>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</si>
  <si>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</si>
  <si>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</si>
  <si>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</si>
  <si>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</si>
  <si>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</si>
  <si>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</si>
  <si>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</si>
  <si>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</si>
  <si>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</si>
  <si>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</si>
  <si>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</si>
  <si>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</si>
  <si>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</si>
  <si>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</si>
  <si>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</si>
  <si>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</si>
  <si>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</si>
  <si>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</si>
  <si>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</si>
  <si>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</si>
  <si>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</si>
  <si>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</si>
  <si>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</si>
  <si>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</si>
  <si>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</si>
  <si>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</si>
  <si>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</si>
  <si>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</si>
  <si>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</si>
  <si>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</si>
  <si>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</si>
  <si>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</si>
  <si>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</si>
  <si>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</si>
  <si>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</si>
  <si>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</si>
  <si>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</si>
  <si>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</si>
  <si>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</si>
  <si>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</si>
  <si>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</si>
  <si>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</si>
  <si>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</si>
  <si>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</si>
  <si>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</si>
  <si>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</si>
  <si>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</si>
  <si>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</si>
  <si>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</si>
  <si>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</si>
  <si>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</si>
  <si>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</si>
  <si>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</si>
  <si>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</si>
  <si>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</si>
  <si>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</si>
  <si>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</si>
  <si>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</si>
  <si>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</si>
  <si>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</si>
  <si>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</si>
  <si>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</si>
  <si>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</si>
  <si>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</si>
  <si>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</si>
  <si>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</si>
  <si>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</si>
  <si>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</si>
  <si>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</si>
  <si>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</si>
  <si>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</si>
  <si>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</si>
  <si>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</si>
  <si>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</si>
  <si>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</si>
  <si>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</si>
  <si>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</si>
  <si>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</si>
  <si>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</si>
  <si>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</si>
  <si>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</si>
  <si>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</si>
  <si>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</si>
  <si>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</si>
  <si>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</si>
  <si>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</si>
  <si>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</si>
  <si>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</si>
  <si>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</si>
  <si>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</si>
  <si>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</si>
  <si>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</si>
  <si>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</si>
  <si>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</si>
  <si>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</si>
  <si>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</si>
  <si>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</si>
  <si>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</si>
  <si>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</si>
  <si>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</si>
  <si>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</si>
  <si>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</si>
  <si>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</si>
  <si>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</si>
  <si>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</si>
  <si>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</si>
  <si>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</si>
  <si>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</si>
  <si>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</si>
  <si>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</si>
  <si>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</si>
  <si>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</si>
  <si>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</si>
  <si>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</si>
  <si>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</si>
  <si>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</si>
  <si>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</si>
  <si>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</si>
  <si>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</si>
  <si>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</si>
  <si>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</si>
  <si>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</si>
  <si>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</si>
  <si>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</si>
  <si>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</si>
  <si>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</si>
  <si>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</si>
  <si>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</si>
  <si>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</si>
  <si>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</si>
  <si>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</si>
  <si>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</si>
  <si>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</si>
  <si>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</si>
  <si>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</si>
  <si>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</si>
  <si>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</si>
  <si>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</si>
  <si>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</si>
  <si>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</si>
  <si>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</si>
  <si>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</si>
  <si>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</si>
  <si>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</si>
  <si>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</si>
  <si>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</si>
  <si>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</si>
  <si>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</si>
  <si>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</si>
  <si>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</si>
  <si>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</si>
  <si>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</si>
  <si>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</si>
  <si>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</si>
  <si>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</si>
  <si>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</si>
  <si>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</si>
  <si>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</si>
  <si>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</si>
  <si>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</si>
  <si>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</si>
  <si>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</si>
  <si>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</si>
  <si>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</si>
  <si>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</si>
  <si>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</si>
  <si>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</si>
  <si>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</si>
  <si>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</si>
  <si>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</si>
  <si>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</si>
  <si>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</si>
  <si>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</si>
  <si>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</si>
  <si>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</si>
  <si>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</si>
  <si>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</si>
  <si>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</si>
  <si>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</si>
  <si>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</si>
  <si>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</si>
  <si>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</si>
  <si>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</si>
  <si>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</si>
  <si>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</si>
  <si>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</si>
  <si>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</si>
  <si>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</si>
  <si>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</si>
  <si>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</si>
  <si>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</si>
  <si>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</si>
  <si>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</si>
  <si>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</si>
  <si>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</si>
  <si>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</si>
  <si>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</si>
  <si>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</si>
  <si>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</si>
  <si>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</si>
  <si>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</si>
  <si>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</si>
  <si>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</si>
  <si>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</si>
  <si>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</si>
  <si>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</si>
  <si>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</si>
  <si>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</si>
  <si>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</si>
  <si>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</si>
  <si>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</si>
  <si>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</si>
  <si>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</si>
  <si>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</si>
  <si>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</si>
  <si>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</si>
  <si>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</si>
  <si>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</si>
  <si>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</si>
  <si>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</si>
  <si>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</si>
  <si>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</si>
  <si>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</si>
  <si>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</si>
  <si>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</si>
  <si>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</si>
  <si>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</si>
  <si>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</si>
  <si>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</si>
  <si>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</si>
  <si>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</si>
  <si>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</si>
  <si>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</si>
  <si>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</si>
  <si>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</si>
  <si>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</si>
  <si>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</si>
  <si>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</si>
  <si>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</si>
  <si>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</si>
  <si>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</si>
  <si>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</si>
  <si>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</si>
  <si>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</si>
  <si>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</si>
  <si>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</si>
  <si>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</si>
  <si>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</si>
  <si>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</si>
  <si>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</si>
  <si>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</si>
  <si>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</si>
  <si>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</si>
  <si>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</si>
  <si>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</si>
  <si>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</si>
  <si>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</si>
  <si>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</si>
  <si>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</si>
  <si>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</si>
  <si>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</si>
  <si>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</si>
  <si>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</si>
  <si>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</si>
  <si>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</si>
  <si>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</si>
  <si>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</si>
  <si>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</si>
  <si>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</si>
  <si>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</si>
  <si>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</si>
  <si>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</si>
  <si>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</si>
  <si>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</si>
  <si>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</si>
  <si>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</si>
  <si>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</si>
  <si>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</si>
  <si>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</si>
  <si>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</si>
  <si>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</si>
  <si>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</si>
  <si>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</si>
  <si>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</si>
  <si>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</si>
  <si>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</si>
  <si>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</si>
  <si>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</si>
  <si>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</si>
  <si>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</si>
  <si>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</si>
  <si>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</si>
  <si>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</si>
  <si>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</si>
  <si>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</si>
  <si>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</si>
  <si>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</si>
  <si>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</si>
  <si>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</si>
  <si>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</si>
  <si>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</si>
  <si>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</si>
  <si>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</si>
  <si>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</si>
  <si>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</si>
  <si>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</si>
  <si>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</si>
  <si>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</si>
  <si>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</si>
  <si>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</si>
  <si>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</si>
  <si>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</si>
  <si>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</si>
  <si>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</si>
  <si>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</si>
  <si>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</si>
  <si>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</si>
  <si>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</si>
  <si>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</si>
  <si>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</si>
  <si>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</si>
  <si>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</si>
  <si>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</si>
  <si>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</si>
  <si>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</si>
  <si>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</si>
  <si>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</si>
  <si>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</si>
  <si>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</si>
  <si>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</si>
  <si>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</si>
  <si>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</si>
  <si>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</si>
  <si>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</si>
  <si>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</si>
  <si>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</si>
  <si>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</si>
  <si>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</si>
  <si>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</si>
  <si>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</si>
  <si>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</si>
  <si>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</si>
  <si>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</si>
  <si>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</si>
  <si>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</si>
  <si>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</si>
  <si>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</si>
  <si>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</si>
  <si>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</si>
  <si>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</si>
  <si>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</si>
  <si>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</si>
  <si>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</si>
  <si>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</si>
  <si>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</si>
  <si>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</si>
  <si>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</si>
  <si>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</si>
  <si>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</si>
  <si>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</si>
  <si>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</si>
  <si>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</si>
  <si>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</si>
  <si>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</si>
  <si>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</si>
  <si>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</si>
  <si>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</si>
  <si>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</si>
  <si>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</si>
  <si>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</si>
  <si>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</si>
  <si>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</si>
  <si>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</si>
  <si>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</si>
  <si>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</si>
  <si>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</si>
  <si>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</si>
  <si>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</si>
  <si>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</si>
  <si>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</si>
  <si>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</si>
  <si>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</si>
  <si>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</si>
  <si>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</si>
  <si>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</si>
  <si>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</si>
  <si>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</si>
  <si>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</si>
  <si>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</si>
  <si>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</si>
  <si>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</si>
  <si>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</si>
  <si>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</si>
  <si>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</si>
  <si>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</si>
  <si>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</si>
  <si>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</si>
  <si>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</si>
  <si>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</si>
  <si>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</si>
  <si>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</si>
  <si>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</si>
  <si>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</si>
  <si>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</si>
  <si>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</si>
  <si>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</si>
  <si>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</si>
  <si>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</si>
  <si>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</si>
  <si>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</si>
  <si>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</si>
  <si>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</si>
  <si>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</si>
  <si>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</si>
  <si>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</si>
  <si>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</si>
  <si>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</si>
  <si>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</si>
  <si>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</si>
  <si>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</si>
  <si>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</si>
  <si>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</si>
  <si>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</si>
  <si>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</si>
  <si>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</si>
  <si>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</si>
  <si>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</si>
  <si>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</si>
  <si>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</si>
  <si>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</si>
  <si>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</si>
  <si>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</si>
  <si>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</si>
  <si>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</si>
  <si>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</si>
  <si>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</si>
  <si>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</si>
  <si>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</si>
  <si>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</si>
  <si>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</si>
  <si>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</si>
  <si>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</si>
  <si>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</si>
  <si>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</si>
  <si>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</si>
  <si>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</si>
  <si>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</si>
  <si>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</si>
  <si>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</si>
  <si>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</si>
  <si>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</si>
  <si>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</si>
  <si>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</si>
  <si>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</si>
  <si>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</si>
  <si>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</si>
  <si>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</si>
  <si>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</si>
  <si>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</si>
  <si>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</si>
  <si>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</si>
  <si>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</si>
  <si>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</si>
  <si>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</si>
  <si>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</si>
  <si>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</si>
  <si>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</si>
  <si>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</si>
  <si>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</si>
  <si>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</si>
  <si>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</si>
  <si>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</si>
  <si>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</si>
  <si>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</si>
  <si>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</si>
  <si>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</si>
  <si>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</si>
  <si>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</si>
  <si>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</si>
  <si>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</si>
  <si>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</si>
  <si>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</si>
  <si>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</si>
  <si>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</si>
  <si>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</si>
  <si>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</si>
  <si>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</si>
  <si>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</si>
  <si>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</si>
  <si>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</si>
  <si>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</si>
  <si>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</si>
  <si>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</si>
  <si>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</si>
  <si>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</si>
  <si>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</si>
  <si>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</si>
  <si>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</si>
  <si>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</si>
  <si>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</si>
  <si>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</si>
  <si>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</si>
  <si>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</si>
  <si>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</si>
  <si>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</si>
  <si>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</si>
  <si>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</si>
  <si>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</si>
  <si>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</si>
  <si>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</si>
  <si>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</si>
  <si>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</si>
  <si>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</si>
  <si>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</si>
  <si>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</si>
  <si>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</si>
  <si>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</si>
  <si>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</si>
  <si>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</si>
  <si>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</si>
  <si>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</si>
  <si>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</si>
  <si>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</si>
  <si>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</si>
  <si>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</si>
  <si>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</si>
  <si>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</si>
  <si>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</si>
  <si>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</si>
  <si>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</si>
  <si>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</si>
  <si>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</si>
  <si>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</si>
  <si>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</si>
  <si>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</si>
  <si>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</si>
  <si>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</si>
  <si>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</si>
  <si>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</si>
  <si>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</si>
  <si>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</si>
  <si>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</si>
  <si>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</si>
  <si>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</si>
  <si>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</si>
  <si>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</si>
  <si>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</si>
  <si>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</si>
  <si>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</si>
  <si>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</si>
  <si>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</si>
  <si>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</si>
  <si>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</si>
  <si>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</si>
  <si>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</si>
  <si>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</si>
  <si>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</si>
  <si>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</si>
  <si>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</si>
  <si>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</si>
  <si>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</si>
  <si>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</si>
  <si>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</si>
  <si>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</si>
  <si>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</si>
  <si>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</si>
  <si>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</si>
  <si>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</si>
  <si>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</si>
  <si>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</si>
  <si>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</si>
  <si>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</si>
  <si>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</si>
  <si>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</si>
  <si>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</si>
  <si>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</si>
  <si>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</si>
  <si>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</si>
  <si>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</si>
  <si>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</si>
  <si>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</si>
  <si>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</si>
  <si>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</si>
  <si>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</si>
  <si>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</si>
  <si>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</si>
  <si>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</si>
  <si>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</si>
  <si>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</si>
  <si>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</si>
  <si>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</si>
  <si>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</si>
  <si>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</si>
  <si>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</si>
  <si>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</si>
  <si>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</si>
  <si>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</si>
  <si>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</si>
  <si>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</si>
  <si>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</si>
  <si>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</si>
  <si>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</si>
  <si>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</si>
  <si>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</si>
  <si>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</si>
  <si>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</si>
  <si>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</si>
  <si>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</si>
  <si>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</si>
  <si>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</si>
  <si>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</si>
  <si>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</si>
  <si>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</si>
  <si>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</si>
  <si>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</si>
  <si>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</si>
  <si>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</si>
  <si>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</si>
  <si>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</si>
  <si>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</si>
  <si>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</si>
  <si>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</si>
  <si>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</si>
  <si>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</si>
  <si>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</si>
  <si>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</si>
  <si>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</si>
  <si>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</si>
  <si>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</si>
  <si>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</si>
  <si>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</si>
  <si>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</si>
  <si>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</si>
  <si>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</si>
  <si>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</si>
  <si>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</si>
  <si>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</si>
  <si>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</si>
  <si>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</si>
  <si>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</si>
  <si>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</si>
  <si>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</si>
  <si>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</si>
  <si>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</si>
  <si>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</si>
  <si>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</si>
  <si>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</si>
  <si>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</si>
  <si>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</si>
  <si>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</si>
  <si>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</si>
  <si>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</si>
  <si>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</si>
  <si>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</si>
  <si>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</si>
  <si>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</si>
  <si>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</si>
  <si>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</si>
  <si>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</si>
  <si>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</si>
  <si>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</si>
  <si>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</si>
  <si>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</si>
  <si>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</si>
  <si>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</si>
  <si>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</si>
  <si>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</si>
  <si>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</si>
  <si>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</si>
  <si>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</si>
  <si>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</si>
  <si>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</si>
  <si>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</si>
  <si>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</si>
  <si>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</si>
  <si>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</si>
  <si>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</si>
  <si>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</si>
  <si>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</si>
  <si>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</si>
  <si>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</si>
  <si>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</si>
  <si>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</si>
  <si>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</si>
  <si>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</si>
  <si>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</si>
  <si>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</si>
  <si>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</si>
  <si>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</si>
  <si>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</si>
  <si>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</si>
  <si>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</si>
  <si>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</si>
  <si>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</si>
  <si>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</si>
  <si>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</si>
  <si>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</si>
  <si>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</si>
  <si>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</si>
  <si>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</si>
  <si>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</si>
  <si>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</si>
  <si>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</si>
  <si>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</si>
  <si>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</si>
  <si>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</si>
  <si>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</si>
  <si>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</si>
  <si>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</si>
  <si>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</si>
  <si>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</si>
  <si>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</si>
  <si>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</si>
  <si>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</si>
  <si>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</si>
  <si>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</si>
  <si>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</si>
  <si>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</si>
  <si>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</si>
  <si>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</si>
  <si>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</si>
  <si>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</si>
  <si>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</si>
  <si>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</si>
  <si>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</si>
  <si>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</si>
  <si>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</si>
  <si>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</si>
  <si>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</si>
  <si>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</si>
  <si>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</si>
  <si>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</si>
  <si>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</si>
  <si>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</si>
  <si>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</si>
  <si>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</si>
  <si>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</si>
  <si>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</si>
  <si>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</si>
  <si>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</si>
  <si>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</si>
  <si>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</si>
  <si>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</si>
  <si>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</si>
  <si>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</si>
  <si>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</si>
  <si>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</si>
  <si>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</si>
  <si>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</si>
  <si>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</si>
  <si>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</si>
  <si>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</si>
  <si>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</si>
  <si>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</si>
  <si>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</si>
  <si>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</si>
  <si>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</si>
  <si>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</si>
  <si>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</si>
  <si>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</si>
  <si>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</si>
  <si>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</si>
  <si>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</si>
  <si>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</si>
  <si>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</si>
  <si>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</si>
  <si>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</si>
  <si>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</si>
  <si>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</si>
  <si>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</si>
  <si>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</si>
  <si>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</si>
  <si>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</si>
  <si>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</si>
  <si>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</si>
  <si>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</si>
  <si>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</si>
  <si>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</si>
  <si>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</si>
  <si>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</si>
  <si>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</si>
  <si>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</si>
  <si>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</si>
  <si>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</si>
  <si>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</si>
  <si>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</si>
  <si>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</si>
  <si>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</si>
  <si>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</si>
  <si>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</si>
  <si>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</si>
  <si>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</si>
  <si>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</si>
  <si>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</si>
  <si>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</si>
  <si>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</si>
  <si>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</si>
  <si>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</si>
  <si>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</si>
  <si>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</si>
  <si>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</si>
  <si>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</si>
  <si>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</si>
  <si>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</si>
  <si>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</si>
  <si>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</si>
  <si>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</si>
  <si>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</si>
  <si>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</si>
  <si>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</si>
  <si>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</si>
  <si>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</si>
  <si>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</si>
  <si>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</si>
  <si>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</si>
  <si>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</si>
  <si>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</si>
  <si>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</si>
  <si>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</si>
  <si>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</si>
  <si>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</si>
  <si>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</si>
  <si>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</si>
  <si>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</si>
  <si>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</si>
  <si>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</si>
  <si>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</si>
  <si>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</si>
  <si>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</si>
  <si>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</si>
  <si>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</si>
  <si>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</si>
  <si>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</si>
  <si>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</si>
  <si>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</si>
  <si>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</si>
  <si>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</si>
  <si>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</si>
  <si>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</si>
  <si>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</si>
  <si>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</si>
  <si>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</si>
  <si>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</si>
  <si>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</si>
  <si>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</si>
  <si>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</si>
  <si>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</si>
  <si>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</si>
  <si>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</si>
  <si>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</si>
  <si>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</si>
  <si>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</si>
  <si>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</si>
  <si>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</si>
  <si>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</si>
  <si>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</si>
  <si>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</si>
  <si>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</si>
  <si>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</si>
  <si>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</si>
  <si>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</si>
  <si>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</si>
  <si>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</si>
  <si>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</si>
  <si>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</si>
  <si>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</si>
  <si>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</si>
  <si>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</si>
  <si>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</si>
  <si>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</si>
  <si>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</si>
  <si>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</si>
  <si>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</si>
  <si>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</si>
  <si>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</si>
  <si>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</si>
  <si>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</si>
  <si>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</si>
  <si>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</si>
  <si>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</si>
  <si>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</si>
  <si>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</si>
  <si>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</si>
  <si>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</si>
  <si>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</si>
  <si>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</si>
  <si>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</si>
  <si>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</si>
  <si>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</si>
  <si>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</si>
  <si>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</si>
  <si>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</si>
  <si>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</si>
  <si>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</si>
  <si>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</si>
  <si>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</si>
  <si>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</si>
  <si>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</si>
  <si>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</si>
  <si>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</si>
  <si>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</si>
  <si>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</si>
  <si>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</si>
  <si>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</si>
  <si>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</si>
  <si>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</si>
  <si>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</si>
  <si>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</si>
  <si>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</si>
  <si>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</si>
  <si>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</si>
  <si>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</si>
  <si>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</si>
  <si>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</si>
  <si>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</si>
  <si>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</si>
  <si>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</si>
  <si>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</si>
  <si>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</si>
  <si>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</si>
  <si>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</si>
  <si>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</si>
  <si>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</si>
  <si>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</si>
  <si>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</si>
  <si>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</si>
  <si>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</si>
  <si>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</si>
  <si>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</si>
  <si>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</si>
  <si>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</si>
  <si>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</si>
  <si>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</si>
  <si>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</si>
  <si>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</si>
  <si>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</si>
  <si>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</si>
  <si>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</si>
  <si>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</si>
  <si>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</si>
  <si>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</si>
  <si>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</si>
  <si>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</si>
  <si>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</si>
  <si>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</si>
  <si>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</si>
  <si>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</si>
  <si>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</si>
  <si>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</si>
  <si>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</si>
  <si>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</si>
  <si>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</si>
  <si>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</si>
  <si>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</si>
  <si>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</si>
  <si>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</si>
  <si>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</si>
  <si>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</si>
  <si>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</si>
  <si>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</si>
  <si>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</si>
  <si>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</si>
  <si>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</si>
  <si>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</si>
  <si>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</si>
  <si>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</si>
  <si>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</si>
  <si>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</si>
  <si>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</si>
  <si>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</si>
  <si>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</si>
  <si>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</si>
  <si>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</si>
  <si>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</si>
  <si>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</si>
  <si>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</si>
  <si>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</si>
  <si>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</si>
  <si>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</si>
  <si>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</si>
  <si>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</si>
  <si>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</si>
  <si>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</si>
  <si>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</si>
  <si>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</si>
  <si>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</si>
  <si>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</si>
  <si>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</si>
  <si>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</si>
  <si>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</si>
  <si>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</si>
  <si>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</si>
  <si>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</si>
  <si>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</si>
  <si>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</si>
  <si>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</si>
  <si>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</si>
  <si>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</si>
  <si>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</si>
  <si>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</si>
  <si>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</si>
  <si>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</si>
  <si>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</si>
  <si>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</si>
  <si>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</si>
  <si>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</si>
  <si>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</si>
  <si>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</si>
  <si>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</si>
  <si>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</si>
  <si>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</si>
  <si>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</si>
  <si>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</si>
  <si>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</si>
  <si>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</si>
  <si>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</si>
  <si>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</si>
  <si>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</si>
  <si>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</si>
  <si>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</si>
  <si>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</si>
  <si>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</si>
  <si>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</si>
  <si>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</si>
  <si>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</si>
  <si>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</si>
  <si>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</si>
  <si>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</si>
  <si>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</si>
  <si>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</si>
  <si>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</si>
  <si>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</si>
  <si>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</si>
  <si>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</si>
  <si>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</si>
  <si>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</si>
  <si>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</si>
  <si>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</si>
  <si>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</si>
  <si>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</si>
  <si>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</si>
  <si>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</si>
  <si>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</si>
  <si>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</si>
  <si>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</si>
  <si>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</si>
  <si>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</si>
  <si>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</si>
  <si>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</si>
  <si>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</si>
  <si>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</si>
  <si>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</si>
  <si>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</si>
  <si>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</si>
  <si>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</si>
  <si>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</si>
  <si>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</si>
  <si>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</si>
  <si>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</si>
  <si>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</si>
  <si>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</si>
  <si>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</si>
  <si>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</si>
  <si>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</si>
  <si>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</si>
  <si>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</si>
  <si>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</si>
  <si>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</si>
  <si>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</si>
  <si>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</si>
  <si>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</si>
  <si>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</si>
  <si>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</si>
  <si>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</si>
  <si>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</si>
  <si>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</si>
  <si>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</si>
  <si>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</si>
  <si>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</si>
  <si>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</si>
  <si>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</si>
  <si>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</si>
  <si>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</si>
  <si>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</si>
  <si>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</si>
  <si>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</si>
  <si>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</si>
  <si>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</si>
  <si>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</si>
  <si>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</si>
  <si>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</si>
  <si>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</si>
  <si>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</si>
  <si>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</si>
  <si>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</si>
  <si>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</si>
  <si>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</si>
  <si>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</si>
  <si>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</si>
  <si>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</si>
  <si>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</si>
  <si>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</si>
  <si>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</si>
  <si>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</si>
  <si>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</si>
  <si>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</si>
  <si>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</si>
  <si>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</si>
  <si>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</si>
  <si>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</si>
  <si>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</si>
  <si>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</si>
  <si>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</si>
  <si>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</si>
  <si>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</si>
  <si>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</si>
  <si>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</si>
  <si>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</si>
  <si>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</si>
  <si>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</si>
  <si>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</si>
  <si>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</si>
  <si>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</si>
  <si>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</si>
  <si>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</si>
  <si>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</si>
  <si>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</si>
  <si>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</si>
  <si>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</si>
  <si>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</si>
  <si>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</si>
  <si>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</si>
  <si>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</si>
  <si>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</si>
  <si>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</si>
  <si>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</si>
  <si>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</si>
  <si>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</si>
  <si>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</si>
  <si>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</si>
  <si>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</si>
  <si>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</si>
  <si>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</si>
  <si>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</si>
  <si>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</si>
  <si>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</si>
  <si>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</si>
  <si>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</si>
  <si>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</si>
  <si>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</si>
  <si>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</si>
  <si>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</si>
  <si>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</si>
  <si>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</si>
  <si>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</si>
  <si>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</si>
  <si>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</si>
  <si>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</si>
  <si>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</si>
  <si>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</si>
  <si>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</si>
  <si>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</si>
  <si>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</si>
  <si>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</si>
  <si>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</si>
  <si>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</si>
  <si>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</si>
  <si>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</si>
  <si>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</si>
  <si>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</si>
  <si>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</si>
  <si>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</si>
  <si>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</si>
  <si>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</si>
  <si>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</si>
  <si>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</si>
  <si>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</si>
  <si>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</si>
  <si>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</si>
  <si>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</si>
  <si>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</si>
  <si>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</si>
  <si>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</si>
  <si>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</si>
  <si>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</si>
  <si>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</si>
  <si>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</si>
  <si>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</si>
  <si>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</si>
  <si>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</si>
  <si>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</si>
  <si>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</si>
  <si>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</si>
  <si>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</si>
  <si>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</si>
  <si>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</si>
  <si>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</si>
  <si>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</si>
  <si>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</si>
  <si>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</si>
  <si>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</si>
  <si>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</si>
  <si>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</si>
  <si>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</si>
  <si>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</si>
  <si>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</si>
  <si>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</si>
  <si>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</si>
  <si>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</si>
  <si>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</si>
  <si>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</si>
  <si>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</si>
  <si>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</si>
  <si>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</si>
  <si>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</si>
  <si>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</si>
  <si>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</si>
  <si>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</si>
  <si>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</si>
  <si>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</si>
  <si>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</si>
  <si>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</si>
  <si>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</si>
  <si>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</si>
  <si>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</si>
  <si>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</si>
  <si>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</si>
  <si>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</si>
  <si>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</si>
  <si>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</si>
  <si>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</si>
  <si>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</si>
  <si>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</si>
  <si>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</si>
  <si>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</si>
  <si>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</si>
  <si>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</si>
  <si>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</si>
  <si>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</si>
  <si>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</si>
  <si>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</si>
  <si>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</si>
  <si>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</si>
  <si>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</si>
  <si>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</si>
  <si>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</si>
  <si>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</si>
  <si>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</si>
  <si>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</si>
  <si>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</si>
  <si>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</si>
  <si>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</si>
  <si>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</si>
  <si>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</si>
  <si>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</si>
  <si>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</si>
  <si>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</si>
  <si>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</si>
  <si>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</si>
  <si>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</si>
  <si>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</si>
  <si>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</si>
  <si>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</si>
  <si>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</si>
  <si>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</si>
  <si>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</si>
  <si>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</si>
  <si>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</si>
  <si>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</si>
  <si>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</si>
  <si>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</si>
  <si>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</si>
  <si>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</si>
  <si>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</si>
  <si>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</si>
  <si>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</si>
  <si>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</si>
  <si>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</si>
  <si>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</si>
  <si>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</si>
  <si>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</si>
  <si>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</si>
  <si>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</si>
  <si>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</si>
  <si>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</si>
  <si>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</si>
  <si>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</si>
  <si>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</si>
  <si>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</si>
  <si>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</si>
  <si>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</si>
  <si>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</si>
  <si>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</si>
  <si>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</si>
  <si>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</si>
  <si>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</si>
  <si>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</si>
  <si>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</si>
  <si>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</si>
  <si>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</si>
  <si>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</si>
  <si>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</si>
  <si>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</si>
  <si>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</si>
  <si>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</si>
  <si>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</si>
  <si>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</si>
  <si>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</si>
  <si>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</si>
  <si>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</si>
  <si>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</si>
  <si>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</si>
  <si>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</si>
  <si>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</si>
  <si>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</si>
  <si>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</si>
  <si>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</si>
  <si>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</si>
  <si>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</si>
  <si>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</si>
  <si>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</si>
  <si>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</si>
  <si>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</si>
  <si>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</si>
  <si>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</si>
  <si>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</si>
  <si>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</si>
  <si>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</si>
  <si>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</si>
  <si>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</si>
  <si>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</si>
  <si>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</si>
  <si>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</si>
  <si>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</si>
  <si>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</si>
  <si>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</si>
  <si>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</si>
  <si>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</si>
  <si>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</si>
  <si>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</si>
  <si>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</si>
  <si>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</si>
  <si>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</si>
  <si>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</si>
  <si>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</si>
  <si>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</si>
  <si>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</si>
  <si>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</si>
  <si>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</si>
  <si>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</si>
  <si>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</si>
  <si>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</si>
  <si>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</si>
  <si>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</si>
  <si>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</si>
  <si>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</si>
  <si>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</si>
  <si>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</si>
  <si>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</si>
  <si>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</si>
  <si>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</si>
  <si>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</si>
  <si>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</si>
  <si>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</si>
  <si>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</si>
  <si>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</si>
  <si>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</si>
  <si>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</si>
  <si>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</si>
  <si>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</si>
  <si>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</si>
  <si>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</si>
  <si>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</si>
  <si>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</si>
  <si>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</si>
  <si>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</si>
  <si>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</si>
  <si>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</si>
  <si>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</si>
  <si>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</si>
  <si>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</si>
  <si>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</si>
  <si>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</si>
  <si>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</si>
  <si>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</si>
  <si>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</si>
  <si>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</si>
  <si>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</si>
  <si>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</si>
  <si>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</si>
  <si>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</si>
  <si>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</si>
  <si>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</si>
  <si>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</si>
  <si>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</si>
  <si>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</si>
  <si>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</si>
  <si>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</si>
  <si>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</si>
  <si>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</si>
  <si>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</si>
  <si>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</si>
  <si>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</si>
  <si>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</si>
  <si>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</si>
  <si>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</si>
  <si>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</si>
  <si>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</si>
  <si>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</si>
  <si>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</si>
  <si>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</si>
  <si>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</si>
  <si>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</si>
  <si>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</si>
  <si>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</si>
  <si>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</si>
  <si>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</si>
  <si>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</si>
  <si>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</si>
  <si>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</si>
  <si>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</si>
  <si>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</si>
  <si>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</si>
  <si>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</si>
  <si>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</si>
  <si>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</si>
  <si>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</si>
  <si>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</si>
  <si>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</si>
  <si>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</si>
  <si>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</si>
  <si>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</si>
  <si>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</si>
  <si>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</si>
  <si>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</si>
  <si>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</si>
  <si>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</si>
  <si>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</si>
  <si>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</si>
  <si>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</si>
  <si>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</si>
  <si>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</si>
  <si>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</si>
  <si>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</si>
  <si>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</si>
  <si>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</si>
  <si>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</si>
  <si>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</si>
  <si>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</si>
  <si>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</si>
  <si>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</si>
  <si>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</si>
  <si>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</si>
  <si>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</si>
  <si>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</si>
  <si>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</si>
  <si>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</si>
  <si>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</si>
  <si>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</si>
  <si>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</si>
  <si>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</si>
  <si>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</si>
  <si>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</si>
  <si>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</si>
  <si>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</si>
  <si>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</si>
  <si>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</si>
  <si>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</si>
  <si>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</si>
  <si>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</si>
  <si>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</si>
  <si>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</si>
  <si>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</si>
  <si>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</si>
  <si>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</si>
  <si>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</si>
  <si>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</si>
  <si>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</si>
  <si>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</si>
  <si>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</si>
  <si>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</si>
  <si>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</si>
  <si>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</si>
  <si>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</si>
  <si>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</si>
  <si>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</si>
  <si>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</si>
  <si>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</si>
  <si>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</si>
  <si>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</si>
  <si>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</si>
  <si>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</si>
  <si>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</si>
  <si>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</si>
  <si>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</si>
  <si>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</si>
  <si>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</si>
  <si>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</si>
  <si>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</si>
  <si>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</si>
  <si>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</si>
  <si>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</si>
  <si>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</si>
  <si>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</si>
  <si>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</si>
  <si>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</si>
  <si>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</si>
  <si>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</si>
  <si>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</si>
  <si>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</si>
  <si>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</si>
  <si>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</si>
  <si>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</si>
  <si>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</si>
  <si>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</si>
  <si>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</si>
  <si>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</si>
  <si>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</si>
  <si>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</si>
  <si>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</si>
  <si>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</si>
  <si>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</si>
  <si>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</si>
  <si>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</si>
  <si>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</si>
  <si>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</si>
  <si>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</si>
  <si>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</si>
  <si>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</si>
  <si>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</si>
  <si>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</si>
  <si>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</si>
  <si>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</si>
  <si>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</si>
  <si>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</si>
  <si>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</si>
  <si>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</si>
  <si>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</si>
  <si>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</si>
  <si>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</si>
  <si>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</si>
  <si>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</si>
  <si>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</si>
  <si>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</si>
  <si>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</si>
  <si>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</si>
  <si>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</si>
  <si>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</si>
  <si>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</si>
  <si>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</si>
  <si>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</si>
  <si>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</si>
  <si>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</si>
  <si>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</si>
  <si>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</si>
  <si>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</si>
  <si>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</si>
  <si>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</si>
  <si>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</si>
  <si>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</si>
  <si>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</si>
  <si>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</si>
  <si>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</si>
  <si>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</si>
  <si>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</si>
  <si>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</si>
  <si>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</si>
  <si>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</si>
  <si>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</si>
  <si>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</si>
  <si>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</si>
  <si>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</si>
  <si>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</si>
  <si>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</si>
  <si>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</si>
  <si>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</si>
  <si>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</si>
  <si>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</si>
  <si>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</si>
  <si>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</si>
  <si>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</si>
  <si>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</si>
  <si>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</si>
  <si>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</si>
  <si>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</si>
  <si>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</si>
  <si>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</si>
  <si>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</si>
  <si>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</si>
  <si>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</si>
  <si>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</si>
  <si>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</si>
  <si>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</si>
  <si>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</si>
  <si>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</si>
  <si>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</si>
  <si>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</si>
  <si>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</si>
  <si>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</si>
  <si>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</si>
  <si>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</si>
  <si>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</si>
  <si>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</si>
  <si>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</si>
  <si>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</si>
  <si>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</si>
  <si>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</si>
  <si>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</si>
  <si>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</si>
  <si>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</si>
  <si>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</si>
  <si>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</si>
  <si>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</si>
  <si>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</si>
  <si>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</si>
  <si>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</si>
  <si>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</si>
  <si>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</si>
  <si>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</si>
  <si>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</si>
  <si>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</si>
  <si>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</si>
  <si>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</si>
  <si>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</si>
  <si>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</si>
  <si>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</si>
  <si>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</si>
  <si>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</si>
  <si>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</si>
  <si>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</si>
  <si>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</si>
  <si>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</si>
  <si>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</si>
  <si>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</si>
  <si>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</si>
  <si>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</si>
  <si>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</si>
  <si>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</si>
  <si>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</si>
  <si>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</si>
  <si>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</si>
  <si>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</si>
  <si>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</si>
  <si>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</si>
  <si>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</si>
  <si>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</si>
  <si>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</si>
  <si>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</si>
  <si>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</si>
  <si>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</si>
  <si>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</si>
  <si>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</si>
  <si>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</si>
  <si>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</si>
  <si>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</si>
  <si>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</si>
  <si>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</si>
  <si>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</si>
  <si>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</si>
  <si>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</si>
  <si>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</si>
  <si>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</si>
  <si>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</si>
  <si>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</si>
  <si>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</si>
  <si>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</si>
  <si>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</si>
  <si>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</si>
  <si>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</si>
  <si>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</si>
  <si>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</si>
  <si>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</si>
  <si>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</si>
  <si>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</si>
  <si>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</si>
  <si>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</si>
  <si>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</si>
  <si>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</si>
  <si>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</si>
  <si>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</si>
  <si>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</si>
  <si>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</si>
  <si>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</si>
  <si>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</si>
  <si>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</si>
  <si>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</si>
  <si>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</si>
  <si>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</si>
  <si>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</si>
  <si>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</si>
  <si>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</si>
  <si>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</si>
  <si>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</si>
  <si>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</si>
  <si>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</si>
  <si>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</si>
  <si>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</si>
  <si>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</si>
  <si>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</si>
  <si>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</si>
  <si>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</si>
  <si>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</si>
  <si>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</si>
  <si>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</si>
  <si>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</si>
  <si>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</si>
  <si>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</si>
  <si>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</si>
  <si>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</si>
  <si>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</si>
  <si>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</si>
  <si>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</si>
  <si>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</si>
  <si>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</si>
  <si>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</si>
  <si>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</si>
  <si>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</si>
  <si>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</si>
  <si>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</si>
  <si>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</si>
  <si>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</si>
  <si>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</si>
  <si>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</si>
  <si>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</si>
  <si>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</si>
  <si>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</si>
  <si>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</si>
  <si>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</si>
  <si>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</si>
  <si>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</si>
  <si>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</si>
  <si>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</si>
  <si>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</si>
  <si>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</si>
  <si>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</si>
  <si>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</si>
  <si>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</si>
  <si>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</si>
  <si>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</si>
  <si>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</si>
  <si>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</si>
  <si>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</si>
  <si>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</si>
  <si>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</si>
  <si>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</si>
  <si>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</si>
  <si>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</si>
  <si>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</si>
  <si>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</si>
  <si>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</si>
  <si>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</si>
  <si>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</si>
  <si>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</si>
  <si>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</si>
  <si>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</si>
  <si>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</si>
  <si>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</si>
  <si>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</si>
  <si>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</si>
  <si>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</si>
  <si>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</si>
  <si>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</si>
  <si>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</si>
  <si>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</si>
  <si>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</si>
  <si>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</si>
  <si>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</si>
  <si>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</si>
  <si>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</si>
  <si>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</si>
  <si>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</si>
  <si>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</si>
  <si>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</si>
  <si>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</si>
  <si>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</si>
  <si>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</si>
  <si>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</si>
  <si>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</si>
  <si>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</si>
  <si>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</si>
  <si>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</si>
  <si>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</si>
  <si>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</si>
  <si>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</si>
  <si>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</si>
  <si>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</si>
  <si>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</si>
  <si>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</si>
  <si>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</si>
  <si>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</si>
  <si>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</si>
  <si>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</si>
  <si>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</si>
  <si>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</si>
  <si>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</si>
  <si>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</si>
  <si>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</si>
  <si>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</si>
  <si>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</si>
  <si>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</si>
  <si>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</si>
  <si>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</si>
  <si>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</si>
  <si>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</si>
  <si>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</si>
  <si>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</si>
  <si>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</si>
  <si>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</si>
  <si>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</si>
  <si>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</si>
  <si>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</si>
  <si>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</si>
  <si>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</si>
  <si>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</si>
  <si>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</si>
  <si>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</si>
  <si>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</si>
  <si>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</si>
  <si>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</si>
  <si>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</si>
  <si>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</si>
  <si>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</si>
  <si>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</si>
  <si>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</si>
  <si>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</si>
  <si>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</si>
  <si>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</si>
  <si>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</si>
  <si>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</si>
  <si>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</si>
  <si>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</si>
  <si>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</si>
  <si>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</si>
  <si>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</si>
  <si>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</si>
  <si>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</si>
  <si>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</si>
  <si>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</si>
  <si>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</si>
  <si>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</si>
  <si>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</si>
  <si>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</si>
  <si>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</si>
  <si>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</si>
  <si>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</si>
  <si>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</si>
  <si>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</si>
  <si>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</si>
  <si>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</si>
  <si>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</si>
  <si>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</si>
  <si>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</si>
  <si>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</si>
  <si>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</si>
  <si>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</si>
  <si>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</si>
  <si>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</si>
  <si>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</si>
  <si>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</si>
  <si>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</si>
  <si>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</si>
  <si>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</si>
  <si>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</si>
  <si>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</si>
  <si>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</si>
  <si>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</si>
  <si>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</si>
  <si>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</si>
  <si>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</si>
  <si>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</si>
  <si>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</si>
  <si>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</si>
  <si>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</si>
  <si>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</si>
  <si>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</si>
  <si>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</si>
  <si>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</si>
  <si>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</si>
  <si>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</si>
  <si>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</si>
  <si>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</si>
  <si>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</si>
  <si>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</si>
  <si>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</si>
  <si>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</si>
  <si>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</si>
  <si>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</si>
  <si>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</si>
  <si>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</si>
  <si>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</si>
  <si>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</si>
  <si>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</si>
  <si>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</si>
  <si>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</si>
  <si>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</si>
  <si>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</si>
  <si>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</si>
  <si>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</si>
  <si>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</si>
  <si>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</si>
  <si>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</si>
  <si>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</si>
  <si>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</si>
  <si>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</si>
  <si>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</si>
  <si>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</si>
  <si>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</si>
  <si>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</si>
  <si>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</si>
  <si>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</si>
  <si>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</si>
  <si>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</si>
  <si>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</si>
  <si>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</si>
  <si>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</si>
  <si>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</si>
  <si>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</si>
  <si>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</si>
  <si>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</si>
  <si>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</si>
  <si>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</si>
  <si>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</si>
  <si>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</si>
  <si>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</si>
  <si>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</si>
  <si>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</si>
  <si>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</si>
  <si>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</si>
  <si>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</si>
  <si>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</si>
  <si>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</si>
  <si>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</si>
  <si>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</si>
  <si>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</si>
  <si>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</si>
  <si>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</si>
  <si>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</si>
  <si>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</si>
  <si>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</si>
  <si>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</si>
  <si>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</si>
  <si>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</si>
  <si>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</si>
  <si>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</si>
  <si>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</si>
  <si>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</si>
  <si>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</si>
  <si>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</si>
  <si>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</si>
  <si>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</si>
  <si>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</si>
  <si>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</si>
  <si>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</si>
  <si>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</si>
  <si>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</si>
  <si>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</si>
  <si>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</si>
  <si>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</si>
  <si>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</si>
  <si>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</si>
  <si>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</si>
  <si>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</si>
  <si>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</si>
  <si>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</si>
  <si>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</si>
  <si>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</si>
  <si>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</si>
  <si>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</si>
  <si>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</si>
  <si>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</si>
  <si>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</si>
  <si>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</si>
  <si>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</si>
  <si>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</si>
  <si>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</si>
  <si>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</si>
  <si>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</si>
  <si>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</si>
  <si>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</si>
  <si>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</si>
  <si>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</si>
  <si>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</si>
  <si>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</si>
  <si>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</si>
  <si>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</si>
  <si>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</si>
  <si>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</si>
  <si>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</si>
  <si>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</si>
  <si>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</si>
  <si>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</si>
  <si>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</si>
  <si>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</si>
  <si>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</si>
  <si>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</si>
  <si>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</si>
  <si>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</si>
  <si>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</si>
  <si>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</si>
  <si>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</si>
  <si>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</si>
  <si>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</si>
  <si>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</si>
  <si>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</si>
  <si>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</si>
  <si>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</si>
  <si>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</si>
  <si>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</si>
  <si>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</si>
  <si>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</si>
  <si>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</si>
  <si>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</si>
  <si>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</si>
  <si>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</si>
  <si>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</si>
  <si>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</si>
  <si>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</si>
  <si>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</si>
  <si>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</si>
  <si>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</si>
  <si>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</si>
  <si>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</si>
  <si>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</si>
  <si>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</si>
  <si>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</si>
  <si>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</si>
  <si>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</si>
  <si>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</si>
  <si>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</si>
  <si>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</si>
  <si>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</si>
  <si>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</si>
  <si>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</si>
  <si>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</si>
  <si>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</si>
  <si>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</si>
  <si>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</si>
  <si>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</si>
  <si>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</si>
  <si>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</si>
  <si>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</si>
  <si>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</si>
  <si>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</si>
  <si>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</si>
  <si>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</si>
  <si>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</si>
  <si>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</si>
  <si>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</si>
  <si>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</si>
  <si>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</si>
  <si>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</si>
  <si>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</si>
  <si>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</si>
  <si>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</si>
  <si>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</si>
  <si>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</si>
  <si>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</si>
  <si>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</si>
  <si>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</si>
  <si>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</si>
  <si>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</si>
  <si>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</si>
  <si>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</si>
  <si>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</si>
  <si>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</si>
  <si>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</si>
  <si>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</si>
  <si>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</si>
  <si>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</si>
  <si>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</si>
  <si>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</si>
  <si>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</si>
  <si>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</si>
  <si>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</si>
  <si>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</si>
  <si>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</si>
  <si>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</si>
  <si>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</si>
  <si>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</si>
  <si>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</si>
  <si>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</si>
  <si>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</si>
  <si>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</si>
  <si>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</si>
  <si>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</si>
  <si>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</si>
  <si>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</si>
  <si>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</si>
  <si>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</si>
  <si>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</si>
  <si>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</si>
  <si>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</si>
  <si>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</si>
  <si>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</si>
  <si>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</si>
  <si>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</si>
  <si>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</si>
  <si>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</si>
  <si>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</si>
  <si>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</si>
  <si>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</si>
  <si>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</si>
  <si>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</si>
  <si>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</si>
  <si>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</si>
  <si>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</si>
  <si>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</si>
  <si>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</si>
  <si>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</si>
  <si>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</si>
  <si>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</si>
  <si>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</si>
  <si>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</si>
  <si>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</si>
  <si>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</si>
  <si>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</si>
  <si>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</si>
  <si>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</si>
  <si>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</si>
  <si>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</si>
  <si>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</si>
  <si>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</si>
  <si>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</si>
  <si>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</si>
  <si>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</si>
  <si>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</si>
  <si>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</si>
  <si>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</si>
  <si>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</si>
  <si>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</si>
  <si>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</si>
  <si>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</si>
  <si>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</si>
  <si>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</si>
  <si>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</si>
  <si>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</si>
  <si>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</si>
  <si>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</si>
  <si>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</si>
  <si>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</si>
  <si>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</si>
  <si>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</si>
  <si>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</si>
  <si>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</si>
  <si>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</si>
  <si>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</si>
  <si>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</si>
  <si>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</si>
  <si>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</si>
  <si>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</si>
  <si>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</si>
  <si>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</si>
  <si>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</si>
  <si>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</si>
  <si>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</si>
  <si>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</si>
  <si>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</si>
  <si>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</si>
  <si>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</si>
  <si>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</si>
  <si>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</si>
  <si>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</si>
  <si>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</si>
  <si>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</si>
  <si>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</si>
  <si>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</si>
  <si>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</si>
  <si>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</si>
  <si>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</si>
  <si>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</si>
  <si>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</si>
  <si>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</si>
  <si>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</si>
  <si>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</si>
  <si>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</si>
  <si>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</si>
  <si>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</si>
  <si>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</si>
  <si>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</si>
  <si>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</si>
  <si>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</si>
  <si>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</si>
  <si>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</si>
  <si>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</si>
  <si>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</si>
  <si>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</si>
  <si>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</si>
  <si>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</si>
  <si>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</si>
  <si>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</si>
  <si>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</si>
  <si>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</si>
  <si>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</si>
  <si>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</si>
  <si>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</si>
  <si>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</si>
  <si>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</si>
  <si>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</si>
  <si>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</si>
  <si>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</si>
  <si>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</si>
  <si>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</si>
  <si>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</si>
  <si>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</si>
  <si>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</si>
  <si>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</si>
  <si>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</si>
  <si>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</si>
  <si>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</si>
  <si>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</si>
  <si>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</si>
  <si>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</si>
  <si>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</si>
  <si>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</si>
  <si>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</si>
  <si>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</si>
  <si>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</si>
  <si>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</si>
  <si>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</si>
  <si>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</si>
  <si>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</si>
  <si>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</si>
  <si>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</si>
  <si>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</si>
  <si>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</si>
  <si>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</si>
  <si>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</si>
  <si>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</si>
  <si>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</si>
  <si>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</si>
  <si>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</si>
  <si>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</si>
  <si>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</si>
  <si>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</si>
  <si>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</si>
  <si>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</si>
  <si>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</si>
  <si>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</si>
  <si>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</si>
  <si>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</si>
  <si>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</si>
  <si>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</si>
  <si>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</si>
  <si>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</si>
  <si>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</si>
  <si>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</si>
  <si>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</si>
  <si>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</si>
  <si>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</si>
  <si>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</si>
  <si>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</si>
  <si>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</si>
  <si>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</si>
  <si>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</si>
  <si>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</si>
  <si>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</si>
  <si>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</si>
  <si>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</si>
  <si>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</si>
  <si>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</si>
  <si>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</si>
  <si>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</si>
  <si>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</si>
  <si>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</si>
  <si>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</si>
  <si>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</si>
  <si>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</si>
  <si>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</si>
  <si>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</si>
  <si>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</si>
  <si>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</si>
  <si>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</si>
  <si>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</si>
  <si>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</si>
  <si>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</si>
  <si>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</si>
  <si>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</si>
  <si>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</si>
  <si>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</si>
  <si>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</si>
  <si>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</si>
  <si>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</si>
  <si>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</si>
  <si>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</si>
  <si>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</si>
  <si>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</si>
  <si>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</si>
  <si>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</si>
  <si>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</si>
  <si>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</si>
  <si>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</si>
  <si>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</si>
  <si>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</si>
  <si>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</si>
  <si>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</si>
  <si>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</si>
  <si>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</si>
  <si>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</si>
  <si>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</si>
  <si>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</si>
  <si>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</si>
  <si>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</si>
  <si>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</si>
  <si>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</si>
  <si>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</si>
  <si>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</si>
  <si>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</si>
  <si>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</si>
  <si>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</si>
  <si>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</si>
  <si>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</si>
  <si>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</si>
  <si>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</si>
  <si>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</si>
  <si>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</si>
  <si>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</si>
  <si>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</si>
  <si>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</si>
  <si>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</si>
  <si>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</si>
  <si>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</si>
  <si>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</si>
  <si>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</si>
  <si>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</si>
  <si>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</si>
  <si>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</si>
  <si>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</si>
  <si>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</si>
  <si>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</si>
  <si>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</si>
  <si>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</si>
  <si>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</si>
  <si>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</si>
  <si>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</si>
  <si>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</si>
  <si>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</si>
  <si>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</si>
  <si>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</si>
  <si>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</si>
  <si>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</si>
  <si>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</si>
  <si>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</si>
  <si>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</si>
  <si>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</si>
  <si>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</si>
  <si>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</si>
  <si>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</si>
  <si>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</si>
  <si>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</si>
  <si>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</si>
  <si>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</si>
  <si>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</si>
  <si>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</si>
  <si>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</si>
  <si>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</si>
  <si>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</si>
  <si>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</si>
  <si>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</si>
  <si>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</si>
  <si>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</si>
  <si>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</si>
  <si>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</si>
  <si>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</si>
  <si>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</si>
  <si>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</si>
  <si>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</si>
  <si>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</si>
  <si>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</si>
  <si>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</si>
  <si>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</si>
  <si>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</si>
  <si>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</si>
  <si>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</si>
  <si>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</si>
  <si>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</si>
  <si>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</si>
  <si>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</si>
  <si>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</si>
  <si>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</si>
  <si>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</si>
  <si>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</si>
  <si>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Doantion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</si>
  <si>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</si>
  <si>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</si>
  <si>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</si>
  <si>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</si>
  <si>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</si>
  <si>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</si>
  <si>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</si>
  <si>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</si>
  <si>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</si>
  <si>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</si>
  <si>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</si>
  <si>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</si>
  <si>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</si>
  <si>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</si>
  <si>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</si>
  <si>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</si>
  <si>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</si>
  <si>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</si>
  <si>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</si>
  <si>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</si>
  <si>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</si>
  <si>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</si>
  <si>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</si>
  <si>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</si>
  <si>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</si>
  <si>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</si>
  <si>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</si>
  <si>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</si>
  <si>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</si>
  <si>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</si>
  <si>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</si>
  <si>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</si>
  <si>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</si>
  <si>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</si>
  <si>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</si>
  <si>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</si>
  <si>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</si>
  <si>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</si>
  <si>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</si>
  <si>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</si>
  <si>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</si>
  <si>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</si>
  <si>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</si>
  <si>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</si>
  <si>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</si>
  <si>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</si>
  <si>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</si>
  <si>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</si>
  <si>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</si>
  <si>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</si>
  <si>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</si>
  <si>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</si>
  <si>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</si>
  <si>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</si>
  <si>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</si>
  <si>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currency</t>
  </si>
  <si>
    <t>(All)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</si>
  <si>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</si>
  <si>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</si>
  <si>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</si>
  <si>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</si>
  <si>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</si>
  <si>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</si>
  <si>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</si>
  <si>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</si>
  <si>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</si>
  <si>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</si>
  <si>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</si>
  <si>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</si>
  <si>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</si>
  <si>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</si>
  <si>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</si>
  <si>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</si>
  <si>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</si>
  <si>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</si>
  <si>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</si>
  <si>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</si>
  <si>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</si>
  <si>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</si>
  <si>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</si>
  <si>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</si>
  <si>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</si>
  <si>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</si>
  <si>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</si>
  <si>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</si>
  <si>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</si>
  <si>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</si>
  <si>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</si>
  <si>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20000 to 24999</t>
  </si>
  <si>
    <t>35000 to 39999</t>
  </si>
  <si>
    <t>40000 to 44999</t>
  </si>
  <si>
    <t>45000 to 49999</t>
  </si>
  <si>
    <t>Greater than 50000</t>
  </si>
  <si>
    <t>Percentage Successful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</si>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</sst>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4" fontId="1" fillId="0" borderId="0" xfId="0" applyNumberFormat="1" applyFont="1"/>
    <xf numFmtId="0" fontId="3" fillId="0" borderId="0" xfId="0" applyFont="1"/>
    <xf numFmtId="0" fontId="1" fillId="0" borderId="0" xfId="1" applyNumberFormat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_final.xlsx]Outcomes  based on Parent Categ!PivotTable1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</a:t>
            </a:r>
            <a:r>
              <a:rPr lang="en-US" sz="1400" b="0" i="0" u="none" strike="noStrike" baseline="0">
                <a:effectLst/>
              </a:rPr>
              <a:t>Parent Category </a:t>
            </a:r>
            <a:endParaRPr lang="en-US"/>
          </a:p>
        </c:rich>
      </c:tx>
      <c:layout>
        <c:manualLayout>
          <c:xMode val="edge"/>
          <c:yMode val="edge"/>
          <c:x val="0.357978752655918"/>
          <c:y val="8.63994903011793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'Outcomes  based on Parent Categ'!$B$3:$B$4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'Outcomes  based on Parent Categ'!$A$5:$A$14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 based on Parent Categ'!$B$5:$B$14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9-407D-B043-CE642B36C6D0}"/>
            </c:ext>
          </c:extLst>
        </c:ser>
        <c:ser>
          <c:idx val="1"/>
          <c:order val="1"/>
          <c:tx>
            <c:strRef>
              <c:f>'Outcomes  based on Parent Categ'!$C$3:$C$4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'Outcomes  based on Parent Categ'!$A$5:$A$14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 based on Parent Categ'!$C$5:$C$14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69-407D-B043-CE642B36C6D0}"/>
            </c:ext>
          </c:extLst>
        </c:ser>
        <c:ser>
          <c:idx val="2"/>
          <c:order val="2"/>
          <c:tx>
            <c:strRef>
              <c:f>'Outcomes  based on Parent Categ'!$D$3:$D$4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'Outcomes  based on Parent Categ'!$A$5:$A$14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 based on Parent Categ'!$D$5:$D$14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69-407D-B043-CE642B36C6D0}"/>
            </c:ext>
          </c:extLst>
        </c:ser>
        <c:ser>
          <c:idx val="3"/>
          <c:order val="3"/>
          <c:tx>
            <c:strRef>
              <c:f>'Outcomes  based on Parent Categ'!$E$3:$E$4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'Outcomes  based on Parent Categ'!$A$5:$A$14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 based on Parent Categ'!$E$5:$E$14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69-407D-B043-CE642B3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438929704"/>
        <c:axId val="438926752"/>
        <c:axId val="0"/>
      </c:bar3DChart>
      <c:catAx>
        <c:axId val="43892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26752"/>
        <c:crosses val="autoZero"/>
        <c:auto val="1"/>
        <c:lblAlgn val="ctr"/>
        <c:lblOffset val="100"/>
        <c:noMultiLvlLbl val="0"/>
      </c:catAx>
      <c:valAx>
        <c:axId val="4389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2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_final.xlsx]Outcomes based on 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Subcategory</a:t>
            </a:r>
            <a:endParaRPr lang="en-US"/>
          </a:p>
        </c:rich>
      </c:tx>
      <c:layout>
        <c:manualLayout>
          <c:xMode val="edge"/>
          <c:yMode val="edge"/>
          <c:x val="0.18002777777777779"/>
          <c:y val="0.22944006999125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Subcategory'!$A$6:$A$21</c:f>
              <c:strCache>
                <c:ptCount val="15"/>
                <c:pt idx="0">
                  <c:v>food trucks</c:v>
                </c:pt>
                <c:pt idx="1">
                  <c:v>gadgets</c:v>
                </c:pt>
                <c:pt idx="2">
                  <c:v>hardware</c:v>
                </c:pt>
                <c:pt idx="3">
                  <c:v>makerspaces</c:v>
                </c:pt>
                <c:pt idx="4">
                  <c:v>mobile games</c:v>
                </c:pt>
                <c:pt idx="5">
                  <c:v>musical</c:v>
                </c:pt>
                <c:pt idx="6">
                  <c:v>plays</c:v>
                </c:pt>
                <c:pt idx="7">
                  <c:v>restaurants</c:v>
                </c:pt>
                <c:pt idx="8">
                  <c:v>small batch</c:v>
                </c:pt>
                <c:pt idx="9">
                  <c:v>space exploration</c:v>
                </c:pt>
                <c:pt idx="10">
                  <c:v>spaces</c:v>
                </c:pt>
                <c:pt idx="11">
                  <c:v>tabletop games</c:v>
                </c:pt>
                <c:pt idx="12">
                  <c:v>video games</c:v>
                </c:pt>
                <c:pt idx="13">
                  <c:v>wearables</c:v>
                </c:pt>
                <c:pt idx="14">
                  <c:v>web</c:v>
                </c:pt>
              </c:strCache>
            </c:strRef>
          </c:cat>
          <c:val>
            <c:numRef>
              <c:f>'Outcomes based on Subcategory'!$B$6:$B$21</c:f>
              <c:numCache>
                <c:formatCode>General</c:formatCode>
                <c:ptCount val="15"/>
                <c:pt idx="0">
                  <c:v>15</c:v>
                </c:pt>
                <c:pt idx="5">
                  <c:v>11</c:v>
                </c:pt>
                <c:pt idx="9">
                  <c:v>15</c:v>
                </c:pt>
                <c:pt idx="10">
                  <c:v>15</c:v>
                </c:pt>
                <c:pt idx="13">
                  <c:v>47</c:v>
                </c:pt>
                <c:pt idx="1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3-4BFF-8172-9245A7C654C0}"/>
            </c:ext>
          </c:extLst>
        </c:ser>
        <c:ser>
          <c:idx val="1"/>
          <c:order val="1"/>
          <c:tx>
            <c:strRef>
              <c:f>'Outcomes based on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Subcategory'!$A$6:$A$21</c:f>
              <c:strCache>
                <c:ptCount val="15"/>
                <c:pt idx="0">
                  <c:v>food trucks</c:v>
                </c:pt>
                <c:pt idx="1">
                  <c:v>gadgets</c:v>
                </c:pt>
                <c:pt idx="2">
                  <c:v>hardware</c:v>
                </c:pt>
                <c:pt idx="3">
                  <c:v>makerspaces</c:v>
                </c:pt>
                <c:pt idx="4">
                  <c:v>mobile games</c:v>
                </c:pt>
                <c:pt idx="5">
                  <c:v>musical</c:v>
                </c:pt>
                <c:pt idx="6">
                  <c:v>plays</c:v>
                </c:pt>
                <c:pt idx="7">
                  <c:v>restaurants</c:v>
                </c:pt>
                <c:pt idx="8">
                  <c:v>small batch</c:v>
                </c:pt>
                <c:pt idx="9">
                  <c:v>space exploration</c:v>
                </c:pt>
                <c:pt idx="10">
                  <c:v>spaces</c:v>
                </c:pt>
                <c:pt idx="11">
                  <c:v>tabletop games</c:v>
                </c:pt>
                <c:pt idx="12">
                  <c:v>video games</c:v>
                </c:pt>
                <c:pt idx="13">
                  <c:v>wearables</c:v>
                </c:pt>
                <c:pt idx="14">
                  <c:v>web</c:v>
                </c:pt>
              </c:strCache>
            </c:strRef>
          </c:cat>
          <c:val>
            <c:numRef>
              <c:f>'Outcomes based on Subcategory'!$C$6:$C$21</c:f>
              <c:numCache>
                <c:formatCode>General</c:formatCode>
                <c:ptCount val="15"/>
                <c:pt idx="0">
                  <c:v>101</c:v>
                </c:pt>
                <c:pt idx="1">
                  <c:v>13</c:v>
                </c:pt>
                <c:pt idx="3">
                  <c:v>7</c:v>
                </c:pt>
                <c:pt idx="4">
                  <c:v>23</c:v>
                </c:pt>
                <c:pt idx="5">
                  <c:v>40</c:v>
                </c:pt>
                <c:pt idx="6">
                  <c:v>250</c:v>
                </c:pt>
                <c:pt idx="7">
                  <c:v>14</c:v>
                </c:pt>
                <c:pt idx="9">
                  <c:v>1</c:v>
                </c:pt>
                <c:pt idx="10">
                  <c:v>59</c:v>
                </c:pt>
                <c:pt idx="12">
                  <c:v>73</c:v>
                </c:pt>
                <c:pt idx="13">
                  <c:v>81</c:v>
                </c:pt>
                <c:pt idx="14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E3-4BFF-8172-9245A7C654C0}"/>
            </c:ext>
          </c:extLst>
        </c:ser>
        <c:ser>
          <c:idx val="2"/>
          <c:order val="2"/>
          <c:tx>
            <c:strRef>
              <c:f>'Outcomes based on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Subcategory'!$A$6:$A$21</c:f>
              <c:strCache>
                <c:ptCount val="15"/>
                <c:pt idx="0">
                  <c:v>food trucks</c:v>
                </c:pt>
                <c:pt idx="1">
                  <c:v>gadgets</c:v>
                </c:pt>
                <c:pt idx="2">
                  <c:v>hardware</c:v>
                </c:pt>
                <c:pt idx="3">
                  <c:v>makerspaces</c:v>
                </c:pt>
                <c:pt idx="4">
                  <c:v>mobile games</c:v>
                </c:pt>
                <c:pt idx="5">
                  <c:v>musical</c:v>
                </c:pt>
                <c:pt idx="6">
                  <c:v>plays</c:v>
                </c:pt>
                <c:pt idx="7">
                  <c:v>restaurants</c:v>
                </c:pt>
                <c:pt idx="8">
                  <c:v>small batch</c:v>
                </c:pt>
                <c:pt idx="9">
                  <c:v>space exploration</c:v>
                </c:pt>
                <c:pt idx="10">
                  <c:v>spaces</c:v>
                </c:pt>
                <c:pt idx="11">
                  <c:v>tabletop games</c:v>
                </c:pt>
                <c:pt idx="12">
                  <c:v>video games</c:v>
                </c:pt>
                <c:pt idx="13">
                  <c:v>wearables</c:v>
                </c:pt>
                <c:pt idx="14">
                  <c:v>web</c:v>
                </c:pt>
              </c:strCache>
            </c:strRef>
          </c:cat>
          <c:val>
            <c:numRef>
              <c:f>'Outcomes based on Subcategory'!$D$6:$D$21</c:f>
              <c:numCache>
                <c:formatCode>General</c:formatCode>
                <c:ptCount val="15"/>
                <c:pt idx="6">
                  <c:v>9</c:v>
                </c:pt>
                <c:pt idx="8">
                  <c:v>4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E3-4BFF-8172-9245A7C654C0}"/>
            </c:ext>
          </c:extLst>
        </c:ser>
        <c:ser>
          <c:idx val="3"/>
          <c:order val="3"/>
          <c:tx>
            <c:strRef>
              <c:f>'Outcomes based on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Subcategory'!$A$6:$A$21</c:f>
              <c:strCache>
                <c:ptCount val="15"/>
                <c:pt idx="0">
                  <c:v>food trucks</c:v>
                </c:pt>
                <c:pt idx="1">
                  <c:v>gadgets</c:v>
                </c:pt>
                <c:pt idx="2">
                  <c:v>hardware</c:v>
                </c:pt>
                <c:pt idx="3">
                  <c:v>makerspaces</c:v>
                </c:pt>
                <c:pt idx="4">
                  <c:v>mobile games</c:v>
                </c:pt>
                <c:pt idx="5">
                  <c:v>musical</c:v>
                </c:pt>
                <c:pt idx="6">
                  <c:v>plays</c:v>
                </c:pt>
                <c:pt idx="7">
                  <c:v>restaurants</c:v>
                </c:pt>
                <c:pt idx="8">
                  <c:v>small batch</c:v>
                </c:pt>
                <c:pt idx="9">
                  <c:v>space exploration</c:v>
                </c:pt>
                <c:pt idx="10">
                  <c:v>spaces</c:v>
                </c:pt>
                <c:pt idx="11">
                  <c:v>tabletop games</c:v>
                </c:pt>
                <c:pt idx="12">
                  <c:v>video games</c:v>
                </c:pt>
                <c:pt idx="13">
                  <c:v>wearables</c:v>
                </c:pt>
                <c:pt idx="14">
                  <c:v>web</c:v>
                </c:pt>
              </c:strCache>
            </c:strRef>
          </c:cat>
          <c:val>
            <c:numRef>
              <c:f>'Outcomes based on Subcategory'!$E$6:$E$21</c:f>
              <c:numCache>
                <c:formatCode>General</c:formatCode>
                <c:ptCount val="15"/>
                <c:pt idx="2">
                  <c:v>103</c:v>
                </c:pt>
                <c:pt idx="3">
                  <c:v>7</c:v>
                </c:pt>
                <c:pt idx="5">
                  <c:v>45</c:v>
                </c:pt>
                <c:pt idx="6">
                  <c:v>412</c:v>
                </c:pt>
                <c:pt idx="8">
                  <c:v>34</c:v>
                </c:pt>
                <c:pt idx="9">
                  <c:v>31</c:v>
                </c:pt>
                <c:pt idx="10">
                  <c:v>68</c:v>
                </c:pt>
                <c:pt idx="11">
                  <c:v>52</c:v>
                </c:pt>
                <c:pt idx="1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E3-4BFF-8172-9245A7C65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896792"/>
        <c:axId val="502898104"/>
      </c:barChart>
      <c:catAx>
        <c:axId val="50289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98104"/>
        <c:crosses val="autoZero"/>
        <c:auto val="1"/>
        <c:lblAlgn val="ctr"/>
        <c:lblOffset val="100"/>
        <c:noMultiLvlLbl val="0"/>
      </c:catAx>
      <c:valAx>
        <c:axId val="50289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96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_final.xlsx]Theater Outcomes by Launch Date!PivotTable15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4"/>
        <c:spPr>
          <a:solidFill>
            <a:schemeClr val="accent2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5122330802869221E-2"/>
          <c:y val="1.3713959772435506E-2"/>
          <c:w val="0.73192352660456794"/>
          <c:h val="0.8163626576667367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6-49C9-9A12-6900F1617BA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6-49C9-9A12-6900F1617BA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96-49C9-9A12-6900F1617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502888"/>
        <c:axId val="742507480"/>
      </c:lineChart>
      <c:catAx>
        <c:axId val="742502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07480"/>
        <c:crosses val="autoZero"/>
        <c:auto val="1"/>
        <c:lblAlgn val="ctr"/>
        <c:lblOffset val="100"/>
        <c:noMultiLvlLbl val="0"/>
      </c:catAx>
      <c:valAx>
        <c:axId val="74250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0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_final.xlsx]OUTCOMES BASED ON LAUNCH DATE 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3-4E6B-BD97-B721A2680C66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73-4E6B-BD97-B721A2680C66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73-4E6B-BD97-B721A2680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425440"/>
        <c:axId val="514428392"/>
      </c:lineChart>
      <c:catAx>
        <c:axId val="5144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28392"/>
        <c:crosses val="autoZero"/>
        <c:auto val="1"/>
        <c:lblAlgn val="ctr"/>
        <c:lblOffset val="100"/>
        <c:noMultiLvlLbl val="0"/>
      </c:catAx>
      <c:valAx>
        <c:axId val="51442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Goal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380180104141384E-2"/>
          <c:y val="2.2655001882097854E-2"/>
          <c:w val="0.92838490463694834"/>
          <c:h val="0.9022825835958364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17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1-480D-8C28-6A64B3E37AA6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91-480D-8C28-6A64B3E37AA6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91-480D-8C28-6A64B3E37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791600"/>
        <c:axId val="677788648"/>
      </c:lineChart>
      <c:dateAx>
        <c:axId val="677791600"/>
        <c:scaling>
          <c:orientation val="minMax"/>
        </c:scaling>
        <c:delete val="0"/>
        <c:axPos val="b"/>
        <c:numFmt formatCode="#,##0.00" sourceLinked="0"/>
        <c:majorTickMark val="out"/>
        <c:minorTickMark val="cross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788648"/>
        <c:crossesAt val="0"/>
        <c:auto val="0"/>
        <c:lblOffset val="100"/>
        <c:baseTimeUnit val="days"/>
        <c:minorUnit val="3"/>
      </c:dateAx>
      <c:valAx>
        <c:axId val="67778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791600"/>
        <c:crosses val="autoZero"/>
        <c:crossBetween val="between"/>
        <c:majorUnit val="20"/>
        <c:dispUnits>
          <c:builtInUnit val="hundreds"/>
        </c:dispUnits>
      </c:valAx>
      <c:spPr>
        <a:noFill/>
        <a:ln w="15875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b"/>
      <c:layout>
        <c:manualLayout>
          <c:xMode val="edge"/>
          <c:yMode val="edge"/>
          <c:x val="0.32193856386811481"/>
          <c:y val="0.96810802104839599"/>
          <c:w val="0.35612287226377043"/>
          <c:h val="3.18919789516039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12</xdr:row>
      <xdr:rowOff>38099</xdr:rowOff>
    </xdr:from>
    <xdr:to>
      <xdr:col>17</xdr:col>
      <xdr:colOff>133350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C2921-7931-441F-A8EB-65F6C5698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11</xdr:row>
      <xdr:rowOff>166687</xdr:rowOff>
    </xdr:from>
    <xdr:to>
      <xdr:col>14</xdr:col>
      <xdr:colOff>285750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AA2B2-015F-4AC1-8D18-5741A11ED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174401</xdr:colOff>
      <xdr:row>0</xdr:row>
      <xdr:rowOff>67077</xdr:rowOff>
    </xdr:from>
    <xdr:to>
      <xdr:col>19</xdr:col>
      <xdr:colOff>670775</xdr:colOff>
      <xdr:row>22</xdr:row>
      <xdr:rowOff>93908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68D854-F6F5-449A-ABCE-F3A037069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3</xdr:row>
      <xdr:rowOff>71437</xdr:rowOff>
    </xdr:from>
    <xdr:to>
      <xdr:col>19</xdr:col>
      <xdr:colOff>161925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771E1-C1C3-4A35-9C6C-01CE9F620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819593</xdr:colOff>
      <xdr:row>14</xdr:row>
      <xdr:rowOff>77528</xdr:rowOff>
    </xdr:from>
    <xdr:to>
      <xdr:col>17</xdr:col>
      <xdr:colOff>310116</xdr:colOff>
      <xdr:row>44</xdr:row>
      <xdr:rowOff>155058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45653E5-BE0D-4700-8E63-CBF339B7F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vathy" refreshedDate="44514.333247916664" createdVersion="6" refreshedVersion="6" minRefreshableVersion="3" recordCount="4114" xr:uid="{32CC9519-15C9-4C9C-B0FC-5382BD331E1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an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s v="No Backers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vathy" refreshedDate="44514.570888425929" createdVersion="6" refreshedVersion="6" minRefreshableVersion="3" recordCount="4114" xr:uid="{C7EFDA08-E9B1-47A4-A20E-6F82BD67D8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an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vathy" refreshedDate="44521.371472222221" createdVersion="6" refreshedVersion="6" minRefreshableVersion="3" recordCount="4115" xr:uid="{0E0684E6-6F5F-429A-A1FE-2B8E97EF0A1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an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6D544-7E3C-4555-A845-E2F36DC0A26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378">
        <item sd="0"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EFC42-2D82-40CE-84F7-C0A90E7D6F2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1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x="7"/>
        <item x="6"/>
        <item h="1" x="5"/>
        <item h="1" x="4"/>
        <item h="1" x="8"/>
        <item h="1"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6">
    <i>
      <x v="10"/>
    </i>
    <i>
      <x v="11"/>
    </i>
    <i>
      <x v="12"/>
    </i>
    <i>
      <x v="15"/>
    </i>
    <i>
      <x v="17"/>
    </i>
    <i>
      <x v="18"/>
    </i>
    <i>
      <x v="24"/>
    </i>
    <i>
      <x v="27"/>
    </i>
    <i>
      <x v="31"/>
    </i>
    <i>
      <x v="32"/>
    </i>
    <i>
      <x v="33"/>
    </i>
    <i>
      <x v="34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59133-0126-4424-9302-6D6B80BB78F2}" name="PivotTable1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 countASubtotal="1">
      <items count="6">
        <item h="1" x="4"/>
        <item x="0"/>
        <item h="1" x="3"/>
        <item x="2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sortType="ascending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76DD6-F3A0-4D70-8812-449C8921A29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V4115"/>
  <sheetViews>
    <sheetView tabSelected="1" zoomScale="59" zoomScaleNormal="59" workbookViewId="0">
      <pane ySplit="1" topLeftCell="A17" activePane="bottomLeft" state="frozen"/>
      <selection activeCell="E1" sqref="E1"/>
      <selection pane="bottomLef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customWidth="1"/>
    <col min="5" max="5" width="16.42578125" style="8" customWidth="1"/>
    <col min="6" max="6" width="2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4" customWidth="1"/>
    <col min="15" max="15" width="29.85546875" customWidth="1"/>
    <col min="16" max="16" width="25" customWidth="1"/>
    <col min="17" max="17" width="34" customWidth="1"/>
    <col min="18" max="18" width="19.42578125" customWidth="1"/>
    <col min="19" max="19" width="33.140625" style="13" customWidth="1"/>
    <col min="20" max="20" width="43.140625" style="13" customWidth="1"/>
    <col min="21" max="21" width="26.140625" customWidth="1"/>
    <col min="22" max="22" width="34.140625" customWidth="1"/>
    <col min="23" max="23" width="17.425781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6" t="s">
        <v>8367</v>
      </c>
      <c r="U1" s="15" t="s">
        <v>8382</v>
      </c>
      <c r="V1" s="15"/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 *100,0)</f>
        <v>137</v>
      </c>
      <c r="P2">
        <f>IFERROR(ROUND(E2/L2,2),"No Backers")</f>
        <v>63.92</v>
      </c>
      <c r="Q2" t="s">
        <v>8308</v>
      </c>
      <c r="R2" t="s">
        <v>8309</v>
      </c>
      <c r="S2" s="13">
        <f>(((J2/60)/60)/24+DATE(1970,1,1))</f>
        <v>42177.007071759261</v>
      </c>
      <c r="T2" s="13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 *100,0)</f>
        <v>143</v>
      </c>
      <c r="P3">
        <f t="shared" ref="P3:P66" si="1">IFERROR(ROUND(E3/L3,2),"No Backers")</f>
        <v>185.48</v>
      </c>
      <c r="Q3" t="s">
        <v>8308</v>
      </c>
      <c r="R3" t="s">
        <v>8309</v>
      </c>
      <c r="S3" s="13">
        <f>(((J3/60)/60)/24+DATE(1970,1,1))</f>
        <v>42766.600497685184</v>
      </c>
      <c r="T3" s="13">
        <f t="shared" ref="T3:T66" si="2">(((I3/60)/60)/24)+DATE(1970,1,1)</f>
        <v>42796.600497685184</v>
      </c>
      <c r="U3">
        <f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ref="S4:S66" si="3">(((J4/60)/60)/24+DATE(1970,1,1))</f>
        <v>42405.702349537038</v>
      </c>
      <c r="T4" s="13">
        <f t="shared" si="2"/>
        <v>42415.702349537038</v>
      </c>
      <c r="U4">
        <f t="shared" ref="U4:U67" si="4">YEAR(S4)</f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3"/>
        <v>41828.515127314815</v>
      </c>
      <c r="T5" s="13">
        <f t="shared" si="2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3"/>
        <v>42327.834247685183</v>
      </c>
      <c r="T6" s="13">
        <f t="shared" si="2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3"/>
        <v>42563.932951388888</v>
      </c>
      <c r="T7" s="13">
        <f t="shared" si="2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3"/>
        <v>41794.072337962964</v>
      </c>
      <c r="T8" s="13">
        <f t="shared" si="2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3"/>
        <v>42516.047071759262</v>
      </c>
      <c r="T9" s="13">
        <f t="shared" si="2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3"/>
        <v>42468.94458333333</v>
      </c>
      <c r="T10" s="13">
        <f t="shared" si="2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3"/>
        <v>42447.103518518517</v>
      </c>
      <c r="T11" s="13">
        <f t="shared" si="2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3"/>
        <v>41780.068043981482</v>
      </c>
      <c r="T12" s="13">
        <f t="shared" si="2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3"/>
        <v>42572.778495370367</v>
      </c>
      <c r="T13" s="13">
        <f t="shared" si="2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3"/>
        <v>41791.713252314818</v>
      </c>
      <c r="T14" s="13">
        <f t="shared" si="2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3"/>
        <v>42508.677187499998</v>
      </c>
      <c r="T15" s="13">
        <f t="shared" si="2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3"/>
        <v>41808.02648148148</v>
      </c>
      <c r="T16" s="13">
        <f t="shared" si="2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3"/>
        <v>42256.391875000001</v>
      </c>
      <c r="T17" s="13">
        <f t="shared" si="2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3"/>
        <v>41760.796423611115</v>
      </c>
      <c r="T18" s="13">
        <f t="shared" si="2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3"/>
        <v>41917.731736111113</v>
      </c>
      <c r="T19" s="13">
        <f t="shared" si="2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3"/>
        <v>41869.542314814818</v>
      </c>
      <c r="T20" s="13">
        <f t="shared" si="2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3"/>
        <v>42175.816365740742</v>
      </c>
      <c r="T21" s="13">
        <f t="shared" si="2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3"/>
        <v>42200.758240740746</v>
      </c>
      <c r="T22" s="13">
        <f t="shared" si="2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3"/>
        <v>41878.627187500002</v>
      </c>
      <c r="T23" s="13">
        <f t="shared" si="2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3"/>
        <v>41989.91134259259</v>
      </c>
      <c r="T24" s="13">
        <f t="shared" si="2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3"/>
        <v>42097.778946759259</v>
      </c>
      <c r="T25" s="13">
        <f t="shared" si="2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3"/>
        <v>42229.820173611108</v>
      </c>
      <c r="T26" s="13">
        <f t="shared" si="2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3"/>
        <v>42318.025011574078</v>
      </c>
      <c r="T27" s="13">
        <f t="shared" si="2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3"/>
        <v>41828.515555555554</v>
      </c>
      <c r="T28" s="13">
        <f t="shared" si="2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3"/>
        <v>41929.164733796293</v>
      </c>
      <c r="T29" s="13">
        <f t="shared" si="2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3"/>
        <v>42324.96393518518</v>
      </c>
      <c r="T30" s="13">
        <f t="shared" si="2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3"/>
        <v>41812.67324074074</v>
      </c>
      <c r="T31" s="13">
        <f t="shared" si="2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3"/>
        <v>41842.292997685188</v>
      </c>
      <c r="T32" s="13">
        <f t="shared" si="2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3"/>
        <v>42376.79206018518</v>
      </c>
      <c r="T33" s="13">
        <f t="shared" si="2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3"/>
        <v>42461.627511574072</v>
      </c>
      <c r="T34" s="13">
        <f t="shared" si="2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3"/>
        <v>42286.660891203705</v>
      </c>
      <c r="T35" s="13">
        <f t="shared" si="2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3"/>
        <v>41841.321770833332</v>
      </c>
      <c r="T36" s="13">
        <f t="shared" si="2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3"/>
        <v>42098.291828703703</v>
      </c>
      <c r="T37" s="13">
        <f t="shared" si="2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3"/>
        <v>42068.307002314818</v>
      </c>
      <c r="T38" s="13">
        <f t="shared" si="2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3"/>
        <v>42032.693043981482</v>
      </c>
      <c r="T39" s="13">
        <f t="shared" si="2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3"/>
        <v>41375.057222222218</v>
      </c>
      <c r="T40" s="13">
        <f t="shared" si="2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3"/>
        <v>41754.047083333331</v>
      </c>
      <c r="T41" s="13">
        <f t="shared" si="2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3"/>
        <v>41789.21398148148</v>
      </c>
      <c r="T42" s="13">
        <f t="shared" si="2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3"/>
        <v>41887.568912037037</v>
      </c>
      <c r="T43" s="13">
        <f t="shared" si="2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3"/>
        <v>41971.639189814814</v>
      </c>
      <c r="T44" s="13">
        <f t="shared" si="2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3"/>
        <v>41802.790347222224</v>
      </c>
      <c r="T45" s="13">
        <f t="shared" si="2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3"/>
        <v>41874.098807870374</v>
      </c>
      <c r="T46" s="13">
        <f t="shared" si="2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3"/>
        <v>42457.623923611114</v>
      </c>
      <c r="T47" s="13">
        <f t="shared" si="2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3"/>
        <v>42323.964976851858</v>
      </c>
      <c r="T48" s="13">
        <f t="shared" si="2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3"/>
        <v>41932.819525462961</v>
      </c>
      <c r="T49" s="13">
        <f t="shared" si="2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3"/>
        <v>42033.516898148147</v>
      </c>
      <c r="T50" s="13">
        <f t="shared" si="2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3"/>
        <v>42271.176446759258</v>
      </c>
      <c r="T51" s="13">
        <f t="shared" si="2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3"/>
        <v>41995.752986111111</v>
      </c>
      <c r="T52" s="13">
        <f t="shared" si="2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3"/>
        <v>42196.928668981483</v>
      </c>
      <c r="T53" s="13">
        <f t="shared" si="2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3"/>
        <v>41807.701921296299</v>
      </c>
      <c r="T54" s="13">
        <f t="shared" si="2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3"/>
        <v>41719.549131944441</v>
      </c>
      <c r="T55" s="13">
        <f t="shared" si="2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3"/>
        <v>42333.713206018518</v>
      </c>
      <c r="T56" s="13">
        <f t="shared" si="2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3"/>
        <v>42496.968935185185</v>
      </c>
      <c r="T57" s="13">
        <f t="shared" si="2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3"/>
        <v>42149.548888888887</v>
      </c>
      <c r="T58" s="13">
        <f t="shared" si="2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3"/>
        <v>42089.83289351852</v>
      </c>
      <c r="T59" s="13">
        <f t="shared" si="2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3"/>
        <v>41932.745046296295</v>
      </c>
      <c r="T60" s="13">
        <f t="shared" si="2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3"/>
        <v>42230.23583333334</v>
      </c>
      <c r="T61" s="13">
        <f t="shared" si="2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3"/>
        <v>41701.901817129627</v>
      </c>
      <c r="T62" s="13">
        <f t="shared" si="2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3"/>
        <v>41409.814317129632</v>
      </c>
      <c r="T63" s="13">
        <f t="shared" si="2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3"/>
        <v>41311.799513888887</v>
      </c>
      <c r="T64" s="13">
        <f t="shared" si="2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3"/>
        <v>41612.912187499998</v>
      </c>
      <c r="T65" s="13">
        <f t="shared" si="2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3"/>
        <v>41433.01829861111</v>
      </c>
      <c r="T66" s="13">
        <f t="shared" si="2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 *100,0)</f>
        <v>108</v>
      </c>
      <c r="P67">
        <f t="shared" ref="P67:P130" si="6">IFERROR(ROUND(E67/L67,2),"No Backers")</f>
        <v>132.05000000000001</v>
      </c>
      <c r="Q67" t="s">
        <v>8308</v>
      </c>
      <c r="R67" t="s">
        <v>8310</v>
      </c>
      <c r="S67" s="13">
        <f t="shared" ref="S67:S130" si="7">(((J67/60)/60)/24+DATE(1970,1,1))</f>
        <v>41835.821226851855</v>
      </c>
      <c r="T67" s="13">
        <f t="shared" ref="T67:T130" si="8">(((I67/60)/60)/24)+DATE(1970,1,1)</f>
        <v>41862.249305555553</v>
      </c>
      <c r="U67">
        <f t="shared" si="4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ref="U68:U131" si="9">YEAR(S68)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No Backers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No Backers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 *100,0)</f>
        <v>0</v>
      </c>
      <c r="P131" t="str">
        <f t="shared" ref="P131:P194" si="11">IFERROR(ROUND(E131/L131,2),"No Backers")</f>
        <v>No Backers</v>
      </c>
      <c r="Q131" t="s">
        <v>8308</v>
      </c>
      <c r="R131" t="s">
        <v>8311</v>
      </c>
      <c r="S131" s="13">
        <f t="shared" ref="S131:S194" si="12">(((J131/60)/60)/24+DATE(1970,1,1))</f>
        <v>41882.937303240738</v>
      </c>
      <c r="T131" s="13">
        <f t="shared" ref="T131:T194" si="13">(((I131/60)/60)/24)+DATE(1970,1,1)</f>
        <v>41942.937303240738</v>
      </c>
      <c r="U131">
        <f t="shared" si="9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No Backers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ref="U132:U195" si="14">YEAR(S132)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No Backers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No Backers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No Backers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No Backers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No Backers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No Backers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No Backers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No Backers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No Backers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No Backers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No Backers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No Backers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No Backers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No Backers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No Backers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No Backers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No Backers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No Backers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No Backers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No Backers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 *100,0)</f>
        <v>0</v>
      </c>
      <c r="P195" t="str">
        <f t="shared" ref="P195:P258" si="16">IFERROR(ROUND(E195/L195,2),"No Backers")</f>
        <v>No Backers</v>
      </c>
      <c r="Q195" t="s">
        <v>8308</v>
      </c>
      <c r="R195" t="s">
        <v>8312</v>
      </c>
      <c r="S195" s="13">
        <f t="shared" ref="S195:S258" si="17">(((J195/60)/60)/24+DATE(1970,1,1))</f>
        <v>41911.934791666667</v>
      </c>
      <c r="T195" s="13">
        <f t="shared" ref="T195:T258" si="18">(((I195/60)/60)/24)+DATE(1970,1,1)</f>
        <v>41971.976458333331</v>
      </c>
      <c r="U195">
        <f t="shared" si="14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ref="U196:U259" si="19">YEAR(S196)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No Backers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No Backers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No Backers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No Backers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No Backers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No Backers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No Backers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No Backers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No Backers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No Backers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No Backers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No Backers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No Backers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No Backers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No Backers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No Backers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No Backers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No Backers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 *100,0)</f>
        <v>107</v>
      </c>
      <c r="P259">
        <f t="shared" ref="P259:P322" si="21">IFERROR(ROUND(E259/L259,2),"No Backers")</f>
        <v>66.7</v>
      </c>
      <c r="Q259" t="s">
        <v>8308</v>
      </c>
      <c r="R259" t="s">
        <v>8313</v>
      </c>
      <c r="S259" s="13">
        <f t="shared" ref="S259:S322" si="22">(((J259/60)/60)/24+DATE(1970,1,1))</f>
        <v>42479.626875000002</v>
      </c>
      <c r="T259" s="13">
        <f t="shared" ref="T259:T322" si="23">(((I259/60)/60)/24)+DATE(1970,1,1)</f>
        <v>42509.626875000002</v>
      </c>
      <c r="U259">
        <f t="shared" si="19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ref="U260:U323" si="24">YEAR(S260)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 *100,0)</f>
        <v>103</v>
      </c>
      <c r="P323">
        <f t="shared" ref="P323:P386" si="26">IFERROR(ROUND(E323/L323,2),"No Backers")</f>
        <v>106.62</v>
      </c>
      <c r="Q323" t="s">
        <v>8308</v>
      </c>
      <c r="R323" t="s">
        <v>8313</v>
      </c>
      <c r="S323" s="13">
        <f t="shared" ref="S323:S386" si="27">(((J323/60)/60)/24+DATE(1970,1,1))</f>
        <v>42647.446597222224</v>
      </c>
      <c r="T323" s="13">
        <f t="shared" ref="T323:T386" si="28">(((I323/60)/60)/24)+DATE(1970,1,1)</f>
        <v>42682.488263888896</v>
      </c>
      <c r="U323">
        <f t="shared" si="24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ref="U324:U387" si="29">YEAR(S324)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 *100,0)</f>
        <v>106</v>
      </c>
      <c r="P387">
        <f t="shared" ref="P387:P450" si="31">IFERROR(ROUND(E387/L387,2),"No Backers")</f>
        <v>111.8</v>
      </c>
      <c r="Q387" t="s">
        <v>8308</v>
      </c>
      <c r="R387" t="s">
        <v>8313</v>
      </c>
      <c r="S387" s="13">
        <f t="shared" ref="S387:S450" si="32">(((J387/60)/60)/24+DATE(1970,1,1))</f>
        <v>41934.584502314814</v>
      </c>
      <c r="T387" s="13">
        <f t="shared" ref="T387:T450" si="33">(((I387/60)/60)/24)+DATE(1970,1,1)</f>
        <v>41964.626168981486</v>
      </c>
      <c r="U387">
        <f t="shared" si="29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ref="U388:U451" si="34">YEAR(S388)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No Backers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No Backers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No Backers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No Backers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No Backers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No Backers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No Backers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 *100,0)</f>
        <v>2</v>
      </c>
      <c r="P451">
        <f t="shared" ref="P451:P514" si="36">IFERROR(ROUND(E451/L451,2),"No Backers")</f>
        <v>9</v>
      </c>
      <c r="Q451" t="s">
        <v>8308</v>
      </c>
      <c r="R451" t="s">
        <v>8314</v>
      </c>
      <c r="S451" s="13">
        <f t="shared" ref="S451:S514" si="37">(((J451/60)/60)/24+DATE(1970,1,1))</f>
        <v>41534.568113425928</v>
      </c>
      <c r="T451" s="13">
        <f t="shared" ref="T451:T514" si="38">(((I451/60)/60)/24)+DATE(1970,1,1)</f>
        <v>41564.568113425928</v>
      </c>
      <c r="U451">
        <f t="shared" si="34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ref="U452:U515" si="39">YEAR(S452)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No Backers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No Backers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No Backers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No Backers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No Backers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No Backers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No Backers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No Backers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No Backers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No Backers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No Backers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No Backers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No Backers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No Backers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No Backers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No Backers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No Backers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No Backers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 *100,0)</f>
        <v>14</v>
      </c>
      <c r="P515">
        <f t="shared" ref="P515:P578" si="41">IFERROR(ROUND(E515/L515,2),"No Backers")</f>
        <v>102.38</v>
      </c>
      <c r="Q515" t="s">
        <v>8308</v>
      </c>
      <c r="R515" t="s">
        <v>8314</v>
      </c>
      <c r="S515" s="13">
        <f t="shared" ref="S515:S578" si="42">(((J515/60)/60)/24+DATE(1970,1,1))</f>
        <v>42552.653993055559</v>
      </c>
      <c r="T515" s="13">
        <f t="shared" ref="T515:T578" si="43">(((I515/60)/60)/24)+DATE(1970,1,1)</f>
        <v>42597.291666666672</v>
      </c>
      <c r="U515">
        <f t="shared" si="39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ref="U516:U579" si="44">YEAR(S516)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No Backers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No Backers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No Backers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No Backers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No Backers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No Backers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No Backers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No Backers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No Backers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No Backers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 *100,0)</f>
        <v>0</v>
      </c>
      <c r="P579">
        <f t="shared" ref="P579:P642" si="46">IFERROR(ROUND(E579/L579,2),"No Backers")</f>
        <v>10</v>
      </c>
      <c r="Q579" t="s">
        <v>8317</v>
      </c>
      <c r="R579" t="s">
        <v>8318</v>
      </c>
      <c r="S579" s="13">
        <f t="shared" ref="S579:S642" si="47">(((J579/60)/60)/24+DATE(1970,1,1))</f>
        <v>42450.589143518519</v>
      </c>
      <c r="T579" s="13">
        <f t="shared" ref="T579:T642" si="48">(((I579/60)/60)/24)+DATE(1970,1,1)</f>
        <v>42510.589143518519</v>
      </c>
      <c r="U579">
        <f t="shared" si="44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ref="U580:U643" si="49"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No Backers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No Backers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No Backers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No Backers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No Backers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No Backers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No Backers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No Backers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No Backers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No Backers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No Backers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No Backers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No Backers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No Backers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No Backers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No Backers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No Backers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No Backers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No Backers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 *100,0)</f>
        <v>119</v>
      </c>
      <c r="P643">
        <f t="shared" ref="P643:P706" si="51">IFERROR(ROUND(E643/L643,2),"No Backers")</f>
        <v>151.32</v>
      </c>
      <c r="Q643" t="s">
        <v>8317</v>
      </c>
      <c r="R643" t="s">
        <v>8319</v>
      </c>
      <c r="S643" s="13">
        <f t="shared" ref="S643:S706" si="52">(((J643/60)/60)/24+DATE(1970,1,1))</f>
        <v>42199.57</v>
      </c>
      <c r="T643" s="13">
        <f t="shared" ref="T643:T706" si="53">(((I643/60)/60)/24)+DATE(1970,1,1)</f>
        <v>42229.57</v>
      </c>
      <c r="U643">
        <f t="shared" si="49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ref="U644:U707" si="54">YEAR(S644)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No Backers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 *100,0)</f>
        <v>1</v>
      </c>
      <c r="P707">
        <f t="shared" ref="P707:P770" si="56">IFERROR(ROUND(E707/L707,2),"No Backers")</f>
        <v>195.4</v>
      </c>
      <c r="Q707" t="s">
        <v>8317</v>
      </c>
      <c r="R707" t="s">
        <v>8319</v>
      </c>
      <c r="S707" s="13">
        <f t="shared" ref="S707:S770" si="57">(((J707/60)/60)/24+DATE(1970,1,1))</f>
        <v>42726.491643518515</v>
      </c>
      <c r="T707" s="13">
        <f t="shared" ref="T707:T770" si="58">(((I707/60)/60)/24)+DATE(1970,1,1)</f>
        <v>42756.491643518515</v>
      </c>
      <c r="U707">
        <f t="shared" si="54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No Backers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ref="U708:U771" si="59">YEAR(S708)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No Backers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No Backers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No Backers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No Backers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No Backers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str">
        <f t="shared" si="56"/>
        <v>No Backers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 *100,0)</f>
        <v>41</v>
      </c>
      <c r="P771">
        <f t="shared" ref="P771:P834" si="61">IFERROR(ROUND(E771/L771,2),"No Backers")</f>
        <v>31.85</v>
      </c>
      <c r="Q771" t="s">
        <v>8320</v>
      </c>
      <c r="R771" t="s">
        <v>8322</v>
      </c>
      <c r="S771" s="13">
        <f t="shared" ref="S771:S834" si="62">(((J771/60)/60)/24+DATE(1970,1,1))</f>
        <v>41604.996458333335</v>
      </c>
      <c r="T771" s="13">
        <f t="shared" ref="T771:T834" si="63">(((I771/60)/60)/24)+DATE(1970,1,1)</f>
        <v>41634.996458333335</v>
      </c>
      <c r="U771">
        <f t="shared" si="59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No Backers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ref="U772:U835" si="64"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 *100,0)</f>
        <v>102</v>
      </c>
      <c r="P835">
        <f t="shared" ref="P835:P898" si="66">IFERROR(ROUND(E835/L835,2),"No Backers")</f>
        <v>148.78</v>
      </c>
      <c r="Q835" t="s">
        <v>8323</v>
      </c>
      <c r="R835" t="s">
        <v>8324</v>
      </c>
      <c r="S835" s="13">
        <f t="shared" ref="S835:S898" si="67">(((J835/60)/60)/24+DATE(1970,1,1))</f>
        <v>41718.878182870372</v>
      </c>
      <c r="T835" s="13">
        <f t="shared" ref="T835:T898" si="68">(((I835/60)/60)/24)+DATE(1970,1,1)</f>
        <v>41748.878182870372</v>
      </c>
      <c r="U835">
        <f t="shared" si="64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ref="U836:U899" si="69">YEAR(S836)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No Backers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No Backers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 *100,0)</f>
        <v>0</v>
      </c>
      <c r="P899" t="str">
        <f t="shared" ref="P899:P962" si="71">IFERROR(ROUND(E899/L899,2),"No Backers")</f>
        <v>No Backers</v>
      </c>
      <c r="Q899" t="s">
        <v>8323</v>
      </c>
      <c r="R899" t="s">
        <v>8327</v>
      </c>
      <c r="S899" s="13">
        <f t="shared" ref="S899:S962" si="72">(((J899/60)/60)/24+DATE(1970,1,1))</f>
        <v>41211.688750000001</v>
      </c>
      <c r="T899" s="13">
        <f t="shared" ref="T899:T962" si="73">(((I899/60)/60)/24)+DATE(1970,1,1)</f>
        <v>41241.730416666665</v>
      </c>
      <c r="U899">
        <f t="shared" si="69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ref="U900:U963" si="74"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No Backers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No Backers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No Backers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No Backers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No Backers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No Backers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No Backers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No Backers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No Backers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No Backers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No Backers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No Backers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No Backers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 *100,0)</f>
        <v>42</v>
      </c>
      <c r="P963">
        <f t="shared" ref="P963:P1026" si="76">IFERROR(ROUND(E963/L963,2),"No Backers")</f>
        <v>364.35</v>
      </c>
      <c r="Q963" t="s">
        <v>8317</v>
      </c>
      <c r="R963" t="s">
        <v>8319</v>
      </c>
      <c r="S963" s="13">
        <f t="shared" ref="S963:S1026" si="77">(((J963/60)/60)/24+DATE(1970,1,1))</f>
        <v>42740.693692129629</v>
      </c>
      <c r="T963" s="13">
        <f t="shared" ref="T963:T1026" si="78">(((I963/60)/60)/24)+DATE(1970,1,1)</f>
        <v>42786.791666666672</v>
      </c>
      <c r="U963">
        <f t="shared" si="74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ref="U964:U1027" si="79"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No Backers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 *100,0)</f>
        <v>110</v>
      </c>
      <c r="P1027">
        <f t="shared" ref="P1027:P1090" si="81">IFERROR(ROUND(E1027/L1027,2),"No Backers")</f>
        <v>71.849999999999994</v>
      </c>
      <c r="Q1027" t="s">
        <v>8323</v>
      </c>
      <c r="R1027" t="s">
        <v>8328</v>
      </c>
      <c r="S1027" s="13">
        <f t="shared" ref="S1027:S1090" si="82">(((J1027/60)/60)/24+DATE(1970,1,1))</f>
        <v>42049.833761574075</v>
      </c>
      <c r="T1027" s="13">
        <f t="shared" ref="T1027:T1090" si="83">(((I1027/60)/60)/24)+DATE(1970,1,1)</f>
        <v>42079.792094907403</v>
      </c>
      <c r="U1027">
        <f t="shared" si="79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ref="U1028:U1091" si="84">YEAR(S1028)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No Backers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No Backers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No Backers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No Backers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No Backers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No Backers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No Backers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No Backers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No Backers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No Backers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No Backers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No Backers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No Backers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No Backers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No Backers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No Backers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No Backers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 *100,0)</f>
        <v>8</v>
      </c>
      <c r="P1091">
        <f t="shared" ref="P1091:P1154" si="86">IFERROR(ROUND(E1091/L1091,2),"No Backers")</f>
        <v>23.96</v>
      </c>
      <c r="Q1091" t="s">
        <v>8331</v>
      </c>
      <c r="R1091" t="s">
        <v>8332</v>
      </c>
      <c r="S1091" s="13">
        <f t="shared" ref="S1091:S1154" si="87">(((J1091/60)/60)/24+DATE(1970,1,1))</f>
        <v>42151.189525462964</v>
      </c>
      <c r="T1091" s="13">
        <f t="shared" ref="T1091:T1154" si="88">(((I1091/60)/60)/24)+DATE(1970,1,1)</f>
        <v>42181.189525462964</v>
      </c>
      <c r="U1091">
        <f t="shared" si="84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ref="U1092:U1155" si="89"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No Backers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No Backers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No Backers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No Backers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No Backers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No Backers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No Backers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No Backers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No Backers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No Backers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No Backers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 *100,0)</f>
        <v>1</v>
      </c>
      <c r="P1155">
        <f t="shared" ref="P1155:P1218" si="91">IFERROR(ROUND(E1155/L1155,2),"No Backers")</f>
        <v>50</v>
      </c>
      <c r="Q1155" t="s">
        <v>8334</v>
      </c>
      <c r="R1155" t="s">
        <v>8335</v>
      </c>
      <c r="S1155" s="13">
        <f t="shared" ref="S1155:S1218" si="92">(((J1155/60)/60)/24+DATE(1970,1,1))</f>
        <v>42143.714178240742</v>
      </c>
      <c r="T1155" s="13">
        <f t="shared" ref="T1155:T1218" si="93">(((I1155/60)/60)/24)+DATE(1970,1,1)</f>
        <v>42173.714178240742</v>
      </c>
      <c r="U1155">
        <f t="shared" si="89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ref="U1156:U1219" si="94">YEAR(S1156)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No Backers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No Backers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No Backers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No Backers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No Backers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No Backers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No Backers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 *100,0)</f>
        <v>103</v>
      </c>
      <c r="P1219">
        <f t="shared" ref="P1219:P1282" si="96">IFERROR(ROUND(E1219/L1219,2),"No Backers")</f>
        <v>148.57</v>
      </c>
      <c r="Q1219" t="s">
        <v>8336</v>
      </c>
      <c r="R1219" t="s">
        <v>8337</v>
      </c>
      <c r="S1219" s="13">
        <f t="shared" ref="S1219:S1282" si="97">(((J1219/60)/60)/24+DATE(1970,1,1))</f>
        <v>42535.809490740736</v>
      </c>
      <c r="T1219" s="13">
        <f t="shared" ref="T1219:T1282" si="98">(((I1219/60)/60)/24)+DATE(1970,1,1)</f>
        <v>42565.809490740736</v>
      </c>
      <c r="U1219">
        <f t="shared" si="94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ref="U1220:U1283" si="99"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No Backers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No Backers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No Backers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No Backers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No Backers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No Backers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No Backers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 *100,0)</f>
        <v>111</v>
      </c>
      <c r="P1283">
        <f t="shared" ref="P1283:P1346" si="101">IFERROR(ROUND(E1283/L1283,2),"No Backers")</f>
        <v>104.73</v>
      </c>
      <c r="Q1283" t="s">
        <v>8323</v>
      </c>
      <c r="R1283" t="s">
        <v>8324</v>
      </c>
      <c r="S1283" s="13">
        <f t="shared" ref="S1283:S1346" si="102">(((J1283/60)/60)/24+DATE(1970,1,1))</f>
        <v>41463.743472222224</v>
      </c>
      <c r="T1283" s="13">
        <f t="shared" ref="T1283:T1346" si="103">(((I1283/60)/60)/24)+DATE(1970,1,1)</f>
        <v>41483.743472222224</v>
      </c>
      <c r="U1283">
        <f t="shared" si="99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ref="U1284:U1347" si="104"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No Backers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No Backers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No Backers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 *100,0)</f>
        <v>125</v>
      </c>
      <c r="P1347">
        <f t="shared" ref="P1347:P1410" si="106">IFERROR(ROUND(E1347/L1347,2),"No Backers")</f>
        <v>53.57</v>
      </c>
      <c r="Q1347" t="s">
        <v>8320</v>
      </c>
      <c r="R1347" t="s">
        <v>8321</v>
      </c>
      <c r="S1347" s="13">
        <f t="shared" ref="S1347:S1410" si="107">(((J1347/60)/60)/24+DATE(1970,1,1))</f>
        <v>41799.814340277779</v>
      </c>
      <c r="T1347" s="13">
        <f t="shared" ref="T1347:T1410" si="108">(((I1347/60)/60)/24)+DATE(1970,1,1)</f>
        <v>41834.814340277779</v>
      </c>
      <c r="U1347">
        <f t="shared" si="104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ref="U1348:U1411" si="109">YEAR(S1348)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 *100,0)</f>
        <v>0</v>
      </c>
      <c r="P1411" t="str">
        <f t="shared" ref="P1411:P1474" si="111">IFERROR(ROUND(E1411/L1411,2),"No Backers")</f>
        <v>No Backers</v>
      </c>
      <c r="Q1411" t="s">
        <v>8320</v>
      </c>
      <c r="R1411" t="s">
        <v>8339</v>
      </c>
      <c r="S1411" s="13">
        <f t="shared" ref="S1411:S1474" si="112">(((J1411/60)/60)/24+DATE(1970,1,1))</f>
        <v>41945.133506944447</v>
      </c>
      <c r="T1411" s="13">
        <f t="shared" ref="T1411:T1474" si="113">(((I1411/60)/60)/24)+DATE(1970,1,1)</f>
        <v>42005.175173611111</v>
      </c>
      <c r="U1411">
        <f t="shared" si="109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ref="U1412:U1475" si="114"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No Backers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No Backers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No Backers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No Backers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No Backers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No Backers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No Backers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No Backers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No Backers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No Backers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No Backers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No Backers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No Backers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No Backers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No Backers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No Backers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No Backers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No Backers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 *100,0)</f>
        <v>121</v>
      </c>
      <c r="P1475">
        <f t="shared" ref="P1475:P1538" si="116">IFERROR(ROUND(E1475/L1475,2),"No Backers")</f>
        <v>38.46</v>
      </c>
      <c r="Q1475" t="s">
        <v>8320</v>
      </c>
      <c r="R1475" t="s">
        <v>8340</v>
      </c>
      <c r="S1475" s="13">
        <f t="shared" ref="S1475:S1538" si="117">(((J1475/60)/60)/24+DATE(1970,1,1))</f>
        <v>40939.979618055557</v>
      </c>
      <c r="T1475" s="13">
        <f t="shared" ref="T1475:T1538" si="118">(((I1475/60)/60)/24)+DATE(1970,1,1)</f>
        <v>40969.979618055557</v>
      </c>
      <c r="U1475">
        <f t="shared" si="114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ref="U1476:U1539" si="119"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No Backers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No Backers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No Backers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No Backers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No Backers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No Backers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 *100,0)</f>
        <v>180</v>
      </c>
      <c r="P1539">
        <f t="shared" ref="P1539:P1602" si="121">IFERROR(ROUND(E1539/L1539,2),"No Backers")</f>
        <v>96.38</v>
      </c>
      <c r="Q1539" t="s">
        <v>8336</v>
      </c>
      <c r="R1539" t="s">
        <v>8337</v>
      </c>
      <c r="S1539" s="13">
        <f t="shared" ref="S1539:S1602" si="122">(((J1539/60)/60)/24+DATE(1970,1,1))</f>
        <v>42552.315127314811</v>
      </c>
      <c r="T1539" s="13">
        <f t="shared" ref="T1539:T1602" si="123">(((I1539/60)/60)/24)+DATE(1970,1,1)</f>
        <v>42588.75</v>
      </c>
      <c r="U1539">
        <f t="shared" si="119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ref="U1540:U1603" si="124"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No Backers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No Backers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No Backers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No Backers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No Backers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No Backers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No Backers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No Backers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No Backers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No Backers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No Backers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No Backers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No Backers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No Backers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No Backers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No Backers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 *100,0)</f>
        <v>108</v>
      </c>
      <c r="P1603">
        <f t="shared" ref="P1603:P1666" si="126">IFERROR(ROUND(E1603/L1603,2),"No Backers")</f>
        <v>48.33</v>
      </c>
      <c r="Q1603" t="s">
        <v>8323</v>
      </c>
      <c r="R1603" t="s">
        <v>8324</v>
      </c>
      <c r="S1603" s="13">
        <f t="shared" ref="S1603:S1666" si="127">(((J1603/60)/60)/24+DATE(1970,1,1))</f>
        <v>40638.092974537038</v>
      </c>
      <c r="T1603" s="13">
        <f t="shared" ref="T1603:T1666" si="128">(((I1603/60)/60)/24)+DATE(1970,1,1)</f>
        <v>40668.092974537038</v>
      </c>
      <c r="U1603">
        <f t="shared" si="124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ref="U1604:U1667" si="129">YEAR(S1604)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 *100,0)</f>
        <v>119</v>
      </c>
      <c r="P1667">
        <f t="shared" ref="P1667:P1730" si="131">IFERROR(ROUND(E1667/L1667,2),"No Backers")</f>
        <v>44.96</v>
      </c>
      <c r="Q1667" t="s">
        <v>8323</v>
      </c>
      <c r="R1667" t="s">
        <v>8344</v>
      </c>
      <c r="S1667" s="13">
        <f t="shared" ref="S1667:S1730" si="132">(((J1667/60)/60)/24+DATE(1970,1,1))</f>
        <v>40564.649456018517</v>
      </c>
      <c r="T1667" s="13">
        <f t="shared" ref="T1667:T1730" si="133">(((I1667/60)/60)/24)+DATE(1970,1,1)</f>
        <v>40596.125</v>
      </c>
      <c r="U1667">
        <f t="shared" si="129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ref="U1668:U1731" si="134"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No Backers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No Backers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No Backers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No Backers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No Backers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No Backers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No Backers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No Backers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 *100,0)</f>
        <v>0</v>
      </c>
      <c r="P1731" t="str">
        <f t="shared" ref="P1731:P1794" si="136">IFERROR(ROUND(E1731/L1731,2),"No Backers")</f>
        <v>No Backers</v>
      </c>
      <c r="Q1731" t="s">
        <v>8323</v>
      </c>
      <c r="R1731" t="s">
        <v>8345</v>
      </c>
      <c r="S1731" s="13">
        <f t="shared" ref="S1731:S1794" si="137">(((J1731/60)/60)/24+DATE(1970,1,1))</f>
        <v>42471.052152777775</v>
      </c>
      <c r="T1731" s="13">
        <f t="shared" ref="T1731:T1794" si="138">(((I1731/60)/60)/24)+DATE(1970,1,1)</f>
        <v>42531.052152777775</v>
      </c>
      <c r="U1731">
        <f t="shared" si="134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No Backers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ref="U1732:U1795" si="139"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No Backers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No Backers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No Backers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No Backers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No Backers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 *100,0)</f>
        <v>1</v>
      </c>
      <c r="P1795">
        <f t="shared" ref="P1795:P1858" si="141">IFERROR(ROUND(E1795/L1795,2),"No Backers")</f>
        <v>20</v>
      </c>
      <c r="Q1795" t="s">
        <v>8336</v>
      </c>
      <c r="R1795" t="s">
        <v>8337</v>
      </c>
      <c r="S1795" s="13">
        <f t="shared" ref="S1795:S1858" si="142">(((J1795/60)/60)/24+DATE(1970,1,1))</f>
        <v>41940.89166666667</v>
      </c>
      <c r="T1795" s="13">
        <f t="shared" ref="T1795:T1858" si="143">(((I1795/60)/60)/24)+DATE(1970,1,1)</f>
        <v>41970.933333333334</v>
      </c>
      <c r="U1795">
        <f t="shared" si="139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ref="U1796:U1859" si="144"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No Backers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No Backers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No Backers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 *100,0)</f>
        <v>100</v>
      </c>
      <c r="P1859">
        <f t="shared" ref="P1859:P1922" si="146">IFERROR(ROUND(E1859/L1859,2),"No Backers")</f>
        <v>136.36000000000001</v>
      </c>
      <c r="Q1859" t="s">
        <v>8323</v>
      </c>
      <c r="R1859" t="s">
        <v>8324</v>
      </c>
      <c r="S1859" s="13">
        <f t="shared" ref="S1859:S1922" si="147">(((J1859/60)/60)/24+DATE(1970,1,1))</f>
        <v>41864.76866898148</v>
      </c>
      <c r="T1859" s="13">
        <f t="shared" ref="T1859:T1922" si="148">(((I1859/60)/60)/24)+DATE(1970,1,1)</f>
        <v>41894.76866898148</v>
      </c>
      <c r="U1859">
        <f t="shared" si="144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ref="U1860:U1923" si="149"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No Backers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No Backers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No Backers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No Backers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No Backers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 *100,0)</f>
        <v>137</v>
      </c>
      <c r="P1923">
        <f t="shared" ref="P1923:P1986" si="151">IFERROR(ROUND(E1923/L1923,2),"No Backers")</f>
        <v>54</v>
      </c>
      <c r="Q1923" t="s">
        <v>8323</v>
      </c>
      <c r="R1923" t="s">
        <v>8327</v>
      </c>
      <c r="S1923" s="13">
        <f t="shared" ref="S1923:S1986" si="152">(((J1923/60)/60)/24+DATE(1970,1,1))</f>
        <v>41074.221562500003</v>
      </c>
      <c r="T1923" s="13">
        <f t="shared" ref="T1923:T1986" si="153">(((I1923/60)/60)/24)+DATE(1970,1,1)</f>
        <v>41104.221562500003</v>
      </c>
      <c r="U1923">
        <f t="shared" si="149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ref="U1924:U1987" si="154"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No Backers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 *100,0)</f>
        <v>3</v>
      </c>
      <c r="P1987">
        <f t="shared" ref="P1987:P2050" si="156">IFERROR(ROUND(E1987/L1987,2),"No Backers")</f>
        <v>12.75</v>
      </c>
      <c r="Q1987" t="s">
        <v>8336</v>
      </c>
      <c r="R1987" t="s">
        <v>8348</v>
      </c>
      <c r="S1987" s="13">
        <f t="shared" ref="S1987:S2050" si="157">(((J1987/60)/60)/24+DATE(1970,1,1))</f>
        <v>42555.698738425926</v>
      </c>
      <c r="T1987" s="13">
        <f t="shared" ref="T1987:T2050" si="158">(((I1987/60)/60)/24)+DATE(1970,1,1)</f>
        <v>42584.958333333328</v>
      </c>
      <c r="U1987">
        <f t="shared" si="154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ref="U1988:U2051" si="159"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No Backers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No Backers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No Backers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No Backers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 *100,0)</f>
        <v>120</v>
      </c>
      <c r="P2051">
        <f t="shared" ref="P2051:P2114" si="161">IFERROR(ROUND(E2051/L2051,2),"No Backers")</f>
        <v>80.989999999999995</v>
      </c>
      <c r="Q2051" t="s">
        <v>8317</v>
      </c>
      <c r="R2051" t="s">
        <v>8347</v>
      </c>
      <c r="S2051" s="13">
        <f t="shared" ref="S2051:S2114" si="162">(((J2051/60)/60)/24+DATE(1970,1,1))</f>
        <v>41575.527349537035</v>
      </c>
      <c r="T2051" s="13">
        <f t="shared" ref="T2051:T2114" si="163">(((I2051/60)/60)/24)+DATE(1970,1,1)</f>
        <v>41610.957638888889</v>
      </c>
      <c r="U2051">
        <f t="shared" si="159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ref="U2052:U2115" si="164"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 *100,0)</f>
        <v>105</v>
      </c>
      <c r="P2115">
        <f t="shared" ref="P2115:P2178" si="166">IFERROR(ROUND(E2115/L2115,2),"No Backers")</f>
        <v>68.599999999999994</v>
      </c>
      <c r="Q2115" t="s">
        <v>8323</v>
      </c>
      <c r="R2115" t="s">
        <v>8327</v>
      </c>
      <c r="S2115" s="13">
        <f t="shared" ref="S2115:S2178" si="167">(((J2115/60)/60)/24+DATE(1970,1,1))</f>
        <v>41870.86546296296</v>
      </c>
      <c r="T2115" s="13">
        <f t="shared" ref="T2115:T2178" si="168">(((I2115/60)/60)/24)+DATE(1970,1,1)</f>
        <v>41905.86546296296</v>
      </c>
      <c r="U2115">
        <f t="shared" si="164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ref="U2116:U2179" si="169"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No Backers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No Backers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 *100,0)</f>
        <v>100</v>
      </c>
      <c r="P2179">
        <f t="shared" ref="P2179:P2242" si="171">IFERROR(ROUND(E2179/L2179,2),"No Backers")</f>
        <v>65.87</v>
      </c>
      <c r="Q2179" t="s">
        <v>8323</v>
      </c>
      <c r="R2179" t="s">
        <v>8324</v>
      </c>
      <c r="S2179" s="13">
        <f t="shared" ref="S2179:S2242" si="172">(((J2179/60)/60)/24+DATE(1970,1,1))</f>
        <v>42502.250775462962</v>
      </c>
      <c r="T2179" s="13">
        <f t="shared" ref="T2179:T2242" si="173">(((I2179/60)/60)/24)+DATE(1970,1,1)</f>
        <v>42527.250775462962</v>
      </c>
      <c r="U2179">
        <f t="shared" si="169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ref="U2180:U2243" si="174"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 *100,0)</f>
        <v>806</v>
      </c>
      <c r="P2243">
        <f t="shared" ref="P2243:P2306" si="176">IFERROR(ROUND(E2243/L2243,2),"No Backers")</f>
        <v>49.47</v>
      </c>
      <c r="Q2243" t="s">
        <v>8331</v>
      </c>
      <c r="R2243" t="s">
        <v>8349</v>
      </c>
      <c r="S2243" s="13">
        <f t="shared" ref="S2243:S2306" si="177">(((J2243/60)/60)/24+DATE(1970,1,1))</f>
        <v>42766.827546296292</v>
      </c>
      <c r="T2243" s="13">
        <f t="shared" ref="T2243:T2306" si="178">(((I2243/60)/60)/24)+DATE(1970,1,1)</f>
        <v>42796.827546296292</v>
      </c>
      <c r="U2243">
        <f t="shared" si="174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ref="U2244:U2307" si="179">YEAR(S2244)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 *100,0)</f>
        <v>101</v>
      </c>
      <c r="P2307">
        <f t="shared" ref="P2307:P2370" si="181">IFERROR(ROUND(E2307/L2307,2),"No Backers")</f>
        <v>109.11</v>
      </c>
      <c r="Q2307" t="s">
        <v>8323</v>
      </c>
      <c r="R2307" t="s">
        <v>8327</v>
      </c>
      <c r="S2307" s="13">
        <f t="shared" ref="S2307:S2370" si="182">(((J2307/60)/60)/24+DATE(1970,1,1))</f>
        <v>41834.695277777777</v>
      </c>
      <c r="T2307" s="13">
        <f t="shared" ref="T2307:T2370" si="183">(((I2307/60)/60)/24)+DATE(1970,1,1)</f>
        <v>41859.75</v>
      </c>
      <c r="U2307">
        <f t="shared" si="179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ref="U2308:U2371" si="184"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No Backers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No Backers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No Backers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No Backers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No Backers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No Backers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No Backers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No Backers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No Backers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No Backers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No Backers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No Backers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No Backers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No Backers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 *100,0)</f>
        <v>0</v>
      </c>
      <c r="P2371" t="str">
        <f t="shared" ref="P2371:P2434" si="186">IFERROR(ROUND(E2371/L2371,2),"No Backers")</f>
        <v>No Backers</v>
      </c>
      <c r="Q2371" t="s">
        <v>8317</v>
      </c>
      <c r="R2371" t="s">
        <v>8318</v>
      </c>
      <c r="S2371" s="13">
        <f t="shared" ref="S2371:S2434" si="187">(((J2371/60)/60)/24+DATE(1970,1,1))</f>
        <v>42380.812627314815</v>
      </c>
      <c r="T2371" s="13">
        <f t="shared" ref="T2371:T2434" si="188">(((I2371/60)/60)/24)+DATE(1970,1,1)</f>
        <v>42410.812627314815</v>
      </c>
      <c r="U2371">
        <f t="shared" si="184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ref="U2372:U2435" si="189">YEAR(S2372)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No Backers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No Backers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No Backers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No Backers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No Backers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No Backers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No Backers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No Backers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No Backers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No Backers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No Backers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No Backers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No Backers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No Backers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No Backers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No Backers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No Backers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No Backers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No Backers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 *100,0)</f>
        <v>0</v>
      </c>
      <c r="P2435" t="str">
        <f t="shared" ref="P2435:P2498" si="191">IFERROR(ROUND(E2435/L2435,2),"No Backers")</f>
        <v>No Backers</v>
      </c>
      <c r="Q2435" t="s">
        <v>8334</v>
      </c>
      <c r="R2435" t="s">
        <v>8335</v>
      </c>
      <c r="S2435" s="13">
        <f t="shared" ref="S2435:S2498" si="192">(((J2435/60)/60)/24+DATE(1970,1,1))</f>
        <v>42397.89980324074</v>
      </c>
      <c r="T2435" s="13">
        <f t="shared" ref="T2435:T2498" si="193">(((I2435/60)/60)/24)+DATE(1970,1,1)</f>
        <v>42427.89980324074</v>
      </c>
      <c r="U2435">
        <f t="shared" si="189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ref="U2436:U2499" si="194"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No Backers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No Backers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 *100,0)</f>
        <v>113</v>
      </c>
      <c r="P2499">
        <f t="shared" ref="P2499:P2562" si="196">IFERROR(ROUND(E2499/L2499,2),"No Backers")</f>
        <v>80.55</v>
      </c>
      <c r="Q2499" t="s">
        <v>8323</v>
      </c>
      <c r="R2499" t="s">
        <v>8327</v>
      </c>
      <c r="S2499" s="13">
        <f t="shared" ref="S2499:S2562" si="197">(((J2499/60)/60)/24+DATE(1970,1,1))</f>
        <v>40730.878912037035</v>
      </c>
      <c r="T2499" s="13">
        <f t="shared" ref="T2499:T2562" si="198">(((I2499/60)/60)/24)+DATE(1970,1,1)</f>
        <v>40760.878912037035</v>
      </c>
      <c r="U2499">
        <f t="shared" si="194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ref="U2500:U2563" si="199">YEAR(S2500)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No Backers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No Backers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No Backers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No Backers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No Backers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No Backers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No Backers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No Backers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No Backers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No Backers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No Backers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 *100,0)</f>
        <v>0</v>
      </c>
      <c r="P2563" t="str">
        <f t="shared" ref="P2563:P2626" si="201">IFERROR(ROUND(E2563/L2563,2),"No Backers")</f>
        <v>No Backers</v>
      </c>
      <c r="Q2563" t="s">
        <v>8334</v>
      </c>
      <c r="R2563" t="s">
        <v>8335</v>
      </c>
      <c r="S2563" s="13">
        <f t="shared" ref="S2563:S2626" si="202">(((J2563/60)/60)/24+DATE(1970,1,1))</f>
        <v>42260.528807870374</v>
      </c>
      <c r="T2563" s="13">
        <f t="shared" ref="T2563:T2626" si="203">(((I2563/60)/60)/24)+DATE(1970,1,1)</f>
        <v>42290.528807870374</v>
      </c>
      <c r="U2563">
        <f t="shared" si="199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ref="U2564:U2627" si="204"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No Backers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No Backers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No Backers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No Backers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No Backers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No Backers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No Backers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No Backers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No Backers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No Backers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No Backers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No Backers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No Backers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 *100,0)</f>
        <v>956</v>
      </c>
      <c r="P2627">
        <f t="shared" ref="P2627:P2690" si="206">IFERROR(ROUND(E2627/L2627,2),"No Backers")</f>
        <v>27.58</v>
      </c>
      <c r="Q2627" t="s">
        <v>8317</v>
      </c>
      <c r="R2627" t="s">
        <v>8353</v>
      </c>
      <c r="S2627" s="13">
        <f t="shared" ref="S2627:S2690" si="207">(((J2627/60)/60)/24+DATE(1970,1,1))</f>
        <v>42658.810277777782</v>
      </c>
      <c r="T2627" s="13">
        <f t="shared" ref="T2627:T2690" si="208">(((I2627/60)/60)/24)+DATE(1970,1,1)</f>
        <v>42683.851944444439</v>
      </c>
      <c r="U2627">
        <f t="shared" si="204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ref="U2628:U2691" si="209">YEAR(S2628)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No Backers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No Backers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No Backers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 *100,0)</f>
        <v>0</v>
      </c>
      <c r="P2691">
        <f t="shared" ref="P2691:P2754" si="211">IFERROR(ROUND(E2691/L2691,2),"No Backers")</f>
        <v>1</v>
      </c>
      <c r="Q2691" t="s">
        <v>8334</v>
      </c>
      <c r="R2691" t="s">
        <v>8335</v>
      </c>
      <c r="S2691" s="13">
        <f t="shared" ref="S2691:S2754" si="212">(((J2691/60)/60)/24+DATE(1970,1,1))</f>
        <v>42551.961689814809</v>
      </c>
      <c r="T2691" s="13">
        <f t="shared" ref="T2691:T2754" si="213">(((I2691/60)/60)/24)+DATE(1970,1,1)</f>
        <v>42581.961689814809</v>
      </c>
      <c r="U2691">
        <f t="shared" si="209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ref="U2692:U2755" si="214"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No Backers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No Backers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No Backers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No Backers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 *100,0)</f>
        <v>19</v>
      </c>
      <c r="P2755">
        <f t="shared" ref="P2755:P2818" si="216">IFERROR(ROUND(E2755/L2755,2),"No Backers")</f>
        <v>47.5</v>
      </c>
      <c r="Q2755" t="s">
        <v>8320</v>
      </c>
      <c r="R2755" t="s">
        <v>8356</v>
      </c>
      <c r="S2755" s="13">
        <f t="shared" ref="S2755:S2818" si="217">(((J2755/60)/60)/24+DATE(1970,1,1))</f>
        <v>41117.900729166664</v>
      </c>
      <c r="T2755" s="13">
        <f t="shared" ref="T2755:T2818" si="218">(((I2755/60)/60)/24)+DATE(1970,1,1)</f>
        <v>41147.900729166664</v>
      </c>
      <c r="U2755">
        <f t="shared" si="214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No Backers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ref="U2756:U2819" si="219"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No Backers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No Backers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No Backers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No Backers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No Backers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 *100,0)</f>
        <v>130</v>
      </c>
      <c r="P2819">
        <f t="shared" ref="P2819:P2882" si="221">IFERROR(ROUND(E2819/L2819,2),"No Backers")</f>
        <v>23.64</v>
      </c>
      <c r="Q2819" t="s">
        <v>8315</v>
      </c>
      <c r="R2819" t="s">
        <v>8316</v>
      </c>
      <c r="S2819" s="13">
        <f t="shared" ref="S2819:S2882" si="222">(((J2819/60)/60)/24+DATE(1970,1,1))</f>
        <v>42023.634976851856</v>
      </c>
      <c r="T2819" s="13">
        <f t="shared" ref="T2819:T2882" si="223">(((I2819/60)/60)/24)+DATE(1970,1,1)</f>
        <v>42063.634976851856</v>
      </c>
      <c r="U2819">
        <f t="shared" si="219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ref="U2820:U2883" si="224">YEAR(S2820)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No Backers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No Backers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No Backers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No Backers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No Backers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No Backers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No Backers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No Backers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No Backers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No Backers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 *100,0)</f>
        <v>0</v>
      </c>
      <c r="P2883" t="str">
        <f t="shared" ref="P2883:P2946" si="226">IFERROR(ROUND(E2883/L2883,2),"No Backers")</f>
        <v>No Backers</v>
      </c>
      <c r="Q2883" t="s">
        <v>8315</v>
      </c>
      <c r="R2883" t="s">
        <v>8316</v>
      </c>
      <c r="S2883" s="13">
        <f t="shared" ref="S2883:S2946" si="227">(((J2883/60)/60)/24+DATE(1970,1,1))</f>
        <v>41916.597638888888</v>
      </c>
      <c r="T2883" s="13">
        <f t="shared" ref="T2883:T2946" si="228">(((I2883/60)/60)/24)+DATE(1970,1,1)</f>
        <v>41976.639305555553</v>
      </c>
      <c r="U2883">
        <f t="shared" si="224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ref="U2884:U2947" si="229">YEAR(S2884)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No Backers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No Backers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No Backers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No Backers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 *100,0)</f>
        <v>0</v>
      </c>
      <c r="P2947" t="str">
        <f t="shared" ref="P2947:P3010" si="231">IFERROR(ROUND(E2947/L2947,2),"No Backers")</f>
        <v>No Backers</v>
      </c>
      <c r="Q2947" t="s">
        <v>8315</v>
      </c>
      <c r="R2947" t="s">
        <v>8355</v>
      </c>
      <c r="S2947" s="13">
        <f t="shared" ref="S2947:S3010" si="232">(((J2947/60)/60)/24+DATE(1970,1,1))</f>
        <v>42118.139583333337</v>
      </c>
      <c r="T2947" s="13">
        <f t="shared" ref="T2947:T3010" si="233">(((I2947/60)/60)/24)+DATE(1970,1,1)</f>
        <v>42148.139583333337</v>
      </c>
      <c r="U2947">
        <f t="shared" si="229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ref="U2948:U3011" si="234">YEAR(S2948)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No Backers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No Backers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No Backers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No Backers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No Backers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 *100,0)</f>
        <v>120</v>
      </c>
      <c r="P3011">
        <f t="shared" ref="P3011:P3074" si="236">IFERROR(ROUND(E3011/L3011,2),"No Backers")</f>
        <v>233.9</v>
      </c>
      <c r="Q3011" t="s">
        <v>8315</v>
      </c>
      <c r="R3011" t="s">
        <v>8355</v>
      </c>
      <c r="S3011" s="13">
        <f t="shared" ref="S3011:S3074" si="237">(((J3011/60)/60)/24+DATE(1970,1,1))</f>
        <v>41939.569907407407</v>
      </c>
      <c r="T3011" s="13">
        <f t="shared" ref="T3011:T3074" si="238">(((I3011/60)/60)/24)+DATE(1970,1,1)</f>
        <v>41969.611574074079</v>
      </c>
      <c r="U3011">
        <f t="shared" si="234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ref="U3012:U3075" si="239">YEAR(S3012)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No Backers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No Backers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No Backers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No Backers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 *100,0)</f>
        <v>0</v>
      </c>
      <c r="P3075">
        <f t="shared" ref="P3075:P3138" si="241">IFERROR(ROUND(E3075/L3075,2),"No Backers")</f>
        <v>92.14</v>
      </c>
      <c r="Q3075" t="s">
        <v>8315</v>
      </c>
      <c r="R3075" t="s">
        <v>8355</v>
      </c>
      <c r="S3075" s="13">
        <f t="shared" ref="S3075:S3138" si="242">(((J3075/60)/60)/24+DATE(1970,1,1))</f>
        <v>42111.684027777781</v>
      </c>
      <c r="T3075" s="13">
        <f t="shared" ref="T3075:T3138" si="243">(((I3075/60)/60)/24)+DATE(1970,1,1)</f>
        <v>42169.804861111115</v>
      </c>
      <c r="U3075">
        <f t="shared" si="239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ref="U3076:U3139" si="244">YEAR(S3076)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No Backers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No Backers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No Backers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No Backers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 *100,0)</f>
        <v>3</v>
      </c>
      <c r="P3139">
        <f t="shared" ref="P3139:P3202" si="246">IFERROR(ROUND(E3139/L3139,2),"No Backers")</f>
        <v>50</v>
      </c>
      <c r="Q3139" t="s">
        <v>8315</v>
      </c>
      <c r="R3139" t="s">
        <v>8316</v>
      </c>
      <c r="S3139" s="13">
        <f t="shared" ref="S3139:S3202" si="247">(((J3139/60)/60)/24+DATE(1970,1,1))</f>
        <v>42807.885057870371</v>
      </c>
      <c r="T3139" s="13">
        <f t="shared" ref="T3139:T3202" si="248">(((I3139/60)/60)/24)+DATE(1970,1,1)</f>
        <v>42858.8</v>
      </c>
      <c r="U3139">
        <f t="shared" si="244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No Backers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ref="U3140:U3203" si="249">YEAR(S3140)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No Backers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No Backers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No Backers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No Backers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 *100,0)</f>
        <v>1</v>
      </c>
      <c r="P3203">
        <f t="shared" ref="P3203:P3266" si="251">IFERROR(ROUND(E3203/L3203,2),"No Backers")</f>
        <v>12.5</v>
      </c>
      <c r="Q3203" t="s">
        <v>8315</v>
      </c>
      <c r="R3203" t="s">
        <v>8357</v>
      </c>
      <c r="S3203" s="13">
        <f t="shared" ref="S3203:S3266" si="252">(((J3203/60)/60)/24+DATE(1970,1,1))</f>
        <v>41861.767094907409</v>
      </c>
      <c r="T3203" s="13">
        <f t="shared" ref="T3203:T3266" si="253">(((I3203/60)/60)/24)+DATE(1970,1,1)</f>
        <v>41882.767094907409</v>
      </c>
      <c r="U3203">
        <f t="shared" si="249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ref="U3204:U3267" si="254"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No Backers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No Backers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 *100,0)</f>
        <v>164</v>
      </c>
      <c r="P3267">
        <f t="shared" ref="P3267:P3330" si="256">IFERROR(ROUND(E3267/L3267,2),"No Backers")</f>
        <v>70.290000000000006</v>
      </c>
      <c r="Q3267" t="s">
        <v>8315</v>
      </c>
      <c r="R3267" t="s">
        <v>8316</v>
      </c>
      <c r="S3267" s="13">
        <f t="shared" ref="S3267:S3330" si="257">(((J3267/60)/60)/24+DATE(1970,1,1))</f>
        <v>42311.711979166663</v>
      </c>
      <c r="T3267" s="13">
        <f t="shared" ref="T3267:T3330" si="258">(((I3267/60)/60)/24)+DATE(1970,1,1)</f>
        <v>42341.708333333328</v>
      </c>
      <c r="U3267">
        <f t="shared" si="254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ref="U3268:U3331" si="259">YEAR(S3268)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 *100,0)</f>
        <v>117</v>
      </c>
      <c r="P3331">
        <f t="shared" ref="P3331:P3394" si="261">IFERROR(ROUND(E3331/L3331,2),"No Backers")</f>
        <v>44.92</v>
      </c>
      <c r="Q3331" t="s">
        <v>8315</v>
      </c>
      <c r="R3331" t="s">
        <v>8316</v>
      </c>
      <c r="S3331" s="13">
        <f t="shared" ref="S3331:S3394" si="262">(((J3331/60)/60)/24+DATE(1970,1,1))</f>
        <v>41837.323009259257</v>
      </c>
      <c r="T3331" s="13">
        <f t="shared" ref="T3331:T3394" si="263">(((I3331/60)/60)/24)+DATE(1970,1,1)</f>
        <v>41847.958333333336</v>
      </c>
      <c r="U3331">
        <f t="shared" si="259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ref="U3332:U3395" si="264">YEAR(S3332)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 *100,0)</f>
        <v>106</v>
      </c>
      <c r="P3395">
        <f t="shared" ref="P3395:P3458" si="266">IFERROR(ROUND(E3395/L3395,2),"No Backers")</f>
        <v>36.07</v>
      </c>
      <c r="Q3395" t="s">
        <v>8315</v>
      </c>
      <c r="R3395" t="s">
        <v>8316</v>
      </c>
      <c r="S3395" s="13">
        <f t="shared" ref="S3395:S3458" si="267">(((J3395/60)/60)/24+DATE(1970,1,1))</f>
        <v>41923.921643518523</v>
      </c>
      <c r="T3395" s="13">
        <f t="shared" ref="T3395:T3458" si="268">(((I3395/60)/60)/24)+DATE(1970,1,1)</f>
        <v>41949.031944444447</v>
      </c>
      <c r="U3395">
        <f t="shared" si="264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ref="U3396:U3459" si="269">YEAR(S3396)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 *100,0)</f>
        <v>140</v>
      </c>
      <c r="P3459">
        <f t="shared" ref="P3459:P3522" si="271">IFERROR(ROUND(E3459/L3459,2),"No Backers")</f>
        <v>50.98</v>
      </c>
      <c r="Q3459" t="s">
        <v>8315</v>
      </c>
      <c r="R3459" t="s">
        <v>8316</v>
      </c>
      <c r="S3459" s="13">
        <f t="shared" ref="S3459:S3522" si="272">(((J3459/60)/60)/24+DATE(1970,1,1))</f>
        <v>42016.706678240742</v>
      </c>
      <c r="T3459" s="13">
        <f t="shared" ref="T3459:T3522" si="273">(((I3459/60)/60)/24)+DATE(1970,1,1)</f>
        <v>42047.249305555553</v>
      </c>
      <c r="U3459">
        <f t="shared" si="269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ref="U3460:U3523" si="274">YEAR(S3460)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 *100,0)</f>
        <v>169</v>
      </c>
      <c r="P3523">
        <f t="shared" ref="P3523:P3586" si="276">IFERROR(ROUND(E3523/L3523,2),"No Backers")</f>
        <v>45.62</v>
      </c>
      <c r="Q3523" t="s">
        <v>8315</v>
      </c>
      <c r="R3523" t="s">
        <v>8316</v>
      </c>
      <c r="S3523" s="13">
        <f t="shared" ref="S3523:S3586" si="277">(((J3523/60)/60)/24+DATE(1970,1,1))</f>
        <v>41881.361342592594</v>
      </c>
      <c r="T3523" s="13">
        <f t="shared" ref="T3523:T3586" si="278">(((I3523/60)/60)/24)+DATE(1970,1,1)</f>
        <v>41911.361342592594</v>
      </c>
      <c r="U3523">
        <f t="shared" si="274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ref="U3524:U3587" si="279">YEAR(S3524)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 *100,0)</f>
        <v>119</v>
      </c>
      <c r="P3587">
        <f t="shared" ref="P3587:P3650" si="281">IFERROR(ROUND(E3587/L3587,2),"No Backers")</f>
        <v>176.09</v>
      </c>
      <c r="Q3587" t="s">
        <v>8315</v>
      </c>
      <c r="R3587" t="s">
        <v>8316</v>
      </c>
      <c r="S3587" s="13">
        <f t="shared" ref="S3587:S3650" si="282">(((J3587/60)/60)/24+DATE(1970,1,1))</f>
        <v>41964.716319444444</v>
      </c>
      <c r="T3587" s="13">
        <f t="shared" ref="T3587:T3650" si="283">(((I3587/60)/60)/24)+DATE(1970,1,1)</f>
        <v>41994.716319444444</v>
      </c>
      <c r="U3587">
        <f t="shared" si="279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ref="U3588:U3651" si="284">YEAR(S3588)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No Backers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No Backers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No Backers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No Backers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 *100,0)</f>
        <v>104</v>
      </c>
      <c r="P3651">
        <f t="shared" ref="P3651:P3714" si="286">IFERROR(ROUND(E3651/L3651,2),"No Backers")</f>
        <v>97.5</v>
      </c>
      <c r="Q3651" t="s">
        <v>8315</v>
      </c>
      <c r="R3651" t="s">
        <v>8316</v>
      </c>
      <c r="S3651" s="13">
        <f t="shared" ref="S3651:S3714" si="287">(((J3651/60)/60)/24+DATE(1970,1,1))</f>
        <v>41780.712893518517</v>
      </c>
      <c r="T3651" s="13">
        <f t="shared" ref="T3651:T3714" si="288">(((I3651/60)/60)/24)+DATE(1970,1,1)</f>
        <v>41806.712893518517</v>
      </c>
      <c r="U3651">
        <f t="shared" si="284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ref="U3652:U3715" si="289">YEAR(S3652)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 *100,0)</f>
        <v>102</v>
      </c>
      <c r="P3715">
        <f t="shared" ref="P3715:P3778" si="291">IFERROR(ROUND(E3715/L3715,2),"No Backers")</f>
        <v>106.84</v>
      </c>
      <c r="Q3715" t="s">
        <v>8315</v>
      </c>
      <c r="R3715" t="s">
        <v>8316</v>
      </c>
      <c r="S3715" s="13">
        <f t="shared" ref="S3715:S3778" si="292">(((J3715/60)/60)/24+DATE(1970,1,1))</f>
        <v>42505.738032407404</v>
      </c>
      <c r="T3715" s="13">
        <f t="shared" ref="T3715:T3778" si="293">(((I3715/60)/60)/24)+DATE(1970,1,1)</f>
        <v>42525.738032407404</v>
      </c>
      <c r="U3715">
        <f t="shared" si="289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ref="U3716:U3779" si="294">YEAR(S3716)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No Backers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No Backers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No Backers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No Backers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 *100,0)</f>
        <v>143</v>
      </c>
      <c r="P3779">
        <f t="shared" ref="P3779:P3842" si="296">IFERROR(ROUND(E3779/L3779,2),"No Backers")</f>
        <v>48.54</v>
      </c>
      <c r="Q3779" t="s">
        <v>8315</v>
      </c>
      <c r="R3779" t="s">
        <v>8357</v>
      </c>
      <c r="S3779" s="13">
        <f t="shared" ref="S3779:S3842" si="297">(((J3779/60)/60)/24+DATE(1970,1,1))</f>
        <v>41887.111354166671</v>
      </c>
      <c r="T3779" s="13">
        <f t="shared" ref="T3779:T3842" si="298">(((I3779/60)/60)/24)+DATE(1970,1,1)</f>
        <v>41909.166666666664</v>
      </c>
      <c r="U3779">
        <f t="shared" si="294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ref="U3780:U3843" si="299">YEAR(S3780)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No Backers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No Backers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No Backers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No Backers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 *100,0)</f>
        <v>9</v>
      </c>
      <c r="P3843">
        <f t="shared" ref="P3843:P3906" si="301">IFERROR(ROUND(E3843/L3843,2),"No Backers")</f>
        <v>25.65</v>
      </c>
      <c r="Q3843" t="s">
        <v>8315</v>
      </c>
      <c r="R3843" t="s">
        <v>8316</v>
      </c>
      <c r="S3843" s="13">
        <f t="shared" ref="S3843:S3906" si="302">(((J3843/60)/60)/24+DATE(1970,1,1))</f>
        <v>41780.785729166666</v>
      </c>
      <c r="T3843" s="13">
        <f t="shared" ref="T3843:T3906" si="303">(((I3843/60)/60)/24)+DATE(1970,1,1)</f>
        <v>41840.785729166666</v>
      </c>
      <c r="U3843">
        <f t="shared" si="299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ref="U3844:U3907" si="304">YEAR(S3844)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No Backers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No Backers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No Backers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No Backers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No Backers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No Backers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No Backers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No Backers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No Backers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No Backers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No Backers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No Backers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No Backers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 *100,0)</f>
        <v>12</v>
      </c>
      <c r="P3907">
        <f t="shared" ref="P3907:P3970" si="306">IFERROR(ROUND(E3907/L3907,2),"No Backers")</f>
        <v>24.71</v>
      </c>
      <c r="Q3907" t="s">
        <v>8315</v>
      </c>
      <c r="R3907" t="s">
        <v>8316</v>
      </c>
      <c r="S3907" s="13">
        <f t="shared" ref="S3907:S3970" si="307">(((J3907/60)/60)/24+DATE(1970,1,1))</f>
        <v>42124.623877314814</v>
      </c>
      <c r="T3907" s="13">
        <f t="shared" ref="T3907:T3970" si="308">(((I3907/60)/60)/24)+DATE(1970,1,1)</f>
        <v>42166.958333333328</v>
      </c>
      <c r="U3907">
        <f t="shared" si="304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ref="U3908:U3971" si="309">YEAR(S3908)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No Backers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No Backers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No Backers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No Backers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No Backers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No Backers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No Backers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No Backers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No Backers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No Backers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No Backers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No Backers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 *100,0)</f>
        <v>7</v>
      </c>
      <c r="P3971">
        <f t="shared" ref="P3971:P4034" si="311">IFERROR(ROUND(E3971/L3971,2),"No Backers")</f>
        <v>35.17</v>
      </c>
      <c r="Q3971" t="s">
        <v>8315</v>
      </c>
      <c r="R3971" t="s">
        <v>8316</v>
      </c>
      <c r="S3971" s="13">
        <f t="shared" ref="S3971:S4034" si="312">(((J3971/60)/60)/24+DATE(1970,1,1))</f>
        <v>42601.854699074072</v>
      </c>
      <c r="T3971" s="13">
        <f t="shared" ref="T3971:T4034" si="313">(((I3971/60)/60)/24)+DATE(1970,1,1)</f>
        <v>42611.163194444445</v>
      </c>
      <c r="U3971">
        <f t="shared" si="309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ref="U3972:U4035" si="314">YEAR(S3972)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No Backers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No Backers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No Backers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No Backers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No Backers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No Backers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No Backers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No Backers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No Backers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 *100,0)</f>
        <v>26</v>
      </c>
      <c r="P4035">
        <f t="shared" ref="P4035:P4098" si="316">IFERROR(ROUND(E4035/L4035,2),"No Backers")</f>
        <v>65.34</v>
      </c>
      <c r="Q4035" t="s">
        <v>8315</v>
      </c>
      <c r="R4035" t="s">
        <v>8316</v>
      </c>
      <c r="S4035" s="13">
        <f t="shared" ref="S4035:S4098" si="317">(((J4035/60)/60)/24+DATE(1970,1,1))</f>
        <v>42614.268796296295</v>
      </c>
      <c r="T4035" s="13">
        <f t="shared" ref="T4035:T4098" si="318">(((I4035/60)/60)/24)+DATE(1970,1,1)</f>
        <v>42645.375</v>
      </c>
      <c r="U4035">
        <f t="shared" si="314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ref="U4036:U4099" si="319"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No Backers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No Backers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No Backers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No Backers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No Backers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No Backers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No Backers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No Backers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No Backers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 *100,0)</f>
        <v>0</v>
      </c>
      <c r="P4099" t="str">
        <f t="shared" ref="P4099:P4115" si="321">IFERROR(ROUND(E4099/L4099,2),"No Backers")</f>
        <v>No Backers</v>
      </c>
      <c r="Q4099" t="s">
        <v>8315</v>
      </c>
      <c r="R4099" t="s">
        <v>8316</v>
      </c>
      <c r="S4099" s="13">
        <f t="shared" ref="S4099:S4115" si="322">(((J4099/60)/60)/24+DATE(1970,1,1))</f>
        <v>42344.824502314819</v>
      </c>
      <c r="T4099" s="13">
        <f t="shared" ref="T4099:T4115" si="323">(((I4099/60)/60)/24)+DATE(1970,1,1)</f>
        <v>42400.996527777781</v>
      </c>
      <c r="U4099">
        <f t="shared" si="319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No Backers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ref="U4100:U4115" si="324">YEAR(S4100)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No Backers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No Backers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No Backers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"cancelled"</formula>
    </cfRule>
    <cfRule type="cellIs" dxfId="0" priority="6" operator="equal">
      <formula>"failed"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7B9C-075D-4976-AF5B-4127023E0738}">
  <sheetPr codeName="Sheet2"/>
  <dimension ref="A1:F14"/>
  <sheetViews>
    <sheetView workbookViewId="0">
      <selection activeCell="AF12" sqref="AF12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1" width="11.28515625" bestFit="1" customWidth="1"/>
    <col min="12" max="46" width="3" bestFit="1" customWidth="1"/>
    <col min="47" max="49" width="4" bestFit="1" customWidth="1"/>
    <col min="50" max="50" width="6" bestFit="1" customWidth="1"/>
    <col min="51" max="51" width="13.85546875" bestFit="1" customWidth="1"/>
    <col min="52" max="52" width="8" bestFit="1" customWidth="1"/>
    <col min="53" max="53" width="4" bestFit="1" customWidth="1"/>
    <col min="54" max="127" width="3" bestFit="1" customWidth="1"/>
    <col min="128" max="128" width="11" bestFit="1" customWidth="1"/>
    <col min="129" max="129" width="6.140625" bestFit="1" customWidth="1"/>
    <col min="130" max="134" width="2" bestFit="1" customWidth="1"/>
    <col min="135" max="147" width="3" bestFit="1" customWidth="1"/>
    <col min="148" max="151" width="4" bestFit="1" customWidth="1"/>
    <col min="153" max="153" width="11.85546875" bestFit="1" customWidth="1"/>
    <col min="1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5" bestFit="1" customWidth="1"/>
    <col min="392" max="392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05DDD-4927-49CF-82EE-7AB4163A9C17}">
  <sheetPr codeName="Sheet9"/>
  <dimension ref="A1:F21"/>
  <sheetViews>
    <sheetView workbookViewId="0">
      <selection activeCell="I34" sqref="I34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2" spans="1:6" x14ac:dyDescent="0.25">
      <c r="A2" s="9" t="s">
        <v>8358</v>
      </c>
      <c r="B2" t="s">
        <v>8402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8335</v>
      </c>
      <c r="B6" s="11">
        <v>15</v>
      </c>
      <c r="C6" s="11">
        <v>101</v>
      </c>
      <c r="D6" s="11"/>
      <c r="E6" s="11"/>
      <c r="F6" s="11">
        <v>116</v>
      </c>
    </row>
    <row r="7" spans="1:6" x14ac:dyDescent="0.25">
      <c r="A7" s="10" t="s">
        <v>8346</v>
      </c>
      <c r="B7" s="11"/>
      <c r="C7" s="11">
        <v>13</v>
      </c>
      <c r="D7" s="11"/>
      <c r="E7" s="11"/>
      <c r="F7" s="11">
        <v>13</v>
      </c>
    </row>
    <row r="8" spans="1:6" x14ac:dyDescent="0.25">
      <c r="A8" s="10" t="s">
        <v>8347</v>
      </c>
      <c r="B8" s="11"/>
      <c r="C8" s="11"/>
      <c r="D8" s="11"/>
      <c r="E8" s="11">
        <v>103</v>
      </c>
      <c r="F8" s="11">
        <v>103</v>
      </c>
    </row>
    <row r="9" spans="1:6" x14ac:dyDescent="0.25">
      <c r="A9" s="10" t="s">
        <v>8354</v>
      </c>
      <c r="B9" s="11"/>
      <c r="C9" s="11">
        <v>7</v>
      </c>
      <c r="D9" s="11"/>
      <c r="E9" s="11">
        <v>7</v>
      </c>
      <c r="F9" s="11">
        <v>14</v>
      </c>
    </row>
    <row r="10" spans="1:6" x14ac:dyDescent="0.25">
      <c r="A10" s="10" t="s">
        <v>8333</v>
      </c>
      <c r="B10" s="11"/>
      <c r="C10" s="11">
        <v>23</v>
      </c>
      <c r="D10" s="11"/>
      <c r="E10" s="11"/>
      <c r="F10" s="11">
        <v>23</v>
      </c>
    </row>
    <row r="11" spans="1:6" x14ac:dyDescent="0.25">
      <c r="A11" s="10" t="s">
        <v>8357</v>
      </c>
      <c r="B11" s="11">
        <v>11</v>
      </c>
      <c r="C11" s="11">
        <v>40</v>
      </c>
      <c r="D11" s="11"/>
      <c r="E11" s="11">
        <v>45</v>
      </c>
      <c r="F11" s="11">
        <v>96</v>
      </c>
    </row>
    <row r="12" spans="1:6" x14ac:dyDescent="0.25">
      <c r="A12" s="10" t="s">
        <v>8316</v>
      </c>
      <c r="B12" s="11"/>
      <c r="C12" s="11">
        <v>250</v>
      </c>
      <c r="D12" s="11">
        <v>9</v>
      </c>
      <c r="E12" s="11">
        <v>412</v>
      </c>
      <c r="F12" s="11">
        <v>671</v>
      </c>
    </row>
    <row r="13" spans="1:6" x14ac:dyDescent="0.25">
      <c r="A13" s="10" t="s">
        <v>8351</v>
      </c>
      <c r="B13" s="11"/>
      <c r="C13" s="11">
        <v>14</v>
      </c>
      <c r="D13" s="11"/>
      <c r="E13" s="11"/>
      <c r="F13" s="11">
        <v>14</v>
      </c>
    </row>
    <row r="14" spans="1:6" x14ac:dyDescent="0.25">
      <c r="A14" s="10" t="s">
        <v>8350</v>
      </c>
      <c r="B14" s="11"/>
      <c r="C14" s="11"/>
      <c r="D14" s="11">
        <v>4</v>
      </c>
      <c r="E14" s="11">
        <v>34</v>
      </c>
      <c r="F14" s="11">
        <v>38</v>
      </c>
    </row>
    <row r="15" spans="1:6" x14ac:dyDescent="0.25">
      <c r="A15" s="10" t="s">
        <v>8353</v>
      </c>
      <c r="B15" s="11">
        <v>15</v>
      </c>
      <c r="C15" s="11">
        <v>1</v>
      </c>
      <c r="D15" s="11"/>
      <c r="E15" s="11">
        <v>31</v>
      </c>
      <c r="F15" s="11">
        <v>47</v>
      </c>
    </row>
    <row r="16" spans="1:6" x14ac:dyDescent="0.25">
      <c r="A16" s="10" t="s">
        <v>8355</v>
      </c>
      <c r="B16" s="11">
        <v>15</v>
      </c>
      <c r="C16" s="11">
        <v>59</v>
      </c>
      <c r="D16" s="11">
        <v>3</v>
      </c>
      <c r="E16" s="11">
        <v>68</v>
      </c>
      <c r="F16" s="11">
        <v>145</v>
      </c>
    </row>
    <row r="17" spans="1:6" x14ac:dyDescent="0.25">
      <c r="A17" s="10" t="s">
        <v>8349</v>
      </c>
      <c r="B17" s="11"/>
      <c r="C17" s="11"/>
      <c r="D17" s="11"/>
      <c r="E17" s="11">
        <v>52</v>
      </c>
      <c r="F17" s="11">
        <v>52</v>
      </c>
    </row>
    <row r="18" spans="1:6" x14ac:dyDescent="0.25">
      <c r="A18" s="10" t="s">
        <v>8332</v>
      </c>
      <c r="B18" s="11"/>
      <c r="C18" s="11">
        <v>73</v>
      </c>
      <c r="D18" s="11"/>
      <c r="E18" s="11"/>
      <c r="F18" s="11">
        <v>73</v>
      </c>
    </row>
    <row r="19" spans="1:6" x14ac:dyDescent="0.25">
      <c r="A19" s="10" t="s">
        <v>8319</v>
      </c>
      <c r="B19" s="11">
        <v>47</v>
      </c>
      <c r="C19" s="11">
        <v>81</v>
      </c>
      <c r="D19" s="11"/>
      <c r="E19" s="11">
        <v>17</v>
      </c>
      <c r="F19" s="11">
        <v>145</v>
      </c>
    </row>
    <row r="20" spans="1:6" x14ac:dyDescent="0.25">
      <c r="A20" s="10" t="s">
        <v>8318</v>
      </c>
      <c r="B20" s="11">
        <v>59</v>
      </c>
      <c r="C20" s="11">
        <v>36</v>
      </c>
      <c r="D20" s="11"/>
      <c r="E20" s="11"/>
      <c r="F20" s="11">
        <v>95</v>
      </c>
    </row>
    <row r="21" spans="1:6" x14ac:dyDescent="0.25">
      <c r="A21" s="10" t="s">
        <v>8361</v>
      </c>
      <c r="B21" s="11">
        <v>162</v>
      </c>
      <c r="C21" s="11">
        <v>698</v>
      </c>
      <c r="D21" s="11">
        <v>16</v>
      </c>
      <c r="E21" s="11">
        <v>769</v>
      </c>
      <c r="F21" s="11">
        <v>1645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94C78-10E8-4103-95FA-AB379C08AA2A}">
  <sheetPr codeName="Sheet4"/>
  <dimension ref="A2:E19"/>
  <sheetViews>
    <sheetView zoomScale="71" zoomScaleNormal="71" workbookViewId="0">
      <selection activeCell="N42" sqref="N4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4.7109375" customWidth="1"/>
    <col min="6" max="6" width="7.28515625" bestFit="1" customWidth="1"/>
    <col min="7" max="7" width="11.28515625" bestFit="1" customWidth="1"/>
    <col min="8" max="9" width="16.28515625" bestFit="1" customWidth="1"/>
    <col min="10" max="10" width="14.7109375" bestFit="1" customWidth="1"/>
    <col min="11" max="19" width="8" bestFit="1" customWidth="1"/>
    <col min="20" max="20" width="11.85546875" bestFit="1" customWidth="1"/>
    <col min="21" max="21" width="6.140625" bestFit="1" customWidth="1"/>
    <col min="22" max="22" width="10" bestFit="1" customWidth="1"/>
    <col min="23" max="31" width="11.85546875" bestFit="1" customWidth="1"/>
    <col min="32" max="32" width="15.85546875" bestFit="1" customWidth="1"/>
    <col min="33" max="33" width="10.7109375" bestFit="1" customWidth="1"/>
    <col min="34" max="34" width="13.140625" bestFit="1" customWidth="1"/>
    <col min="35" max="35" width="11.28515625" bestFit="1" customWidth="1"/>
    <col min="36" max="38" width="8" bestFit="1" customWidth="1"/>
    <col min="39" max="39" width="11" bestFit="1" customWidth="1"/>
    <col min="40" max="44" width="14.140625" bestFit="1" customWidth="1"/>
    <col min="45" max="45" width="17.42578125" bestFit="1" customWidth="1"/>
    <col min="46" max="54" width="12.140625" bestFit="1" customWidth="1"/>
    <col min="55" max="55" width="15.28515625" bestFit="1" customWidth="1"/>
    <col min="56" max="64" width="12.7109375" bestFit="1" customWidth="1"/>
    <col min="65" max="65" width="15.85546875" bestFit="1" customWidth="1"/>
    <col min="66" max="73" width="9.42578125" bestFit="1" customWidth="1"/>
    <col min="74" max="74" width="12.42578125" bestFit="1" customWidth="1"/>
    <col min="76" max="76" width="12.140625" bestFit="1" customWidth="1"/>
    <col min="77" max="77" width="11.28515625" bestFit="1" customWidth="1"/>
  </cols>
  <sheetData>
    <row r="2" spans="1:5" x14ac:dyDescent="0.25">
      <c r="A2" s="9" t="s">
        <v>8358</v>
      </c>
      <c r="B2" t="s">
        <v>8315</v>
      </c>
    </row>
    <row r="3" spans="1:5" x14ac:dyDescent="0.25">
      <c r="A3" s="9" t="s">
        <v>8380</v>
      </c>
      <c r="B3" t="s">
        <v>8364</v>
      </c>
    </row>
    <row r="5" spans="1:5" x14ac:dyDescent="0.25">
      <c r="A5" s="9" t="s">
        <v>8365</v>
      </c>
      <c r="B5" s="9" t="s">
        <v>8362</v>
      </c>
    </row>
    <row r="6" spans="1:5" x14ac:dyDescent="0.25">
      <c r="A6" s="9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0" t="s">
        <v>8374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5">
      <c r="A8" s="10" t="s">
        <v>8375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5">
      <c r="A9" s="10" t="s">
        <v>8376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5">
      <c r="A10" s="10" t="s">
        <v>8377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5">
      <c r="A11" s="10" t="s">
        <v>8368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5">
      <c r="A12" s="10" t="s">
        <v>8378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5">
      <c r="A13" s="10" t="s">
        <v>8369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5">
      <c r="A14" s="10" t="s">
        <v>8370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5">
      <c r="A15" s="10" t="s">
        <v>8371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5">
      <c r="A16" s="10" t="s">
        <v>8372</v>
      </c>
      <c r="B16" s="11">
        <v>65</v>
      </c>
      <c r="C16" s="11">
        <v>50</v>
      </c>
      <c r="D16" s="11"/>
      <c r="E16" s="11">
        <v>115</v>
      </c>
    </row>
    <row r="17" spans="1:5" x14ac:dyDescent="0.25">
      <c r="A17" s="10" t="s">
        <v>8373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5">
      <c r="A18" s="10" t="s">
        <v>8379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5">
      <c r="A19" s="10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7FCCF-93F4-40A9-8DA0-538ED9D66C7A}">
  <sheetPr codeName="Sheet3"/>
  <dimension ref="A1:E18"/>
  <sheetViews>
    <sheetView workbookViewId="0">
      <selection activeCell="J22" sqref="J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</cols>
  <sheetData>
    <row r="1" spans="1:5" x14ac:dyDescent="0.25">
      <c r="A1" s="9" t="s">
        <v>8358</v>
      </c>
      <c r="B1" t="s">
        <v>8364</v>
      </c>
    </row>
    <row r="2" spans="1:5" x14ac:dyDescent="0.25">
      <c r="A2" s="9" t="s">
        <v>8380</v>
      </c>
      <c r="B2" t="s">
        <v>8364</v>
      </c>
    </row>
    <row r="4" spans="1:5" x14ac:dyDescent="0.25">
      <c r="A4" s="9" t="s">
        <v>8365</v>
      </c>
      <c r="B4" s="9" t="s">
        <v>8362</v>
      </c>
    </row>
    <row r="5" spans="1:5" x14ac:dyDescent="0.2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4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4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4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4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4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4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4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4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4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4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4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4DDE5-AE48-4D14-9CC5-9CAA1864BFAE}">
  <sheetPr codeName="Sheet10"/>
  <dimension ref="A1:H13"/>
  <sheetViews>
    <sheetView zoomScale="86" zoomScaleNormal="86" workbookViewId="0">
      <selection activeCell="T31" sqref="T31"/>
    </sheetView>
  </sheetViews>
  <sheetFormatPr defaultRowHeight="15" x14ac:dyDescent="0.25"/>
  <cols>
    <col min="1" max="1" width="24.140625" bestFit="1" customWidth="1"/>
    <col min="2" max="2" width="23.7109375" bestFit="1" customWidth="1"/>
    <col min="3" max="3" width="17.85546875" bestFit="1" customWidth="1"/>
    <col min="4" max="4" width="21.85546875" bestFit="1" customWidth="1"/>
    <col min="5" max="5" width="17.42578125" bestFit="1" customWidth="1"/>
    <col min="6" max="6" width="28.5703125" style="19" bestFit="1" customWidth="1"/>
    <col min="7" max="7" width="22.7109375" bestFit="1" customWidth="1"/>
    <col min="8" max="8" width="26.7109375" bestFit="1" customWidth="1"/>
  </cols>
  <sheetData>
    <row r="1" spans="1:8" x14ac:dyDescent="0.25">
      <c r="A1" s="15" t="s">
        <v>8381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8" t="s">
        <v>8401</v>
      </c>
      <c r="G1" s="15" t="s">
        <v>8387</v>
      </c>
      <c r="H1" s="15" t="s">
        <v>8388</v>
      </c>
    </row>
    <row r="2" spans="1:8" x14ac:dyDescent="0.25">
      <c r="A2" t="s">
        <v>8389</v>
      </c>
      <c r="B2">
        <f>COUNTIFS(Kickstarter!$D:$D,"&lt;1000",Kickstarter!$F:$F,"=successful",Kickstarter!$R:$R,"=plays")</f>
        <v>141</v>
      </c>
      <c r="C2">
        <f>COUNTIFS(Kickstarter!D:D,"&lt;1000",Kickstarter!F:F,"=failed",Kickstarter!R:R,"=plays")</f>
        <v>45</v>
      </c>
      <c r="D2">
        <f>COUNTIFS(Kickstarter!D:D,"&lt;1000",Kickstarter!F:F,"=canceled",Kickstarter!R:R,"=plays")</f>
        <v>0</v>
      </c>
      <c r="E2">
        <f>SUM(B2,C2,D2)</f>
        <v>186</v>
      </c>
      <c r="F2" s="19">
        <f>ROUND(F13,0)</f>
        <v>17</v>
      </c>
      <c r="G2">
        <f>ROUND(C2/E2*100,0)</f>
        <v>24</v>
      </c>
      <c r="H2">
        <f>IFERROR(ROUND(D2/E2*100,),0)</f>
        <v>0</v>
      </c>
    </row>
    <row r="3" spans="1:8" x14ac:dyDescent="0.25">
      <c r="A3" t="s">
        <v>8390</v>
      </c>
      <c r="B3" s="17">
        <f>COUNTIFS(Kickstarter!D:D,"&gt;=1000",Kickstarter!D:D,"&lt;=4999",Kickstarter!F:F,"=successful",Kickstarter!R:R,"=plays")</f>
        <v>388</v>
      </c>
      <c r="C3">
        <f>COUNTIFS(Kickstarter!D:D,"&gt;=1000",Kickstarter!D:D,"&lt;=4999",Kickstarter!F:F,"=failed",Kickstarter!R:R,"=plays")</f>
        <v>146</v>
      </c>
      <c r="D3">
        <f>COUNTIFS(Kickstarter!D:D,"&gt;=1000",Kickstarter!D:D,"&lt;=4999",Kickstarter!F:F,"=canceled",Kickstarter!R:R,"=plays")</f>
        <v>0</v>
      </c>
      <c r="E3">
        <f>SUM(B3,C3,D3)</f>
        <v>534</v>
      </c>
      <c r="F3" s="19">
        <f t="shared" ref="F3:F13" si="0">ROUND(B3/E3*100,0)</f>
        <v>73</v>
      </c>
      <c r="G3">
        <f t="shared" ref="G3:G13" si="1">ROUND(C3/E3*100,0)</f>
        <v>27</v>
      </c>
      <c r="H3">
        <f t="shared" ref="H3:H13" si="2">IFERROR(ROUND(E3/D3*100,),0)</f>
        <v>0</v>
      </c>
    </row>
    <row r="4" spans="1:8" x14ac:dyDescent="0.25">
      <c r="A4" t="s">
        <v>8391</v>
      </c>
      <c r="B4">
        <f>COUNTIFS(Kickstarter!D:D,"&gt;=5000",Kickstarter!D:D,"&lt;=9999",Kickstarter!F:F,"=successful",Kickstarter!R:R,"=plays")</f>
        <v>93</v>
      </c>
      <c r="C4">
        <f>COUNTIFS(Kickstarter!D:D,"&gt;=5000",Kickstarter!D:D,"&lt;=9999",Kickstarter!F:F,"=failed",Kickstarter!R:R,"=plays")</f>
        <v>76</v>
      </c>
      <c r="D4">
        <f>COUNTIFS(Kickstarter!D:D,"&gt;=5000",Kickstarter!D:D,"&lt;=9999",Kickstarter!F:F,"=canceled",Kickstarter!R:R,"=plays")</f>
        <v>0</v>
      </c>
      <c r="E4">
        <f>SUM(B4,C4,D4)</f>
        <v>169</v>
      </c>
      <c r="F4" s="19">
        <f t="shared" si="0"/>
        <v>55</v>
      </c>
      <c r="G4">
        <f t="shared" si="1"/>
        <v>45</v>
      </c>
      <c r="H4">
        <f t="shared" si="2"/>
        <v>0</v>
      </c>
    </row>
    <row r="5" spans="1:8" x14ac:dyDescent="0.25">
      <c r="A5" t="s">
        <v>8392</v>
      </c>
      <c r="B5">
        <f>COUNTIFS(Kickstarter!D:D,"&gt;=10000",Kickstarter!D:D,"&lt;=14999",Kickstarter!F:F,"=successful",Kickstarter!R:R,"=plays")</f>
        <v>39</v>
      </c>
      <c r="C5">
        <f>COUNTIFS(Kickstarter!D:D,"&gt;=10000",Kickstarter!D:D,"&lt;=14999",Kickstarter!F:F,"=failed",Kickstarter!R:R,"=plays")</f>
        <v>33</v>
      </c>
      <c r="D5">
        <f>COUNTIFS(Kickstarter!D:D,"&gt;=10000",Kickstarter!D:D,"&lt;=14999",Kickstarter!F:F,"=canceled",Kickstarter!R:R,"=plays")</f>
        <v>0</v>
      </c>
      <c r="E5">
        <f>SUM(B5,C5,D6)</f>
        <v>72</v>
      </c>
      <c r="F5" s="19">
        <f t="shared" si="0"/>
        <v>54</v>
      </c>
      <c r="G5">
        <f t="shared" si="1"/>
        <v>46</v>
      </c>
      <c r="H5">
        <f t="shared" si="2"/>
        <v>0</v>
      </c>
    </row>
    <row r="6" spans="1:8" x14ac:dyDescent="0.25">
      <c r="A6" t="s">
        <v>8393</v>
      </c>
      <c r="B6">
        <f>COUNTIFS(Kickstarter!D:D,"&gt;=15000",Kickstarter!D:D,"&lt;=19999",Kickstarter!F:F,"=successful",Kickstarter!R:R,"=plays")</f>
        <v>12</v>
      </c>
      <c r="C6">
        <f>COUNTIFS(Kickstarter!D:D,"&gt;=15000",Kickstarter!D:D,"&lt;=19999",Kickstarter!F:F,"=failed",Kickstarter!R:R,"=plays")</f>
        <v>12</v>
      </c>
      <c r="D6">
        <f>COUNTIFS(Kickstarter!D:D,"&gt;=15000,",Kickstarter!D:D,"&lt;=19999",Kickstarter!F:F,"=canceled",Kickstarter!R:R,"=plays")</f>
        <v>0</v>
      </c>
      <c r="E6">
        <f t="shared" ref="E6:E13" si="3">SUM(B6,C6,D6)</f>
        <v>24</v>
      </c>
      <c r="F6" s="19">
        <f t="shared" si="0"/>
        <v>50</v>
      </c>
      <c r="G6">
        <f t="shared" si="1"/>
        <v>50</v>
      </c>
      <c r="H6">
        <f t="shared" si="2"/>
        <v>0</v>
      </c>
    </row>
    <row r="7" spans="1:8" x14ac:dyDescent="0.25">
      <c r="A7" t="s">
        <v>8396</v>
      </c>
      <c r="B7">
        <f>COUNTIFS(Kickstarter!D:D,"&gt;=20000",Kickstarter!D:D,"&lt;=24999",Kickstarter!F:F,"=successful",Kickstarter!R:R,"=plays")</f>
        <v>9</v>
      </c>
      <c r="C7">
        <f>COUNTIFS(Kickstarter!D:D,"&gt;=20000",Kickstarter!D:D,"&lt;=24999",Kickstarter!F:F,"=failed",Kickstarter!R:R,"=plays")</f>
        <v>11</v>
      </c>
      <c r="D7">
        <f>COUNTIFS(Kickstarter!D:D,"&gt;=20000",Kickstarter!D:D,"&lt;=24999",Kickstarter!F:F,"=canceled",Kickstarter!R:R,"=plays")</f>
        <v>0</v>
      </c>
      <c r="E7">
        <f t="shared" si="3"/>
        <v>20</v>
      </c>
      <c r="F7" s="19">
        <f t="shared" si="0"/>
        <v>45</v>
      </c>
      <c r="G7">
        <f t="shared" si="1"/>
        <v>55</v>
      </c>
      <c r="H7">
        <f t="shared" si="2"/>
        <v>0</v>
      </c>
    </row>
    <row r="8" spans="1:8" x14ac:dyDescent="0.25">
      <c r="A8" t="s">
        <v>8394</v>
      </c>
      <c r="B8">
        <f>COUNTIFS(Kickstarter!D:D,"&gt;=25000",Kickstarter!D:D,"&lt;=29999",Kickstarter!F:F,"=successful",Kickstarter!R:R,"=plays")</f>
        <v>1</v>
      </c>
      <c r="C8">
        <f>COUNTIFS(Kickstarter!D:D,"&gt;=25000",Kickstarter!D:D,"&lt;=29999",Kickstarter!F:F,"=failed",Kickstarter!R:R,"=plays")</f>
        <v>4</v>
      </c>
      <c r="D8">
        <f>COUNTIFS(Kickstarter!D:D,"&gt;=25000",Kickstarter!D:D,"&lt;=29999",Kickstarter!F:F,"=canceled",Kickstarter!R:R,"=plays")</f>
        <v>0</v>
      </c>
      <c r="E8">
        <f t="shared" si="3"/>
        <v>5</v>
      </c>
      <c r="F8" s="19">
        <f t="shared" si="0"/>
        <v>20</v>
      </c>
      <c r="G8">
        <f t="shared" si="1"/>
        <v>80</v>
      </c>
      <c r="H8">
        <f t="shared" si="2"/>
        <v>0</v>
      </c>
    </row>
    <row r="9" spans="1:8" x14ac:dyDescent="0.25">
      <c r="A9" t="s">
        <v>8395</v>
      </c>
      <c r="B9">
        <f>COUNTIFS(Kickstarter!D:D,"&gt;=30000",Kickstarter!D:D,"&lt;=34999",Kickstarter!F:F,"=successful",Kickstarter!R:R,"=plays")</f>
        <v>3</v>
      </c>
      <c r="C9">
        <f>COUNTIFS(Kickstarter!D:D,"&gt;=30000",Kickstarter!D:D,"&lt;=34999",Kickstarter!F:F,"=failed",Kickstarter!R:R,"=plays")</f>
        <v>8</v>
      </c>
      <c r="D9">
        <f>COUNTIFS(Kickstarter!D:D,"&gt;=30000",Kickstarter!D:D,"&lt;=34999",Kickstarter!F:F,"=canceled",Kickstarter!R:R,"=plays")</f>
        <v>0</v>
      </c>
      <c r="E9">
        <f t="shared" si="3"/>
        <v>11</v>
      </c>
      <c r="F9" s="19">
        <f t="shared" si="0"/>
        <v>27</v>
      </c>
      <c r="G9">
        <f t="shared" si="1"/>
        <v>73</v>
      </c>
      <c r="H9">
        <f t="shared" si="2"/>
        <v>0</v>
      </c>
    </row>
    <row r="10" spans="1:8" x14ac:dyDescent="0.25">
      <c r="A10" t="s">
        <v>8397</v>
      </c>
      <c r="B10">
        <f>COUNTIFS(Kickstarter!D:D,"&gt;=35000",Kickstarter!D:D,"&lt;=39999",Kickstarter!F:F,"=successful",Kickstarter!R:R,"=plays")</f>
        <v>4</v>
      </c>
      <c r="C10">
        <f>COUNTIFS(Kickstarter!D:D,"&gt;=35000",Kickstarter!D:D,"&lt;=39999",Kickstarter!F:F,"=failed",Kickstarter!R:R,"=plays")</f>
        <v>2</v>
      </c>
      <c r="D10">
        <f>COUNTIFS(Kickstarter!D:D,"&gt;=35000",Kickstarter!D:D,"&lt;=39999",Kickstarter!F:F,"=canceled",Kickstarter!R:R,"=plays")</f>
        <v>0</v>
      </c>
      <c r="E10">
        <f t="shared" si="3"/>
        <v>6</v>
      </c>
      <c r="F10" s="19">
        <f t="shared" si="0"/>
        <v>67</v>
      </c>
      <c r="G10">
        <f t="shared" si="1"/>
        <v>33</v>
      </c>
      <c r="H10">
        <f t="shared" si="2"/>
        <v>0</v>
      </c>
    </row>
    <row r="11" spans="1:8" x14ac:dyDescent="0.25">
      <c r="A11" t="s">
        <v>8398</v>
      </c>
      <c r="B11">
        <f>COUNTIFS(Kickstarter!D:D,"&gt;=40000",Kickstarter!D:D,"&lt;=44999",Kickstarter!F:F,"=successful",Kickstarter!R:R,"=plays")</f>
        <v>2</v>
      </c>
      <c r="C11">
        <f>COUNTIFS(Kickstarter!D:D,"&gt;=40000",Kickstarter!D:D,"&lt;=44999",Kickstarter!F:F,"=failed",Kickstarter!R:R,"=plays")</f>
        <v>1</v>
      </c>
      <c r="D11">
        <f>COUNTIFS(Kickstarter!D:D,"&gt;=40000",Kickstarter!D:D,"&lt;=44999",Kickstarter!F:F,"=canceled",Kickstarter!R:R,"=plays")</f>
        <v>0</v>
      </c>
      <c r="E11">
        <f t="shared" si="3"/>
        <v>3</v>
      </c>
      <c r="F11" s="19">
        <f t="shared" si="0"/>
        <v>67</v>
      </c>
      <c r="G11">
        <f t="shared" si="1"/>
        <v>33</v>
      </c>
      <c r="H11">
        <f t="shared" si="2"/>
        <v>0</v>
      </c>
    </row>
    <row r="12" spans="1:8" x14ac:dyDescent="0.25">
      <c r="A12" t="s">
        <v>8399</v>
      </c>
      <c r="B12">
        <f>COUNTIFS(Kickstarter!D:D,"&gt;=45000",Kickstarter!D:D,"&lt;=49999",Kickstarter!F:F,"=successful",Kickstarter!R:R,"=plays" )</f>
        <v>0</v>
      </c>
      <c r="C12">
        <f>COUNTIFS(Kickstarter!D:D,"&gt;=45000",Kickstarter!D:D,"&lt;=49999",Kickstarter!F:F,"=failed",Kickstarter!R:R,"=plays")</f>
        <v>1</v>
      </c>
      <c r="D12">
        <f>COUNTIFS(Kickstarter!D:D,"&gt;=45000",Kickstarter!D:D,"&lt;=49999",Kickstarter!F:F,"=canceled",Kickstarter!R:R,"=plays")</f>
        <v>0</v>
      </c>
      <c r="E12">
        <f t="shared" si="3"/>
        <v>1</v>
      </c>
      <c r="F12" s="19">
        <f t="shared" si="0"/>
        <v>0</v>
      </c>
      <c r="G12">
        <f t="shared" si="1"/>
        <v>100</v>
      </c>
      <c r="H12">
        <f t="shared" si="2"/>
        <v>0</v>
      </c>
    </row>
    <row r="13" spans="1:8" x14ac:dyDescent="0.25">
      <c r="A13" t="s">
        <v>8400</v>
      </c>
      <c r="B13">
        <f>COUNTIFS(Kickstarter!D:D,"&gt;50000",Kickstarter!F:F,"=successful",Kickstarter!R:R,"=plays")</f>
        <v>2</v>
      </c>
      <c r="C13">
        <f>COUNTIFS(Kickstarter!D:D,"&gt;50000",Kickstarter!F:F,"=failed",Kickstarter!R:R,"=plays")</f>
        <v>10</v>
      </c>
      <c r="D13">
        <f>COUNTIFS(Kickstarter!D:D,"&lt;50000",Kickstarter!F:F,"=canceled",Kickstarter!R:R,"-plays")</f>
        <v>0</v>
      </c>
      <c r="E13">
        <f t="shared" si="3"/>
        <v>12</v>
      </c>
      <c r="F13" s="19">
        <f t="shared" si="0"/>
        <v>17</v>
      </c>
      <c r="G13">
        <f t="shared" si="1"/>
        <v>83</v>
      </c>
      <c r="H13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 based on Parent Categ</vt:lpstr>
      <vt:lpstr>Outcomes based on Subcategory</vt:lpstr>
      <vt:lpstr>Theater Outcomes by Launch Date</vt:lpstr>
      <vt:lpstr>OUTCOMES BASED ON LAUNCH DATE 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Parvathy</cp:lastModifiedBy>
  <dcterms:created xsi:type="dcterms:W3CDTF">2017-04-20T15:17:24Z</dcterms:created>
  <dcterms:modified xsi:type="dcterms:W3CDTF">2021-11-28T12:41:56Z</dcterms:modified>
</cp:coreProperties>
</file>